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86827E65-CEDE-4A4F-93CA-2B4DECD3DAF1}" xr6:coauthVersionLast="47" xr6:coauthVersionMax="47" xr10:uidLastSave="{00000000-0000-0000-0000-000000000000}"/>
  <bookViews>
    <workbookView xWindow="-108" yWindow="-108" windowWidth="23256" windowHeight="13176" firstSheet="1"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Eval-Siemens'!$A$1:$K$32</definedName>
    <definedName name="Z_F38AF2A4_EC1D_460A_B405_E4A69D902BA6_.wvu.PrintTitles" localSheetId="2" hidden="1">'MQSA Requirements'!$9:$9</definedName>
    <definedName name="Z_F38AF2A4_EC1D_460A_B405_E4A69D902BA6_.wvu.Rows" localSheetId="1" hidden="1">'Tech QC Eval-Siemens'!$26:$31</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19" i="4" l="1"/>
  <c r="Q419" i="4"/>
  <c r="S409" i="4"/>
  <c r="R409" i="4"/>
  <c r="X393" i="4"/>
  <c r="X392" i="4"/>
  <c r="S393" i="4"/>
  <c r="S392" i="4"/>
  <c r="R423" i="4"/>
  <c r="R421" i="4"/>
  <c r="Q423" i="4"/>
  <c r="Q422" i="4"/>
  <c r="Q421" i="4"/>
  <c r="S412" i="4"/>
  <c r="R412" i="4"/>
  <c r="S411" i="4"/>
  <c r="R411" i="4"/>
  <c r="Q412" i="4"/>
  <c r="Q411" i="4"/>
  <c r="Q409" i="4"/>
  <c r="P412" i="4"/>
  <c r="P411" i="4"/>
  <c r="P410" i="4"/>
  <c r="P409" i="4"/>
  <c r="R398" i="4"/>
  <c r="Q398" i="4"/>
  <c r="R397" i="4"/>
  <c r="Q397" i="4"/>
  <c r="R396" i="4"/>
  <c r="Q396" i="4"/>
  <c r="R395" i="4"/>
  <c r="Q395" i="4"/>
  <c r="P398" i="4"/>
  <c r="P397" i="4"/>
  <c r="P396" i="4"/>
  <c r="P395" i="4"/>
  <c r="U383" i="4"/>
  <c r="T383" i="4"/>
  <c r="U382" i="4"/>
  <c r="T382" i="4"/>
  <c r="U381" i="4"/>
  <c r="T381" i="4"/>
  <c r="U380" i="4"/>
  <c r="T380" i="4"/>
  <c r="U379" i="4"/>
  <c r="T379" i="4"/>
  <c r="U378" i="4"/>
  <c r="T378" i="4"/>
  <c r="S383" i="4"/>
  <c r="S382" i="4"/>
  <c r="S381" i="4"/>
  <c r="S380" i="4"/>
  <c r="S379" i="4"/>
  <c r="R383" i="4"/>
  <c r="R382" i="4"/>
  <c r="R381" i="4"/>
  <c r="R380" i="4"/>
  <c r="R379" i="4"/>
  <c r="R378" i="4"/>
  <c r="Q383" i="4"/>
  <c r="Q382" i="4"/>
  <c r="Q381" i="4"/>
  <c r="Q380" i="4"/>
  <c r="Q379" i="4"/>
  <c r="Q378" i="4"/>
  <c r="U374" i="4"/>
  <c r="T374" i="4"/>
  <c r="S374" i="4"/>
  <c r="R377" i="4"/>
  <c r="R376" i="4"/>
  <c r="R375" i="4"/>
  <c r="Q377" i="4"/>
  <c r="Q376" i="4"/>
  <c r="Q375" i="4"/>
  <c r="R374" i="4"/>
  <c r="Q374" i="4"/>
  <c r="R373" i="4"/>
  <c r="R372" i="4"/>
  <c r="R371" i="4"/>
  <c r="Q373" i="4"/>
  <c r="Q372" i="4"/>
  <c r="Q371" i="4"/>
  <c r="S378" i="4"/>
  <c r="U377" i="4"/>
  <c r="T377" i="4"/>
  <c r="U376" i="4"/>
  <c r="T376" i="4"/>
  <c r="U375" i="4"/>
  <c r="T375" i="4"/>
  <c r="U373" i="4"/>
  <c r="T373" i="4"/>
  <c r="U372" i="4"/>
  <c r="T372" i="4"/>
  <c r="U371" i="4"/>
  <c r="T371" i="4"/>
  <c r="S377" i="4"/>
  <c r="S376" i="4"/>
  <c r="S375" i="4"/>
  <c r="S373" i="4"/>
  <c r="S372" i="4"/>
  <c r="S371" i="4"/>
  <c r="S247" i="4"/>
  <c r="R247" i="4"/>
  <c r="Q247" i="4"/>
  <c r="S246" i="4"/>
  <c r="R246" i="4"/>
  <c r="S245" i="4"/>
  <c r="R245" i="4"/>
  <c r="Q245" i="4"/>
  <c r="Q246" i="4"/>
  <c r="J60" i="6" l="1"/>
  <c r="J59" i="6"/>
  <c r="J58" i="6"/>
  <c r="S175" i="4" l="1"/>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Q253" i="4"/>
  <c r="X218" i="4"/>
  <c r="X219" i="4"/>
  <c r="R141" i="4"/>
  <c r="Q460" i="4"/>
  <c r="Q459" i="4"/>
  <c r="F251" i="4"/>
  <c r="E251" i="4"/>
  <c r="D251" i="4"/>
  <c r="E250"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H76" i="6"/>
  <c r="F79" i="6"/>
  <c r="E79" i="6"/>
  <c r="F78" i="6"/>
  <c r="E78" i="6"/>
  <c r="F77" i="6"/>
  <c r="E77" i="6"/>
  <c r="F76" i="6"/>
  <c r="E76" i="6"/>
  <c r="C82" i="6"/>
  <c r="B82" i="6"/>
  <c r="C81" i="6"/>
  <c r="B81" i="6"/>
  <c r="C80" i="6"/>
  <c r="B80" i="6"/>
  <c r="C79" i="6"/>
  <c r="B79" i="6"/>
  <c r="C78" i="6"/>
  <c r="C77" i="6"/>
  <c r="C76" i="6"/>
  <c r="B84" i="6" s="1"/>
  <c r="B78" i="6"/>
  <c r="B77" i="6"/>
  <c r="D84" i="6" l="1"/>
  <c r="C84" i="6"/>
  <c r="C85" i="6"/>
  <c r="C86" i="6"/>
  <c r="D86" i="6"/>
  <c r="D85" i="6"/>
  <c r="B85" i="6"/>
  <c r="B86" i="6"/>
  <c r="F302" i="4"/>
  <c r="E7" i="3" l="1"/>
  <c r="B3" i="3"/>
  <c r="Q454" i="4" l="1"/>
  <c r="H398" i="4" s="1"/>
  <c r="N22" i="1" l="1"/>
  <c r="L48" i="1"/>
  <c r="J48" i="1"/>
  <c r="H48" i="1"/>
  <c r="L25" i="1"/>
  <c r="J25" i="1"/>
  <c r="H25" i="1"/>
  <c r="V21" i="4" l="1"/>
  <c r="V28" i="4"/>
  <c r="Q461" i="4" l="1"/>
  <c r="V33" i="4"/>
  <c r="V32" i="4"/>
  <c r="V25" i="4"/>
  <c r="P378" i="4" s="1"/>
  <c r="V392" i="4" l="1"/>
  <c r="R418" i="4"/>
  <c r="G281" i="4"/>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F377" i="4"/>
  <c r="Q424" i="4"/>
  <c r="D377" i="4" s="1"/>
  <c r="E377" i="4" l="1"/>
  <c r="G414" i="4"/>
  <c r="T263" i="4"/>
  <c r="O415" i="4"/>
  <c r="I367" i="4" s="1"/>
  <c r="S397" i="4"/>
  <c r="S395" i="4"/>
  <c r="S407" i="4"/>
  <c r="H67" i="6"/>
  <c r="E68" i="6"/>
  <c r="W383" i="4"/>
  <c r="X383" i="4"/>
  <c r="E67" i="6"/>
  <c r="G302" i="4"/>
  <c r="X377" i="4"/>
  <c r="K302" i="4" s="1"/>
  <c r="E302" i="4"/>
  <c r="D302" i="4"/>
  <c r="S402" i="4"/>
  <c r="T402" i="4"/>
  <c r="W371" i="4" l="1"/>
  <c r="V377" i="4"/>
  <c r="H302" i="4"/>
  <c r="T396" i="4"/>
  <c r="M138" i="4"/>
  <c r="L138" i="4"/>
  <c r="W377" i="4"/>
  <c r="J302" i="4" s="1"/>
  <c r="T397" i="4"/>
  <c r="T398" i="4"/>
  <c r="R400" i="4"/>
  <c r="P400" i="4"/>
  <c r="P399" i="4"/>
  <c r="Q410" i="4" s="1"/>
  <c r="T395" i="4"/>
  <c r="R425" i="4"/>
  <c r="Q400" i="4"/>
  <c r="Q399" i="4"/>
  <c r="V383" i="4"/>
  <c r="F68" i="6" s="1"/>
  <c r="S398" i="4"/>
  <c r="S396"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T400" i="4"/>
  <c r="T399" i="4"/>
  <c r="P401" i="4"/>
  <c r="Q401" i="4"/>
  <c r="S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F378"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J310" i="4"/>
  <c r="H346" i="4"/>
  <c r="G346" i="4"/>
  <c r="H349" i="4"/>
  <c r="W374" i="4"/>
  <c r="J299" i="4" s="1"/>
  <c r="W379" i="4"/>
  <c r="J304" i="4" s="1"/>
  <c r="J308" i="4"/>
  <c r="J312" i="4"/>
  <c r="H348" i="4"/>
  <c r="G349" i="4"/>
  <c r="U412" i="4"/>
  <c r="O416" i="4" s="1"/>
  <c r="I368" i="4" s="1"/>
  <c r="H347" i="4"/>
  <c r="G348" i="4"/>
  <c r="U411" i="4"/>
  <c r="U409" i="4"/>
  <c r="W373" i="4"/>
  <c r="J298" i="4" s="1"/>
  <c r="W375" i="4"/>
  <c r="J300" i="4" s="1"/>
  <c r="W378" i="4"/>
  <c r="J303" i="4" s="1"/>
  <c r="W380" i="4"/>
  <c r="J305" i="4" s="1"/>
  <c r="W382" i="4"/>
  <c r="J307" i="4" s="1"/>
  <c r="J309" i="4"/>
  <c r="J311" i="4"/>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V371" i="4"/>
  <c r="D296" i="4"/>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AD43" i="4"/>
  <c r="AC43" i="4" s="1"/>
  <c r="AD42" i="4"/>
  <c r="AC42" i="4" s="1"/>
  <c r="R31" i="4"/>
  <c r="R30" i="4"/>
  <c r="F29" i="4" s="1"/>
  <c r="V29" i="4"/>
  <c r="AD37" i="4" s="1"/>
  <c r="AC37" i="4" s="1"/>
  <c r="R29" i="4"/>
  <c r="AD33" i="4" s="1"/>
  <c r="AC33" i="4" s="1"/>
  <c r="AD36" i="4"/>
  <c r="AC36" i="4" s="1"/>
  <c r="R27" i="4"/>
  <c r="AD32" i="4" s="1"/>
  <c r="AC32" i="4" s="1"/>
  <c r="R26" i="4"/>
  <c r="AD31" i="4" s="1"/>
  <c r="AC31" i="4" s="1"/>
  <c r="R25" i="4"/>
  <c r="AD30" i="4" s="1"/>
  <c r="AC30" i="4" s="1"/>
  <c r="V24" i="4"/>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I39" i="4" l="1"/>
  <c r="Q462" i="4"/>
  <c r="E385" i="4" s="1"/>
  <c r="P371" i="4"/>
  <c r="AD68" i="4"/>
  <c r="E4" i="3"/>
  <c r="D88" i="6"/>
  <c r="H237" i="4"/>
  <c r="AD55" i="4"/>
  <c r="E6" i="3"/>
  <c r="L8" i="1"/>
  <c r="F242" i="4"/>
  <c r="T460" i="4"/>
  <c r="E242" i="4"/>
  <c r="T459" i="4"/>
  <c r="I38" i="4"/>
  <c r="AD82" i="4"/>
  <c r="D504" i="4"/>
  <c r="K17" i="4"/>
  <c r="F16" i="4"/>
  <c r="AD24" i="4"/>
  <c r="AC24" i="4" s="1"/>
  <c r="K223" i="4"/>
  <c r="H223" i="4"/>
  <c r="H39" i="4"/>
  <c r="L39" i="4"/>
  <c r="K22" i="4"/>
  <c r="M432" i="4"/>
  <c r="M504" i="4"/>
  <c r="M503" i="4"/>
  <c r="M431" i="4"/>
  <c r="AD41" i="4"/>
  <c r="AC41" i="4" s="1"/>
  <c r="D63" i="6"/>
  <c r="C70" i="6" s="1"/>
  <c r="AD40" i="4"/>
  <c r="AC40" i="4" s="1"/>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K312" i="4"/>
  <c r="X381" i="4"/>
  <c r="K306" i="4" s="1"/>
  <c r="E66" i="6"/>
  <c r="K311" i="4"/>
  <c r="H66" i="6"/>
  <c r="X379" i="4"/>
  <c r="K304" i="4" s="1"/>
  <c r="E64" i="6"/>
  <c r="X380" i="4"/>
  <c r="K305" i="4" s="1"/>
  <c r="E65" i="6"/>
  <c r="K310" i="4"/>
  <c r="H65" i="6"/>
  <c r="X375" i="4"/>
  <c r="K300" i="4" s="1"/>
  <c r="B67" i="6"/>
  <c r="X376" i="4"/>
  <c r="K301" i="4" s="1"/>
  <c r="B68" i="6"/>
  <c r="K308" i="4"/>
  <c r="L312" i="4" s="1"/>
  <c r="H63" i="6"/>
  <c r="K309" i="4"/>
  <c r="H64" i="6"/>
  <c r="F24" i="4"/>
  <c r="H253" i="4"/>
  <c r="AD13" i="4"/>
  <c r="AC13" i="4" s="1"/>
  <c r="F13" i="4"/>
  <c r="B2" i="7" s="1"/>
  <c r="K21" i="4"/>
  <c r="K23" i="4"/>
  <c r="K24" i="4"/>
  <c r="H41" i="4"/>
  <c r="F40" i="4"/>
  <c r="K40" i="4"/>
  <c r="AD70" i="4"/>
  <c r="G40" i="4"/>
  <c r="AD66" i="4"/>
  <c r="K28" i="4"/>
  <c r="J254" i="4"/>
  <c r="J255" i="4"/>
  <c r="F25" i="4"/>
  <c r="V372" i="4"/>
  <c r="V373" i="4"/>
  <c r="C367" i="4"/>
  <c r="T409" i="4"/>
  <c r="F367" i="4" s="1"/>
  <c r="V374" i="4"/>
  <c r="V375" i="4"/>
  <c r="V378" i="4"/>
  <c r="V379" i="4"/>
  <c r="I309"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Q392" i="4" l="1"/>
  <c r="Q418" i="4"/>
  <c r="Q407" i="4"/>
  <c r="D364" i="4" s="1"/>
  <c r="D244" i="4"/>
  <c r="P240" i="4"/>
  <c r="L302" i="4"/>
  <c r="T463" i="4"/>
  <c r="T464" i="4"/>
  <c r="X221" i="4"/>
  <c r="J237" i="4"/>
  <c r="C303" i="4"/>
  <c r="D76" i="6"/>
  <c r="C83" i="6" s="1"/>
  <c r="E374" i="4"/>
  <c r="J252" i="4"/>
  <c r="S254" i="4"/>
  <c r="S255" i="4" s="1"/>
  <c r="I252" i="4"/>
  <c r="R254" i="4"/>
  <c r="R255" i="4" s="1"/>
  <c r="H252" i="4"/>
  <c r="Q255" i="4"/>
  <c r="A76" i="6"/>
  <c r="B83" i="6"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F374" i="4"/>
  <c r="D374"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I60" i="6" l="1"/>
  <c r="H60" i="6"/>
  <c r="U265" i="4"/>
  <c r="H270" i="4" s="1"/>
  <c r="U264" i="4"/>
  <c r="H269" i="4" s="1"/>
  <c r="U266" i="4"/>
  <c r="H271" i="4" s="1"/>
  <c r="U263" i="4"/>
  <c r="H268" i="4" s="1"/>
  <c r="X262" i="4"/>
  <c r="K383" i="4"/>
  <c r="X463" i="4"/>
  <c r="L383" i="4" s="1"/>
  <c r="K384" i="4"/>
  <c r="X464" i="4"/>
  <c r="L384" i="4" s="1"/>
  <c r="X281" i="4"/>
  <c r="V239" i="4"/>
  <c r="Y238" i="4"/>
  <c r="L243" i="4" s="1"/>
  <c r="T413" i="4"/>
  <c r="F371" i="4" s="1"/>
  <c r="I366" i="4" s="1"/>
  <c r="F368" i="4"/>
  <c r="I59" i="6" l="1"/>
  <c r="H59" i="6"/>
  <c r="I58" i="6"/>
  <c r="H58" i="6"/>
  <c r="A89" i="6"/>
  <c r="D89" i="6"/>
  <c r="U297" i="4"/>
  <c r="U286" i="4"/>
  <c r="E89" i="6"/>
  <c r="K267" i="4"/>
  <c r="B87" i="6"/>
  <c r="F89" i="6"/>
  <c r="X264" i="4" s="1"/>
  <c r="C89" i="6"/>
  <c r="B89" i="6"/>
  <c r="U267" i="4"/>
  <c r="V240" i="4"/>
  <c r="J244" i="4"/>
  <c r="J245" i="4" l="1"/>
  <c r="N30" i="1"/>
  <c r="H272" i="4"/>
  <c r="X263" i="4"/>
  <c r="X293" i="4"/>
  <c r="K60" i="6" s="1"/>
  <c r="U298" i="4"/>
  <c r="U287" i="4"/>
  <c r="X282" i="4"/>
  <c r="K59" i="6" s="1"/>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<sst xmlns="http://schemas.openxmlformats.org/spreadsheetml/2006/main" count="1900" uniqueCount="794">
  <si>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</si>
  <si>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</si>
  <si>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</si>
  <si>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</si>
  <si>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</si>
  <si>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</si>
  <si>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</si>
  <si>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</si>
  <si>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</si>
  <si>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</si>
  <si>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</si>
  <si>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</si>
  <si>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</si>
  <si>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</si>
  <si>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</si>
  <si>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</si>
  <si>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</si>
  <si>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Target</t>
  </si>
  <si>
    <t>Filter</t>
  </si>
  <si>
    <t>kVp</t>
  </si>
  <si>
    <t>ms</t>
  </si>
  <si>
    <t>Dose (mGy)</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</si>
  <si>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</si>
  <si>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</si>
  <si>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</si>
  <si>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</si>
  <si>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</si>
  <si>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</si>
  <si>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</si>
  <si>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</si>
  <si>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</si>
  <si>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</si>
  <si>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</si>
  <si>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</si>
  <si>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</si>
  <si>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</si>
  <si>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</si>
  <si>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</si>
  <si>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</si>
  <si>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</si>
  <si>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</si>
  <si>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</si>
  <si>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</si>
  <si>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</si>
  <si>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</si>
  <si>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</si>
  <si>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</si>
  <si>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</si>
  <si>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</si>
  <si>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</si>
  <si>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</si>
  <si>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</si>
  <si>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</si>
  <si>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</si>
  <si>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</si>
  <si>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</si>
  <si>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</si>
  <si>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</si>
  <si>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</si>
  <si>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</si>
  <si>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</si>
  <si>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</si>
  <si>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</si>
  <si>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</si>
  <si>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</si>
  <si>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</si>
  <si>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</si>
  <si>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</si>
  <si>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</si>
  <si>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</si>
  <si>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</si>
  <si>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</si>
  <si>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</si>
  <si>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</si>
  <si>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</si>
  <si>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</si>
  <si>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</si>
  <si>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</si>
  <si>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</si>
  <si>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</si>
  <si>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</si>
  <si>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</si>
  <si>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</si>
  <si>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</si>
  <si>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</si>
  <si>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</si>
  <si>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</si>
  <si>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</si>
  <si>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</si>
  <si>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</si>
  <si>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</si>
  <si>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</si>
  <si>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</si>
  <si>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</si>
  <si>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</si>
  <si>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</si>
  <si>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</si>
  <si>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</si>
  <si>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</si>
  <si>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</si>
  <si>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</si>
  <si>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</si>
  <si>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</si>
  <si>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</si>
  <si>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</si>
  <si>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</si>
  <si>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</si>
  <si>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</si>
  <si>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</si>
  <si>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</si>
  <si>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</si>
  <si>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</si>
  <si>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</si>
  <si>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</si>
  <si>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</si>
  <si>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</si>
  <si>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</si>
  <si>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</si>
  <si>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</si>
  <si>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</si>
  <si>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</si>
  <si>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</si>
  <si>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</si>
  <si>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</si>
  <si>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</si>
  <si>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</si>
  <si>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</si>
  <si>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</si>
  <si>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</si>
  <si>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</si>
  <si>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</si>
  <si>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</si>
  <si>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</si>
  <si>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</si>
  <si>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</si>
  <si>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</si>
  <si>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</si>
  <si>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</si>
  <si>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</si>
  <si>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</si>
  <si>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</si>
  <si>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</si>
  <si>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</si>
  <si>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</si>
  <si>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</si>
  <si>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</si>
  <si>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</si>
  <si>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</si>
  <si>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</si>
  <si>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</si>
  <si>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</si>
  <si>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</si>
  <si>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</si>
  <si>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</si>
  <si>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</si>
  <si>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</si>
  <si>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</si>
  <si>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</si>
  <si>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</si>
  <si>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</si>
  <si>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</si>
  <si>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</si>
  <si>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</si>
  <si>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</si>
  <si>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</si>
  <si>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</si>
  <si>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</si>
  <si>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</si>
  <si>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</si>
  <si>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</si>
  <si>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</si>
  <si>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</si>
  <si>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</si>
  <si>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</si>
  <si>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</si>
  <si>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</si>
  <si>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</si>
  <si>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</si>
  <si>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</si>
  <si>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</si>
  <si>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</si>
  <si>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</si>
  <si>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</si>
  <si>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</si>
  <si>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</si>
  <si>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</si>
  <si>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</si>
  <si>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</si>
  <si>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</si>
  <si>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</si>
  <si>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</si>
  <si>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</si>
  <si>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</si>
  <si>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</si>
  <si>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</si>
  <si>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</si>
  <si>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</si>
  <si>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</si>
  <si>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</si>
  <si>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</si>
  <si>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</si>
  <si>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</si>
  <si>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</si>
  <si>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</si>
  <si>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</si>
  <si>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</si>
  <si>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</si>
  <si>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</si>
  <si>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</si>
  <si>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</si>
  <si>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</si>
  <si>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</si>
  <si>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</si>
  <si>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</si>
  <si>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</si>
  <si>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</si>
  <si>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</si>
  <si>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</si>
  <si>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</si>
  <si>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</si>
  <si>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</si>
  <si>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</si>
  <si>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</si>
  <si>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</si>
  <si>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</si>
  <si>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</si>
  <si>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</si>
  <si>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</si>
  <si>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</si>
  <si>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</si>
  <si>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</si>
  <si>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</si>
  <si>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</si>
  <si>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</si>
  <si>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</si>
  <si>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</si>
  <si>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</si>
  <si>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</si>
  <si>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</si>
  <si>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</si>
  <si>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</si>
  <si>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</si>
  <si>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</si>
  <si>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</si>
  <si>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</si>
  <si>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</si>
  <si>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</si>
  <si>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</si>
  <si>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</si>
  <si>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</si>
  <si>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</si>
  <si>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</si>
  <si>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</si>
  <si>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</si>
  <si>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</si>
  <si>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</si>
  <si>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</si>
  <si>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</si>
  <si>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</si>
  <si>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</si>
  <si>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</si>
  <si>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</si>
  <si>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</si>
  <si>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</si>
  <si>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</si>
  <si>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</si>
  <si>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</si>
  <si>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</si>
  <si>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</si>
  <si>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</si>
  <si>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</si>
  <si>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</si>
  <si>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</si>
  <si>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</si>
  <si>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</si>
  <si>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</si>
  <si>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</si>
  <si>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</si>
  <si>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</si>
  <si>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</si>
  <si>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</si>
  <si>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</si>
  <si>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</si>
  <si>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</si>
  <si>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</si>
  <si>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</si>
  <si>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</si>
  <si>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</si>
  <si>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</si>
  <si>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</si>
  <si>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</si>
  <si>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</si>
  <si>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</si>
  <si>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</si>
  <si>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</si>
  <si>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</si>
  <si>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</si>
  <si>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</si>
  <si>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</si>
  <si>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</si>
  <si>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</si>
  <si>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</si>
  <si>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</si>
  <si>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</si>
  <si>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</si>
  <si>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</si>
  <si>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</si>
  <si>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</si>
  <si>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</si>
  <si>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</si>
  <si>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</si>
  <si>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</si>
  <si>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</si>
  <si>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</si>
  <si>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</si>
  <si>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</si>
  <si>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</si>
  <si>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</si>
  <si>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</si>
  <si>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</si>
  <si>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</si>
  <si>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</si>
  <si>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</si>
  <si>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</si>
  <si>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</si>
  <si>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</si>
  <si>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</si>
  <si>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</si>
  <si>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</si>
  <si>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</si>
  <si>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</si>
  <si>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</si>
  <si>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</si>
  <si>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</si>
  <si>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</si>
  <si>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</si>
  <si>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</si>
  <si>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</si>
  <si>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</si>
  <si>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</si>
  <si>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</si>
  <si>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</si>
  <si>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</si>
  <si>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</si>
  <si>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</si>
  <si>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</si>
  <si>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</si>
  <si>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</si>
  <si>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</si>
  <si>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</si>
  <si>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</si>
  <si>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</si>
  <si>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</si>
  <si>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</si>
  <si>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</si>
  <si>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</si>
  <si>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</si>
  <si>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</si>
  <si>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</si>
  <si>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</si>
  <si>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</si>
  <si>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</si>
  <si>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</si>
  <si>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</si>
  <si>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</si>
  <si>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</si>
  <si>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</si>
  <si>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</si>
  <si>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</si>
  <si>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</si>
  <si>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</si>
  <si>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</si>
  <si>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</si>
  <si>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</si>
  <si>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</si>
  <si>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</si>
  <si>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</si>
  <si>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</si>
  <si>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</si>
  <si>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</si>
  <si>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</si>
  <si>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</si>
  <si>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</si>
  <si>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</si>
  <si>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</si>
  <si>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</si>
  <si>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</si>
  <si>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</si>
  <si>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</si>
  <si>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</si>
  <si>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</si>
  <si>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</si>
  <si>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</si>
  <si>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</si>
  <si>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</si>
  <si>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</si>
  <si>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</si>
  <si>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</si>
  <si>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</si>
  <si>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</si>
  <si>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</si>
  <si>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</si>
  <si>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</si>
  <si>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</si>
  <si>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</si>
  <si>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</si>
  <si>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</si>
  <si>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</si>
  <si>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</si>
  <si>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</si>
  <si>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</si>
  <si>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</si>
  <si>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</si>
  <si>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</si>
  <si>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</si>
  <si>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</si>
  <si>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</si>
  <si>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</si>
  <si>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</si>
  <si>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</si>
  <si>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</si>
  <si>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</si>
  <si>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</si>
  <si>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</si>
  <si>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</si>
  <si>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</si>
  <si>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</si>
  <si>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</si>
  <si>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</si>
  <si>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</si>
  <si>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</si>
  <si>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</si>
  <si>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</si>
  <si>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</si>
  <si>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</si>
  <si>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</si>
  <si>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</si>
  <si>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</si>
  <si>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</si>
  <si>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</si>
  <si>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</si>
  <si>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</si>
  <si>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</si>
  <si>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</si>
  <si>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</si>
  <si>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</si>
  <si>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</si>
  <si>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</si>
  <si>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</si>
  <si>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</si>
  <si>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</si>
  <si>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</si>
  <si>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</si>
  <si>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</si>
  <si>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</si>
  <si>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</si>
  <si>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</si>
  <si>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</si>
  <si>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</si>
  <si>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</si>
  <si>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</si>
  <si>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</si>
  <si>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</si>
  <si>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</si>
  <si>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</si>
  <si>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</si>
  <si>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</si>
  <si>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</si>
  <si>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</si>
  <si>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</si>
  <si>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</si>
  <si>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</si>
  <si>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</si>
  <si>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</si>
  <si>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</si>
  <si>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</si>
  <si>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</si>
  <si>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</si>
  <si>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</si>
  <si>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</si>
  <si>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</si>
  <si>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</si>
  <si>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</si>
  <si>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</si>
  <si>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</si>
  <si>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</si>
  <si>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</si>
  <si>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</si>
  <si>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</si>
  <si>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</si>
  <si>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</si>
  <si>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</si>
  <si>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</si>
  <si>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</si>
  <si>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</si>
  <si>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</si>
  <si>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</si>
  <si>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</si>
  <si>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</si>
  <si>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</si>
  <si>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</si>
  <si>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</si>
  <si>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</si>
  <si>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</si>
  <si>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</si>
  <si>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</si>
  <si>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</si>
  <si>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</si>
  <si>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</si>
  <si>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</si>
  <si>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</si>
  <si>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</si>
  <si>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</si>
  <si>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</si>
  <si>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</si>
  <si>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</si>
  <si>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</si>
  <si>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</si>
  <si>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</si>
  <si>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</si>
  <si>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</si>
  <si>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</si>
  <si>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</si>
  <si>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</si>
  <si>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</si>
  <si>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</si>
  <si>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</si>
  <si>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</si>
  <si>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</si>
  <si>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</si>
  <si>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</si>
  <si>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</si>
  <si>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</si>
  <si>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</si>
  <si>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</si>
  <si>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</si>
  <si>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</si>
  <si>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</si>
  <si>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</si>
  <si>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</si>
  <si>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</si>
  <si>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</si>
  <si>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</si>
  <si>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</si>
  <si>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</si>
  <si>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</si>
  <si>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</si>
  <si>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</si>
  <si>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</si>
  <si>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</si>
  <si>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</si>
  <si>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</si>
  <si>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</si>
  <si>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</si>
  <si>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</si>
  <si>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</si>
  <si>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</si>
  <si>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</si>
  <si>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</si>
  <si>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</si>
  <si>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</si>
  <si>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</si>
  <si>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</si>
  <si>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</si>
  <si>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</si>
  <si>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</si>
  <si>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</si>
  <si>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</si>
  <si>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</si>
  <si>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</si>
  <si>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</si>
  <si>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</si>
  <si>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</si>
  <si>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</si>
  <si>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</si>
  <si>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</si>
  <si>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</si>
  <si>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</si>
  <si>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</si>
  <si>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</si>
  <si>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</si>
  <si>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</si>
  <si>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</si>
  <si>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</si>
  <si>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</si>
  <si>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</si>
  <si>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</si>
  <si>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</si>
  <si>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</si>
  <si>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</si>
  <si>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</si>
  <si>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</si>
  <si>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</si>
  <si>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</si>
  <si>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</si>
  <si>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</si>
  <si>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</si>
  <si>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</si>
  <si>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</si>
  <si>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</si>
  <si>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</si>
  <si>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</si>
  <si>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</si>
  <si>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</si>
  <si>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</si>
  <si>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</si>
  <si>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</si>
  <si>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</si>
  <si>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</si>
  <si>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</si>
  <si>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</si>
  <si>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</si>
  <si>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</si>
  <si>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</si>
  <si>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</si>
  <si>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</si>
  <si>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</si>
  <si>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</si>
  <si>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</si>
  <si>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</si>
  <si>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</si>
  <si>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</si>
  <si>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</si>
  <si>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</si>
  <si>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</si>
  <si>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</si>
  <si>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</si>
  <si>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</si>
  <si>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</si>
  <si>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</si>
  <si>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</si>
  <si>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</si>
  <si>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</si>
  <si>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</si>
  <si>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</si>
  <si>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</si>
  <si>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</si>
  <si>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</si>
  <si>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</si>
  <si>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</si>
  <si>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</si>
  <si>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</si>
  <si>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</si>
  <si>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</si>
  <si>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</si>
  <si>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</si>
  <si>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</si>
  <si>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</si>
  <si>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</si>
  <si>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</si>
  <si>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</si>
  <si>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</si>
  <si>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</si>
  <si>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</si>
  <si>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</si>
  <si>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</si>
  <si>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</si>
  <si>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</si>
  <si>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</si>
  <si>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</si>
  <si>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</si>
  <si>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</si>
  <si>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</si>
  <si>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</si>
  <si>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</si>
  <si>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</si>
  <si>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</si>
  <si>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</si>
  <si>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</si>
  <si>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</si>
  <si>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</si>
  <si>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</si>
  <si>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</si>
  <si>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</si>
  <si>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</si>
  <si>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</si>
  <si>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</si>
  <si>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</si>
  <si>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</si>
  <si>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</si>
  <si>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</si>
  <si>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</si>
  <si>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</si>
  <si>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</si>
  <si>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</si>
  <si>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</si>
  <si>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</si>
  <si>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</si>
  <si>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</si>
  <si>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</si>
  <si>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</si>
  <si>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</si>
  <si>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</si>
  <si>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</si>
  <si>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</si>
  <si>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</si>
  <si>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</si>
  <si>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</si>
  <si>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</si>
  <si>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</si>
  <si>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</si>
  <si>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</si>
  <si>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</si>
  <si>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</si>
  <si>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</si>
  <si>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</si>
  <si>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</si>
  <si>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</si>
  <si>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</si>
  <si>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</si>
  <si>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</si>
  <si>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</si>
  <si>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</si>
  <si>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</si>
  <si>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</si>
  <si>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</si>
  <si>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</si>
  <si>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</si>
  <si>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</si>
  <si>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</si>
  <si>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</si>
  <si>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</si>
  <si>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</si>
  <si>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</si>
  <si>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</si>
  <si>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</si>
  <si>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</si>
  <si>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</si>
  <si>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</si>
  <si>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</si>
  <si>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</si>
  <si>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</si>
  <si>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</si>
  <si>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</si>
  <si>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</si>
  <si>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</si>
  <si>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</si>
  <si>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</si>
  <si>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</si>
  <si>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</si>
  <si>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</si>
  <si>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</si>
  <si>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</si>
  <si>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</si>
  <si>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</si>
  <si>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</si>
  <si>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</si>
  <si>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</si>
  <si>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</si>
  <si>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</si>
  <si>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</si>
  <si>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</si>
  <si>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</si>
  <si>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</si>
  <si>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</si>
  <si>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</si>
  <si>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</si>
  <si>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</si>
  <si>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</si>
  <si>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</si>
  <si>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</si>
  <si>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</si>
  <si>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</si>
  <si>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</si>
  <si>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</si>
  <si>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</si>
  <si>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</si>
  <si>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</si>
  <si>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</si>
  <si>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</si>
  <si>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</si>
  <si>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</si>
  <si>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</si>
  <si>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</si>
  <si>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</si>
  <si>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</si>
  <si>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</si>
  <si>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</si>
  <si>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</si>
  <si>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</si>
  <si>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</si>
  <si>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</si>
  <si>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</si>
  <si>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</si>
  <si>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</si>
  <si>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</si>
  <si>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</si>
  <si>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</si>
  <si>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</si>
  <si>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</si>
  <si>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r>
      <t>* For Mammomat Revelation and</t>
    </r>
    <r>
      <rPr>
        <i/>
        <sz val="9"/>
        <color rgb="FFFF0000"/>
        <rFont val="Arial"/>
        <family val="2"/>
      </rPr>
      <t xml:space="preserve"> </t>
    </r>
    <r>
      <rPr>
        <i/>
        <sz val="9"/>
        <rFont val="Arial"/>
        <family val="2"/>
      </rPr>
      <t>Inspriation, indicate NA-calibration required before QC but does not need to be documented</t>
    </r>
  </si>
  <si>
    <t>Detector Calibration*</t>
  </si>
  <si>
    <t>DHEC RHB 11.2.3</t>
  </si>
  <si>
    <t>Revision 1.5-20250904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</si>
</sst>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80">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i/>
      <sz val="12"/>
      <name val="Arial"/>
      <family val="2"/>
    </font>
    <font>
      <i/>
      <sz val="9"/>
      <color rgb="FFFF0000"/>
      <name val="Arial"/>
      <family val="2"/>
    </font>
    <font>
      <b/>
      <sz val="11"/>
      <color theme="1"/>
      <name val="Arial"/>
      <family val="2"/>
    </font>
    <font>
      <sz val="11"/>
      <color theme="1"/>
      <name val="Arial"/>
      <family val="2"/>
    </font>
    <font>
      <b/>
      <sz val="11"/>
      <color rgb="FFFFFFFF"/>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89">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805">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Border="1" applyAlignment="1">
      <alignment vertical="center"/>
    </xf>
    <xf numFmtId="0" fontId="7" fillId="0" borderId="21" xfId="0" applyFont="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8" xfId="0" applyFont="1" applyBorder="1" applyAlignment="1">
      <alignment vertical="center"/>
    </xf>
    <xf numFmtId="164" fontId="7" fillId="0" borderId="11" xfId="0" applyNumberFormat="1" applyFont="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15" fillId="0" borderId="0" xfId="0" applyFont="1" applyAlignment="1">
      <alignmen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0" fontId="7" fillId="0" borderId="0" xfId="0" applyFont="1" applyAlignment="1">
      <alignment horizontal="center" vertical="center"/>
    </xf>
    <xf numFmtId="164" fontId="7" fillId="0" borderId="0" xfId="0" applyNumberFormat="1" applyFont="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lignment horizontal="center" vertical="center"/>
    </xf>
    <xf numFmtId="0" fontId="7" fillId="0" borderId="47" xfId="0" applyFont="1" applyBorder="1" applyAlignment="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1" fontId="7" fillId="0" borderId="48" xfId="0" applyNumberFormat="1" applyFont="1" applyBorder="1" applyAlignment="1" applyProtection="1">
      <alignment horizontal="center" vertical="center"/>
      <protection locked="0"/>
    </xf>
    <xf numFmtId="1" fontId="7" fillId="0" borderId="11" xfId="0" applyNumberFormat="1" applyFont="1" applyBorder="1" applyAlignment="1" applyProtection="1">
      <alignment horizontal="center" vertical="center"/>
      <protection locked="0"/>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Border="1" applyAlignment="1">
      <alignment horizontal="center" vertical="center"/>
    </xf>
    <xf numFmtId="2" fontId="7" fillId="0" borderId="52" xfId="0" applyNumberFormat="1" applyFont="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Border="1" applyAlignment="1">
      <alignment horizontal="center" vertical="center"/>
    </xf>
    <xf numFmtId="2" fontId="7" fillId="0" borderId="30" xfId="0" applyNumberFormat="1" applyFont="1" applyBorder="1" applyAlignment="1">
      <alignment horizontal="center" vertical="center"/>
    </xf>
    <xf numFmtId="0" fontId="7" fillId="0" borderId="53" xfId="0" applyFont="1" applyBorder="1" applyAlignment="1">
      <alignment vertical="center"/>
    </xf>
    <xf numFmtId="164" fontId="7" fillId="0" borderId="51" xfId="0" applyNumberFormat="1" applyFont="1" applyBorder="1" applyAlignment="1">
      <alignment horizontal="center" vertical="center"/>
    </xf>
    <xf numFmtId="167" fontId="9"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167" fontId="9" fillId="0" borderId="38" xfId="0" applyNumberFormat="1" applyFont="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0" fontId="7" fillId="0" borderId="11" xfId="2" applyFont="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Border="1" applyAlignment="1">
      <alignment horizontal="center" vertical="center"/>
    </xf>
    <xf numFmtId="10" fontId="7" fillId="0" borderId="45"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Alignment="1">
      <alignment horizontal="center" vertical="center"/>
    </xf>
    <xf numFmtId="171"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0" fontId="7" fillId="0" borderId="72" xfId="0" applyFont="1" applyBorder="1" applyAlignment="1">
      <alignment horizontal="center" vertical="center"/>
    </xf>
    <xf numFmtId="0" fontId="12" fillId="0" borderId="8" xfId="0" applyFont="1" applyBorder="1" applyAlignment="1">
      <alignment horizontal="center" vertical="center"/>
    </xf>
    <xf numFmtId="164" fontId="7" fillId="10" borderId="73" xfId="0" applyNumberFormat="1" applyFont="1" applyFill="1" applyBorder="1" applyAlignment="1">
      <alignment horizontal="center" vertical="center"/>
    </xf>
    <xf numFmtId="0" fontId="7" fillId="0" borderId="77" xfId="0" applyFont="1" applyBorder="1" applyAlignment="1">
      <alignment horizontal="center" vertical="center"/>
    </xf>
    <xf numFmtId="0" fontId="7" fillId="0" borderId="58" xfId="0" applyFont="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10" fontId="7" fillId="0" borderId="0" xfId="0" applyNumberFormat="1" applyFont="1" applyAlignment="1">
      <alignment horizontal="center" vertical="center"/>
    </xf>
    <xf numFmtId="0" fontId="7" fillId="0" borderId="80" xfId="0" applyFont="1" applyBorder="1" applyAlignment="1">
      <alignment horizontal="center" vertical="center"/>
    </xf>
    <xf numFmtId="0" fontId="9" fillId="0" borderId="73" xfId="0"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Font="1" applyBorder="1" applyAlignment="1">
      <alignment horizontal="center" vertical="center"/>
    </xf>
    <xf numFmtId="0" fontId="9" fillId="0" borderId="85" xfId="0" applyFont="1" applyBorder="1" applyAlignment="1">
      <alignment horizontal="center" vertical="center"/>
    </xf>
    <xf numFmtId="0" fontId="9" fillId="0" borderId="86" xfId="0" applyFont="1" applyBorder="1" applyAlignment="1">
      <alignment horizontal="center" vertical="center"/>
    </xf>
    <xf numFmtId="0" fontId="9" fillId="0" borderId="87" xfId="0" applyFont="1" applyBorder="1" applyAlignment="1">
      <alignment horizontal="center" vertical="center"/>
    </xf>
    <xf numFmtId="0" fontId="9" fillId="0" borderId="88" xfId="0" applyFont="1" applyBorder="1" applyAlignment="1">
      <alignment horizontal="center" vertical="center"/>
    </xf>
    <xf numFmtId="0" fontId="7" fillId="0" borderId="86" xfId="0" applyFont="1" applyBorder="1" applyAlignment="1">
      <alignment horizontal="center" vertical="center"/>
    </xf>
    <xf numFmtId="0" fontId="7" fillId="0" borderId="87" xfId="0" applyFont="1" applyBorder="1" applyAlignment="1">
      <alignment horizontal="center" vertical="center"/>
    </xf>
    <xf numFmtId="0" fontId="7" fillId="0" borderId="92" xfId="0" applyFont="1" applyBorder="1" applyAlignment="1">
      <alignment horizontal="right" vertical="center"/>
    </xf>
    <xf numFmtId="0" fontId="7" fillId="0" borderId="88" xfId="0" applyFont="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96" xfId="0" applyFont="1" applyBorder="1" applyAlignment="1">
      <alignment horizontal="center" vertical="center"/>
    </xf>
    <xf numFmtId="0" fontId="7" fillId="0" borderId="97" xfId="0" applyFont="1" applyBorder="1" applyAlignment="1">
      <alignment horizontal="center" vertical="center"/>
    </xf>
    <xf numFmtId="0" fontId="7" fillId="0" borderId="98" xfId="0" applyFont="1" applyBorder="1" applyAlignment="1">
      <alignment horizontal="center" vertical="center"/>
    </xf>
    <xf numFmtId="0" fontId="9" fillId="0" borderId="96" xfId="0" applyFont="1" applyBorder="1" applyAlignment="1">
      <alignment horizontal="center" vertical="center"/>
    </xf>
    <xf numFmtId="0" fontId="9" fillId="0" borderId="97" xfId="0" applyFont="1" applyBorder="1" applyAlignment="1">
      <alignment horizontal="center" vertical="center"/>
    </xf>
    <xf numFmtId="0" fontId="9" fillId="0" borderId="98" xfId="0"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Border="1" applyAlignment="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Border="1" applyAlignment="1">
      <alignment horizontal="center" vertical="center"/>
    </xf>
    <xf numFmtId="0" fontId="7" fillId="0" borderId="107"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2" xfId="0" applyFont="1" applyBorder="1" applyAlignment="1">
      <alignment horizontal="center" vertical="center"/>
    </xf>
    <xf numFmtId="0" fontId="7" fillId="0" borderId="113" xfId="0" applyFont="1" applyBorder="1" applyAlignment="1">
      <alignment horizontal="center" vertical="center"/>
    </xf>
    <xf numFmtId="0" fontId="7" fillId="0" borderId="93" xfId="0" applyFont="1" applyBorder="1" applyAlignment="1">
      <alignment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Border="1" applyAlignment="1">
      <alignment horizontal="center" vertical="center"/>
    </xf>
    <xf numFmtId="0" fontId="7" fillId="0" borderId="82" xfId="2" applyFont="1" applyBorder="1" applyAlignment="1">
      <alignment horizontal="center" vertical="center"/>
    </xf>
    <xf numFmtId="10" fontId="7" fillId="0" borderId="132" xfId="0" applyNumberFormat="1" applyFont="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7" fillId="0" borderId="140" xfId="0" applyFont="1" applyBorder="1" applyAlignment="1">
      <alignmen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1" xfId="0" applyFont="1" applyBorder="1" applyAlignment="1">
      <alignment horizontal="center" vertical="center"/>
    </xf>
    <xf numFmtId="0" fontId="7" fillId="0" borderId="99" xfId="0"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7" fillId="0" borderId="0" xfId="11" applyFont="1"/>
    <xf numFmtId="0" fontId="25"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2" fontId="41" fillId="0" borderId="0" xfId="11" applyNumberFormat="1" applyFont="1" applyAlignment="1">
      <alignment horizontal="center" vertical="center" wrapText="1"/>
    </xf>
    <xf numFmtId="0" fontId="25" fillId="0" borderId="0" xfId="11" applyFont="1" applyAlignment="1">
      <alignment horizontal="center" vertical="center"/>
    </xf>
    <xf numFmtId="49" fontId="27" fillId="0" borderId="0" xfId="11" applyNumberFormat="1" applyFont="1"/>
    <xf numFmtId="49" fontId="27" fillId="0" borderId="0" xfId="11" applyNumberFormat="1" applyFont="1" applyAlignment="1">
      <alignment horizontal="left"/>
    </xf>
    <xf numFmtId="0" fontId="32" fillId="0" borderId="0" xfId="11" applyFont="1"/>
    <xf numFmtId="0" fontId="42" fillId="17" borderId="0" xfId="12" applyFont="1" applyFill="1" applyAlignment="1">
      <alignment horizontal="left" wrapText="1"/>
    </xf>
    <xf numFmtId="0" fontId="42" fillId="17" borderId="0" xfId="12" applyFont="1" applyFill="1" applyAlignment="1">
      <alignment horizontal="left"/>
    </xf>
    <xf numFmtId="0" fontId="43" fillId="17" borderId="0" xfId="12" applyFont="1" applyFill="1" applyAlignment="1">
      <alignment horizontal="center" wrapText="1"/>
    </xf>
    <xf numFmtId="2" fontId="44" fillId="18" borderId="0" xfId="12" applyNumberFormat="1" applyFont="1" applyFill="1" applyAlignment="1"/>
    <xf numFmtId="0" fontId="43" fillId="17" borderId="0" xfId="12" applyFont="1" applyFill="1" applyAlignment="1"/>
    <xf numFmtId="0" fontId="42" fillId="17" borderId="0" xfId="12" applyFont="1" applyFill="1" applyAlignment="1"/>
    <xf numFmtId="0" fontId="25" fillId="0" borderId="0" xfId="11" applyFont="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lignment vertical="center"/>
    </xf>
    <xf numFmtId="0" fontId="48" fillId="0" borderId="140" xfId="0" applyFont="1" applyBorder="1" applyAlignment="1">
      <alignment vertical="center"/>
    </xf>
    <xf numFmtId="0" fontId="7" fillId="0" borderId="121" xfId="0"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Border="1" applyAlignment="1">
      <alignment horizontal="center" vertical="center"/>
    </xf>
    <xf numFmtId="0" fontId="7" fillId="7" borderId="27" xfId="0" applyFont="1" applyFill="1" applyBorder="1" applyAlignment="1">
      <alignment horizontal="center" vertical="center"/>
    </xf>
    <xf numFmtId="0" fontId="9" fillId="0" borderId="0" xfId="0" applyFont="1">
      <alignment vertical="top"/>
    </xf>
    <xf numFmtId="0" fontId="9" fillId="0" borderId="0" xfId="0" applyFont="1" applyAlignment="1">
      <alignment horizontal="center" vertical="center"/>
    </xf>
    <xf numFmtId="0" fontId="49" fillId="0" borderId="0" xfId="0" applyFont="1" applyAlignment="1">
      <alignment horizontal="center" vertical="center"/>
    </xf>
    <xf numFmtId="0" fontId="50" fillId="0" borderId="14" xfId="0" applyFont="1"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1" fillId="0" borderId="2" xfId="0" applyFont="1" applyBorder="1" applyAlignment="1">
      <alignment horizontal="left" vertical="center"/>
    </xf>
    <xf numFmtId="0" fontId="52" fillId="0" borderId="2" xfId="0" applyFont="1" applyBorder="1" applyAlignment="1">
      <alignment horizontal="left" vertical="center"/>
    </xf>
    <xf numFmtId="0" fontId="9" fillId="0" borderId="3" xfId="0" applyFont="1" applyBorder="1" applyAlignment="1">
      <alignment horizontal="center" vertical="center"/>
    </xf>
    <xf numFmtId="0" fontId="9" fillId="0" borderId="7" xfId="0" applyFont="1" applyBorder="1" applyAlignment="1">
      <alignment horizontal="left" vertical="center"/>
    </xf>
    <xf numFmtId="0" fontId="50" fillId="0" borderId="0" xfId="0" applyFont="1" applyAlignment="1">
      <alignment horizontal="right" vertical="center"/>
    </xf>
    <xf numFmtId="174" fontId="50" fillId="16" borderId="73" xfId="10" applyNumberFormat="1" applyFont="1" applyFill="1">
      <alignment horizontal="left" vertical="center"/>
      <protection locked="0"/>
    </xf>
    <xf numFmtId="0" fontId="51" fillId="0" borderId="80" xfId="0" applyFont="1" applyBorder="1" applyAlignment="1">
      <alignment horizontal="left" vertical="center"/>
    </xf>
    <xf numFmtId="0" fontId="53" fillId="0" borderId="126" xfId="0" applyFont="1" applyBorder="1" applyAlignment="1">
      <alignment horizontal="left" vertical="center"/>
    </xf>
    <xf numFmtId="0" fontId="50" fillId="0" borderId="80" xfId="0" applyFont="1" applyBorder="1" applyAlignment="1">
      <alignment horizontal="center" vertical="center"/>
    </xf>
    <xf numFmtId="0" fontId="50" fillId="0" borderId="8" xfId="0" applyFont="1" applyBorder="1" applyAlignment="1">
      <alignment horizontal="center" vertical="center"/>
    </xf>
    <xf numFmtId="0" fontId="50" fillId="0" borderId="7" xfId="0" applyFont="1" applyBorder="1" applyAlignment="1">
      <alignment horizontal="left" vertical="center"/>
    </xf>
    <xf numFmtId="0" fontId="54" fillId="0" borderId="0" xfId="0" applyFont="1" applyAlignment="1">
      <alignment horizontal="right" vertical="center"/>
    </xf>
    <xf numFmtId="174" fontId="55" fillId="0" borderId="80" xfId="0" applyNumberFormat="1" applyFont="1" applyBorder="1" applyAlignment="1">
      <alignment horizontal="center" vertical="center"/>
    </xf>
    <xf numFmtId="174" fontId="56" fillId="0" borderId="80" xfId="0" applyNumberFormat="1" applyFont="1" applyBorder="1" applyAlignment="1">
      <alignment horizontal="center" vertical="center"/>
    </xf>
    <xf numFmtId="174" fontId="56" fillId="0" borderId="138" xfId="0" applyNumberFormat="1" applyFont="1" applyBorder="1" applyAlignment="1">
      <alignment horizontal="center" vertical="center"/>
    </xf>
    <xf numFmtId="174" fontId="56" fillId="0" borderId="92" xfId="0" applyNumberFormat="1" applyFont="1" applyBorder="1" applyAlignment="1">
      <alignment horizontal="center" vertical="center"/>
    </xf>
    <xf numFmtId="0" fontId="57" fillId="0" borderId="80" xfId="0" applyFont="1" applyBorder="1" applyAlignment="1">
      <alignment horizontal="left" vertical="center"/>
    </xf>
    <xf numFmtId="0" fontId="50" fillId="0" borderId="80" xfId="0" applyFont="1" applyBorder="1" applyAlignment="1">
      <alignment horizontal="left" vertical="center"/>
    </xf>
    <xf numFmtId="0" fontId="50" fillId="0" borderId="8" xfId="0" applyFont="1" applyBorder="1" applyAlignment="1">
      <alignment horizontal="left" vertical="center"/>
    </xf>
    <xf numFmtId="0" fontId="58" fillId="0" borderId="7" xfId="0" applyFont="1" applyBorder="1" applyAlignment="1">
      <alignment horizontal="left" vertical="center"/>
    </xf>
    <xf numFmtId="174" fontId="55" fillId="0" borderId="0" xfId="0" applyNumberFormat="1" applyFont="1" applyAlignment="1">
      <alignment horizontal="center" vertical="center"/>
    </xf>
    <xf numFmtId="174" fontId="56" fillId="0" borderId="0" xfId="0" applyNumberFormat="1" applyFont="1" applyAlignment="1">
      <alignment horizontal="center" vertical="center"/>
    </xf>
    <xf numFmtId="174" fontId="56" fillId="0" borderId="139" xfId="0" applyNumberFormat="1" applyFont="1" applyBorder="1" applyAlignment="1">
      <alignment horizontal="center" vertical="center"/>
    </xf>
    <xf numFmtId="174" fontId="56" fillId="0" borderId="122" xfId="0" applyNumberFormat="1" applyFont="1" applyBorder="1" applyAlignment="1">
      <alignment horizontal="center" vertical="center"/>
    </xf>
    <xf numFmtId="0" fontId="57" fillId="0" borderId="0" xfId="0" applyFont="1" applyAlignment="1">
      <alignment horizontal="left" vertical="center"/>
    </xf>
    <xf numFmtId="0" fontId="50" fillId="0" borderId="0" xfId="0" applyFont="1" applyAlignment="1">
      <alignment horizontal="center" vertical="center"/>
    </xf>
    <xf numFmtId="0" fontId="59" fillId="0" borderId="0" xfId="0" applyFont="1" applyAlignment="1">
      <alignment horizontal="right" vertical="center"/>
    </xf>
    <xf numFmtId="0" fontId="50" fillId="0" borderId="137" xfId="0" applyFont="1" applyBorder="1" applyAlignment="1">
      <alignment horizontal="center" vertical="center"/>
    </xf>
    <xf numFmtId="174" fontId="50" fillId="0" borderId="0" xfId="10" applyNumberFormat="1" applyFont="1" applyFill="1" applyBorder="1">
      <alignment horizontal="left" vertical="center"/>
      <protection locked="0"/>
    </xf>
    <xf numFmtId="0" fontId="51" fillId="0" borderId="0" xfId="0" applyFont="1" applyAlignment="1">
      <alignment horizontal="left" vertical="center"/>
    </xf>
    <xf numFmtId="0" fontId="53" fillId="0" borderId="0" xfId="0" applyFont="1" applyAlignment="1">
      <alignment horizontal="left" vertical="center"/>
    </xf>
    <xf numFmtId="0" fontId="50" fillId="0" borderId="0" xfId="0" applyFont="1" applyAlignment="1">
      <alignment horizontal="left" vertical="center"/>
    </xf>
    <xf numFmtId="0" fontId="50" fillId="0" borderId="140" xfId="0" applyFont="1" applyBorder="1" applyAlignment="1">
      <alignment horizontal="center" vertical="center"/>
    </xf>
    <xf numFmtId="0" fontId="60" fillId="0" borderId="0" xfId="0" applyFont="1" applyAlignment="1">
      <alignment horizontal="center" vertical="center"/>
    </xf>
    <xf numFmtId="174" fontId="9" fillId="0" borderId="0" xfId="0" applyNumberFormat="1" applyFont="1" applyAlignment="1">
      <alignment horizontal="center" vertical="center"/>
    </xf>
    <xf numFmtId="1" fontId="50" fillId="0" borderId="0" xfId="0" applyNumberFormat="1" applyFont="1" applyAlignment="1">
      <alignment horizontal="right" vertical="center"/>
    </xf>
    <xf numFmtId="174" fontId="51" fillId="0" borderId="0" xfId="0" applyNumberFormat="1" applyFont="1" applyAlignment="1">
      <alignment horizontal="left" vertical="center"/>
    </xf>
    <xf numFmtId="1" fontId="50" fillId="0" borderId="0" xfId="0" applyNumberFormat="1" applyFont="1" applyAlignment="1">
      <alignment horizontal="center" vertical="center"/>
    </xf>
    <xf numFmtId="0" fontId="61" fillId="0" borderId="0" xfId="0" applyFont="1" applyAlignment="1">
      <alignment horizontal="left" vertical="center"/>
    </xf>
    <xf numFmtId="0" fontId="50" fillId="0" borderId="13" xfId="0" applyFont="1" applyBorder="1" applyAlignment="1">
      <alignment horizontal="left" vertical="center"/>
    </xf>
    <xf numFmtId="0" fontId="50" fillId="0" borderId="14" xfId="0" applyFont="1" applyBorder="1" applyAlignment="1">
      <alignment horizontal="center" vertical="center"/>
    </xf>
    <xf numFmtId="174" fontId="50" fillId="0" borderId="14" xfId="0" applyNumberFormat="1" applyFont="1" applyBorder="1" applyAlignment="1">
      <alignment horizontal="center" vertical="center"/>
    </xf>
    <xf numFmtId="0" fontId="51" fillId="0" borderId="14" xfId="0" applyFont="1" applyBorder="1" applyAlignment="1">
      <alignment horizontal="left" vertical="center"/>
    </xf>
    <xf numFmtId="0" fontId="50" fillId="0" borderId="15" xfId="0" applyFont="1" applyBorder="1" applyAlignment="1">
      <alignment horizontal="center" vertical="center"/>
    </xf>
    <xf numFmtId="0" fontId="51" fillId="0" borderId="14" xfId="0" applyFont="1" applyBorder="1" applyAlignment="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Font="1" applyFill="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0" borderId="73" xfId="0" applyFont="1" applyFill="1" applyBorder="1" applyAlignment="1">
      <alignment horizontal="center" vertical="center"/>
    </xf>
    <xf numFmtId="0" fontId="7" fillId="20" borderId="87" xfId="0" applyFont="1" applyFill="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0"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10" xfId="0" applyBorder="1">
      <alignment vertical="top"/>
    </xf>
    <xf numFmtId="0" fontId="7" fillId="0" borderId="155" xfId="0" applyFont="1" applyBorder="1" applyAlignment="1">
      <alignment horizontal="center" vertical="center"/>
    </xf>
    <xf numFmtId="2" fontId="7" fillId="21" borderId="73" xfId="0" applyNumberFormat="1" applyFont="1" applyFill="1" applyBorder="1" applyAlignment="1">
      <alignment horizontal="center" vertical="center"/>
    </xf>
    <xf numFmtId="2" fontId="7" fillId="21"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0" borderId="84" xfId="0" applyFont="1" applyFill="1" applyBorder="1" applyAlignment="1">
      <alignment horizontal="center" vertical="center"/>
    </xf>
    <xf numFmtId="0" fontId="7" fillId="20" borderId="85" xfId="0" applyFont="1" applyFill="1" applyBorder="1" applyAlignment="1">
      <alignment horizontal="center" vertical="center"/>
    </xf>
    <xf numFmtId="167" fontId="9" fillId="0" borderId="31" xfId="0" applyNumberFormat="1"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2" borderId="47" xfId="0" applyNumberFormat="1" applyFont="1" applyFill="1" applyBorder="1" applyAlignment="1" applyProtection="1">
      <alignment horizontal="center" vertical="center"/>
      <protection locked="0"/>
    </xf>
    <xf numFmtId="164" fontId="7" fillId="22"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0" borderId="114" xfId="0" applyFont="1" applyFill="1" applyBorder="1" applyAlignment="1">
      <alignment horizontal="center" vertical="center"/>
    </xf>
    <xf numFmtId="0" fontId="7" fillId="20" borderId="160" xfId="0" applyFont="1" applyFill="1" applyBorder="1" applyAlignment="1">
      <alignment horizontal="center" vertical="center"/>
    </xf>
    <xf numFmtId="0" fontId="7" fillId="0" borderId="161" xfId="0" applyFont="1" applyBorder="1" applyAlignment="1">
      <alignment horizontal="center" vertical="center"/>
    </xf>
    <xf numFmtId="0" fontId="7" fillId="20" borderId="162" xfId="0" applyFont="1" applyFill="1" applyBorder="1" applyAlignment="1">
      <alignment horizontal="center" vertical="center"/>
    </xf>
    <xf numFmtId="0" fontId="7" fillId="19" borderId="162" xfId="0" applyFont="1" applyFill="1" applyBorder="1" applyAlignment="1">
      <alignment horizontal="center" vertical="center"/>
    </xf>
    <xf numFmtId="0" fontId="7" fillId="19"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7" fillId="0" borderId="20" xfId="0" applyFont="1" applyBorder="1" applyAlignment="1">
      <alignment horizontal="left" vertical="center"/>
    </xf>
    <xf numFmtId="0" fontId="7" fillId="0" borderId="94" xfId="0" applyFont="1" applyBorder="1" applyAlignment="1">
      <alignment horizontal="center"/>
    </xf>
    <xf numFmtId="0" fontId="7" fillId="0" borderId="153" xfId="0" applyFont="1" applyBorder="1" applyAlignment="1">
      <alignment horizont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3" borderId="0" xfId="0" applyNumberFormat="1" applyFont="1" applyFill="1" applyAlignment="1">
      <alignment horizontal="center" vertical="center"/>
    </xf>
    <xf numFmtId="2" fontId="7" fillId="0" borderId="44" xfId="0" applyNumberFormat="1" applyFont="1" applyBorder="1" applyAlignment="1">
      <alignment horizontal="center" vertical="center"/>
    </xf>
    <xf numFmtId="10" fontId="7" fillId="0" borderId="44" xfId="0" applyNumberFormat="1" applyFont="1" applyBorder="1" applyAlignment="1">
      <alignment horizontal="center" vertical="center"/>
    </xf>
    <xf numFmtId="2" fontId="7" fillId="0" borderId="95" xfId="0" applyNumberFormat="1" applyFont="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7" fillId="19" borderId="84" xfId="0" applyFont="1" applyFill="1" applyBorder="1" applyAlignment="1">
      <alignment horizontal="center" vertical="center"/>
    </xf>
    <xf numFmtId="0" fontId="7" fillId="19" borderId="85" xfId="0" applyFont="1" applyFill="1" applyBorder="1" applyAlignment="1">
      <alignment horizontal="center" vertical="center"/>
    </xf>
    <xf numFmtId="0" fontId="7" fillId="19" borderId="86" xfId="0" applyFont="1" applyFill="1" applyBorder="1" applyAlignment="1">
      <alignment horizontal="center" vertical="center"/>
    </xf>
    <xf numFmtId="0" fontId="7" fillId="19"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19" borderId="73" xfId="0" applyFont="1" applyFill="1" applyBorder="1" applyAlignment="1">
      <alignment horizontal="center" vertical="center"/>
    </xf>
    <xf numFmtId="0" fontId="7" fillId="19" borderId="87" xfId="0" applyFont="1" applyFill="1" applyBorder="1" applyAlignment="1">
      <alignment horizontal="center" vertical="center"/>
    </xf>
    <xf numFmtId="164" fontId="7" fillId="0" borderId="107" xfId="0" applyNumberFormat="1" applyFont="1" applyBorder="1" applyAlignment="1">
      <alignment horizontal="center" vertical="center"/>
    </xf>
    <xf numFmtId="164" fontId="7" fillId="0" borderId="112" xfId="0" applyNumberFormat="1" applyFont="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19" borderId="95" xfId="0" applyNumberFormat="1" applyFont="1" applyFill="1" applyBorder="1" applyAlignment="1">
      <alignment horizontal="center" vertical="center"/>
    </xf>
    <xf numFmtId="2" fontId="7" fillId="19"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4" xfId="0" applyFont="1" applyBorder="1" applyAlignment="1">
      <alignment horizontal="center" vertical="center"/>
    </xf>
    <xf numFmtId="0" fontId="7" fillId="0" borderId="185" xfId="0" applyFont="1" applyBorder="1" applyAlignment="1">
      <alignment vertical="center"/>
    </xf>
    <xf numFmtId="0" fontId="7" fillId="0" borderId="83" xfId="0" applyFont="1" applyBorder="1" applyAlignment="1">
      <alignment vertical="center"/>
    </xf>
    <xf numFmtId="0" fontId="7" fillId="0" borderId="186" xfId="0" applyFont="1" applyBorder="1" applyAlignment="1">
      <alignment vertical="center"/>
    </xf>
    <xf numFmtId="10" fontId="7" fillId="0" borderId="30" xfId="0" applyNumberFormat="1" applyFont="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Alignment="1">
      <alignment horizontal="right" vertical="center"/>
    </xf>
    <xf numFmtId="14" fontId="22" fillId="17" borderId="0" xfId="11" applyNumberFormat="1" applyFill="1" applyAlignment="1">
      <alignment horizontal="left" vertical="center"/>
    </xf>
    <xf numFmtId="0" fontId="22" fillId="17" borderId="0" xfId="11" applyFill="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Alignment="1">
      <alignment horizontal="right" vertical="center"/>
    </xf>
    <xf numFmtId="0" fontId="27" fillId="0" borderId="0" xfId="11" applyFont="1" applyAlignment="1">
      <alignment vertical="center"/>
    </xf>
    <xf numFmtId="0" fontId="33" fillId="0" borderId="0" xfId="11" applyFont="1" applyAlignment="1">
      <alignment horizontal="right" vertical="center"/>
    </xf>
    <xf numFmtId="0" fontId="22" fillId="0" borderId="0" xfId="11" applyAlignment="1">
      <alignment horizontal="left" vertical="center"/>
    </xf>
    <xf numFmtId="0" fontId="34" fillId="0" borderId="0" xfId="11" applyFont="1" applyAlignment="1">
      <alignment horizontal="center" vertical="center"/>
    </xf>
    <xf numFmtId="0" fontId="29" fillId="0" borderId="0" xfId="11" applyFont="1" applyAlignment="1">
      <alignment horizontal="left" vertical="center"/>
    </xf>
    <xf numFmtId="0" fontId="32" fillId="0" borderId="0" xfId="11" applyFont="1" applyAlignment="1">
      <alignmen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Alignment="1">
      <alignment horizontal="center" vertical="center"/>
    </xf>
    <xf numFmtId="0" fontId="29" fillId="0" borderId="0" xfId="11" applyFont="1" applyAlignment="1">
      <alignment horizontal="center" vertical="center"/>
    </xf>
    <xf numFmtId="0" fontId="25" fillId="0" borderId="73" xfId="11" applyFont="1" applyBorder="1" applyAlignment="1">
      <alignment horizontal="center" vertical="center"/>
    </xf>
    <xf numFmtId="0" fontId="26" fillId="0" borderId="0" xfId="11" applyFont="1" applyAlignment="1">
      <alignment vertical="center"/>
    </xf>
    <xf numFmtId="2" fontId="27" fillId="0" borderId="0" xfId="11" applyNumberFormat="1" applyFont="1" applyAlignment="1">
      <alignment vertical="center"/>
    </xf>
    <xf numFmtId="0" fontId="27" fillId="0" borderId="0" xfId="11" applyFont="1" applyAlignment="1">
      <alignment horizontal="right" vertical="center"/>
    </xf>
    <xf numFmtId="164" fontId="22" fillId="0" borderId="73" xfId="11" applyNumberFormat="1" applyBorder="1" applyAlignment="1">
      <alignment horizontal="center" vertical="center"/>
    </xf>
    <xf numFmtId="164" fontId="27" fillId="0" borderId="74" xfId="11" applyNumberFormat="1" applyFont="1" applyBorder="1" applyAlignment="1">
      <alignment horizontal="center" vertical="center"/>
    </xf>
    <xf numFmtId="0" fontId="27" fillId="0" borderId="80" xfId="11" applyFont="1" applyBorder="1" applyAlignment="1">
      <alignment horizontal="right"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Alignment="1">
      <alignment horizontal="left" vertical="center"/>
    </xf>
    <xf numFmtId="0" fontId="6" fillId="0" borderId="100" xfId="0" applyFont="1" applyBorder="1" applyAlignment="1">
      <alignment vertical="center"/>
    </xf>
    <xf numFmtId="10" fontId="7" fillId="0" borderId="0" xfId="0" applyNumberFormat="1" applyFont="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4" borderId="187" xfId="0" applyFont="1" applyFill="1" applyBorder="1" applyAlignment="1">
      <alignment horizontal="center" vertical="center"/>
    </xf>
    <xf numFmtId="0" fontId="73" fillId="0" borderId="100" xfId="0" applyFont="1" applyBorder="1" applyAlignment="1">
      <alignment vertical="center"/>
    </xf>
    <xf numFmtId="0" fontId="73" fillId="24" borderId="126" xfId="0" applyFont="1" applyFill="1" applyBorder="1" applyAlignment="1">
      <alignment horizontal="center" vertical="center"/>
    </xf>
    <xf numFmtId="0" fontId="74" fillId="0" borderId="0" xfId="0" applyFont="1" applyAlignment="1">
      <alignment vertical="center"/>
    </xf>
    <xf numFmtId="0" fontId="7" fillId="8" borderId="188" xfId="0" applyFont="1" applyFill="1" applyBorder="1" applyAlignment="1">
      <alignment horizontal="center" vertical="center"/>
    </xf>
    <xf numFmtId="2" fontId="7" fillId="0" borderId="0" xfId="0" applyNumberFormat="1" applyFont="1" applyAlignment="1">
      <alignment vertical="center"/>
    </xf>
    <xf numFmtId="2" fontId="22" fillId="0" borderId="73" xfId="11" applyNumberFormat="1" applyBorder="1" applyAlignment="1">
      <alignment horizontal="center" vertical="center"/>
    </xf>
    <xf numFmtId="0" fontId="25" fillId="0" borderId="0" xfId="0" applyFont="1" applyAlignment="1"/>
    <xf numFmtId="0" fontId="27" fillId="0" borderId="0" xfId="0" applyFont="1" applyAlignment="1">
      <alignment horizontal="right"/>
    </xf>
    <xf numFmtId="0" fontId="27" fillId="0" borderId="0" xfId="0" applyFont="1" applyAlignment="1">
      <alignment horizontal="center" vertical="center"/>
    </xf>
    <xf numFmtId="0" fontId="0" fillId="0" borderId="0" xfId="0" applyAlignment="1"/>
    <xf numFmtId="0" fontId="27" fillId="0" borderId="0" xfId="0" applyFont="1" applyAlignment="1">
      <alignment horizontal="right" vertical="center"/>
    </xf>
    <xf numFmtId="0" fontId="27" fillId="0" borderId="0" xfId="0" applyFont="1" applyAlignment="1">
      <alignment horizontal="center"/>
    </xf>
    <xf numFmtId="0" fontId="25" fillId="0" borderId="0" xfId="0" applyFont="1" applyAlignment="1">
      <alignment horizontal="center"/>
    </xf>
    <xf numFmtId="0" fontId="36" fillId="26" borderId="0" xfId="0" applyFont="1" applyFill="1" applyAlignment="1">
      <alignment horizontal="right"/>
    </xf>
    <xf numFmtId="0" fontId="25" fillId="18" borderId="0" xfId="11" applyFont="1" applyFill="1" applyAlignment="1">
      <alignment horizontal="center"/>
    </xf>
    <xf numFmtId="0" fontId="27" fillId="26" borderId="0" xfId="0" applyFont="1" applyFill="1" applyAlignment="1"/>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Border="1" applyAlignment="1">
      <alignment horizontal="center" vertical="center"/>
    </xf>
    <xf numFmtId="0" fontId="22" fillId="0" borderId="143" xfId="1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Border="1" applyAlignment="1">
      <alignment horizontal="center" vertical="center"/>
    </xf>
    <xf numFmtId="0" fontId="22" fillId="0" borderId="146" xfId="11" applyBorder="1" applyAlignment="1">
      <alignment horizontal="center" vertical="center"/>
    </xf>
    <xf numFmtId="0" fontId="22" fillId="0" borderId="147" xfId="11" applyBorder="1" applyAlignment="1">
      <alignment horizontal="center" vertical="center"/>
    </xf>
    <xf numFmtId="0" fontId="26" fillId="0" borderId="0" xfId="11" applyFont="1" applyAlignment="1">
      <alignment horizontal="center" vertical="center"/>
    </xf>
    <xf numFmtId="0" fontId="23" fillId="0" borderId="0" xfId="11" applyFont="1" applyAlignment="1">
      <alignment horizontal="center" vertical="center"/>
    </xf>
    <xf numFmtId="0" fontId="22" fillId="0" borderId="81" xfId="11" applyBorder="1" applyAlignment="1">
      <alignment horizontal="center" vertical="center"/>
    </xf>
    <xf numFmtId="0" fontId="22" fillId="0" borderId="142" xfId="1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Font="1" applyFill="1" applyBorder="1" applyAlignment="1">
      <alignment horizontal="center"/>
    </xf>
    <xf numFmtId="0" fontId="25" fillId="18" borderId="142" xfId="11" applyFont="1" applyFill="1" applyBorder="1" applyAlignment="1">
      <alignment horizontal="center"/>
    </xf>
    <xf numFmtId="0" fontId="37" fillId="0" borderId="0" xfId="11" applyFont="1" applyAlignment="1">
      <alignment horizontal="center"/>
    </xf>
    <xf numFmtId="0" fontId="42" fillId="17" borderId="0" xfId="12" applyFont="1" applyFill="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Alignment="1">
      <alignment horizontal="left" vertical="top" wrapText="1"/>
    </xf>
    <xf numFmtId="0" fontId="25" fillId="0" borderId="151" xfId="0" applyFont="1" applyBorder="1" applyAlignment="1">
      <alignment horizontal="left" vertical="center" wrapText="1"/>
    </xf>
    <xf numFmtId="0" fontId="25" fillId="0" borderId="150" xfId="0" applyFont="1" applyBorder="1" applyAlignment="1">
      <alignment horizontal="left" vertical="center" wrapText="1"/>
    </xf>
    <xf numFmtId="0" fontId="25" fillId="0" borderId="149" xfId="0" applyFont="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Border="1" applyAlignment="1">
      <alignment horizontal="center" vertical="center"/>
    </xf>
    <xf numFmtId="168" fontId="7" fillId="0" borderId="22" xfId="0" applyNumberFormat="1" applyFont="1" applyBorder="1" applyAlignment="1">
      <alignment horizontal="center" vertical="center"/>
    </xf>
    <xf numFmtId="0" fontId="7" fillId="0" borderId="20" xfId="0" applyFont="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Border="1" applyAlignment="1">
      <alignment horizontal="center" vertical="center"/>
    </xf>
    <xf numFmtId="0" fontId="7" fillId="0" borderId="20" xfId="0" applyFont="1" applyBorder="1" applyAlignment="1">
      <alignment horizontal="left" vertical="center"/>
    </xf>
    <xf numFmtId="0" fontId="7" fillId="0" borderId="22" xfId="0" applyFont="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Border="1" applyAlignment="1">
      <alignment horizontal="center" vertical="center"/>
    </xf>
    <xf numFmtId="0" fontId="7" fillId="0" borderId="52" xfId="0" applyFont="1" applyBorder="1" applyAlignment="1">
      <alignment horizontal="center" vertical="center"/>
    </xf>
    <xf numFmtId="0" fontId="7" fillId="0" borderId="30"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167" xfId="0" applyFont="1" applyBorder="1" applyAlignment="1">
      <alignment horizontal="center" vertical="center"/>
    </xf>
    <xf numFmtId="0" fontId="7" fillId="0" borderId="19" xfId="0" applyFont="1" applyBorder="1" applyAlignment="1">
      <alignment horizontal="center" vertical="center"/>
    </xf>
    <xf numFmtId="0" fontId="7" fillId="0" borderId="71" xfId="0" applyFont="1" applyBorder="1" applyAlignment="1">
      <alignment horizontal="center" vertical="center"/>
    </xf>
    <xf numFmtId="0" fontId="77" fillId="0" borderId="0" xfId="0" applyFont="1">
      <alignment vertical="top"/>
    </xf>
    <xf numFmtId="0" fontId="78" fillId="0" borderId="0" xfId="0" applyFont="1">
      <alignment vertical="top"/>
    </xf>
    <xf numFmtId="0" fontId="79" fillId="25" borderId="0" xfId="0" applyFont="1" applyFill="1">
      <alignment vertical="top"/>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5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4040"/>
          <bgColor rgb="FFFF4040"/>
        </patternFill>
      </fill>
    </dxf>
    <dxf>
      <fill>
        <patternFill patternType="solid">
          <fgColor rgb="FF66FF66"/>
          <bgColor rgb="FF66FF6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Sheet1!$D$296:$D$302</c:f>
              <c:numCache>
                <c:formatCode>General</c:formatCode>
                <c:ptCount val="7"/>
                <c:pt idx="0">
                  <c:v>24</c:v>
                </c:pt>
                <c:pt idx="1">
                  <c:v>25</c:v>
                </c:pt>
                <c:pt idx="2">
                  <c:v>26</c:v>
                </c:pt>
                <c:pt idx="3">
                  <c:v>28</c:v>
                </c:pt>
                <c:pt idx="4">
                  <c:v>30</c:v>
                </c:pt>
                <c:pt idx="5">
                  <c:v>32</c:v>
                </c:pt>
                <c:pt idx="6">
                  <c:v>34</c:v>
                </c:pt>
              </c:numCache>
            </c:numRef>
          </c:xVal>
          <c:yVal>
            <c:numRef>
              <c:f>Sheet1!$I$296:$I$302</c:f>
              <c:numCache>
                <c:formatCode>0.000</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Sheet1!$D$303:$D$307</c:f>
              <c:strCache>
                <c:ptCount val="4"/>
                <c:pt idx="0">
                  <c:v>28</c:v>
                </c:pt>
                <c:pt idx="1">
                  <c:v>30</c:v>
                </c:pt>
                <c:pt idx="2">
                  <c:v>32</c:v>
                </c:pt>
                <c:pt idx="3">
                  <c:v>34</c:v>
                </c:pt>
              </c:strCache>
            </c:strRef>
          </c:xVal>
          <c:yVal>
            <c:numRef>
              <c:f>Sheet1!$I$303:$I$307</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Sheet1!$D$308:$D$312</c:f>
            </c:numRef>
          </c:xVal>
          <c:yVal>
            <c:numRef>
              <c:f>Sheet1!$I$308:$I$312</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0.000</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0</c:v>
                </c:pt>
                <c:pt idx="1">
                  <c:v>0</c:v>
                </c:pt>
                <c:pt idx="2">
                  <c:v>0</c:v>
                </c:pt>
                <c:pt idx="3">
                  <c:v>0</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0</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
  <sheetViews>
    <sheetView showGridLines="0" zoomScaleNormal="100" workbookViewId="0">
      <selection activeCell="N43" sqref="N43"/>
    </sheetView>
  </sheetViews>
  <sheetFormatPr defaultColWidth="9" defaultRowHeight="13.2"/>
  <cols>
    <col min="1" max="1" width="5" style="419" customWidth="1"/>
    <col min="2" max="2" width="5.3984375" style="419" customWidth="1"/>
    <col min="3" max="3" width="5.8984375" style="419" customWidth="1"/>
    <col min="4" max="4" width="7.3984375" style="419" customWidth="1"/>
    <col min="5" max="5" width="5.8984375" style="419" customWidth="1"/>
    <col min="6" max="7" width="7.3984375" style="419" customWidth="1"/>
    <col min="8" max="10" width="7.59765625" style="419" customWidth="1"/>
    <col min="11" max="12" width="8.3984375" style="419" customWidth="1"/>
    <col min="13" max="13" width="6.59765625" style="419" customWidth="1"/>
    <col min="14" max="14" width="15.09765625" style="419" customWidth="1"/>
    <col min="15" max="16384" width="9" style="419"/>
  </cols>
  <sheetData>
    <row r="1" spans="1:14" ht="24.6">
      <c r="A1" s="694" t="s">
        <v>361</v>
      </c>
      <c r="B1" s="694"/>
      <c r="C1" s="694"/>
      <c r="D1" s="694"/>
      <c r="E1" s="694"/>
      <c r="F1" s="694"/>
      <c r="G1" s="694"/>
      <c r="H1" s="694"/>
      <c r="I1" s="694"/>
      <c r="J1" s="694"/>
      <c r="K1" s="694"/>
      <c r="L1" s="694"/>
      <c r="M1" s="694"/>
      <c r="N1" s="694"/>
    </row>
    <row r="2" spans="1:14" ht="24.6">
      <c r="A2" s="694" t="s">
        <v>362</v>
      </c>
      <c r="B2" s="694"/>
      <c r="C2" s="694"/>
      <c r="D2" s="694"/>
      <c r="E2" s="694"/>
      <c r="F2" s="694"/>
      <c r="G2" s="694"/>
      <c r="H2" s="694"/>
      <c r="I2" s="694"/>
      <c r="J2" s="694"/>
      <c r="K2" s="694"/>
      <c r="L2" s="694"/>
      <c r="M2" s="694"/>
      <c r="N2" s="694"/>
    </row>
    <row r="3" spans="1:14" ht="16.5" customHeight="1">
      <c r="A3" s="644"/>
      <c r="B3" s="644"/>
      <c r="C3" s="644"/>
      <c r="D3" s="644"/>
      <c r="E3" s="644"/>
      <c r="F3" s="644"/>
      <c r="G3" s="644"/>
      <c r="H3" s="644"/>
      <c r="I3" s="644"/>
      <c r="J3" s="644"/>
      <c r="K3" s="644"/>
      <c r="L3" s="644"/>
      <c r="M3" s="644"/>
      <c r="N3" s="644"/>
    </row>
    <row r="4" spans="1:14" ht="16.5" customHeight="1">
      <c r="A4" s="645" t="s">
        <v>363</v>
      </c>
      <c r="B4" s="645"/>
      <c r="C4" s="695"/>
      <c r="D4" s="696"/>
      <c r="E4" s="696"/>
      <c r="F4" s="696"/>
      <c r="G4" s="696"/>
      <c r="H4" s="697"/>
      <c r="J4" s="645"/>
      <c r="K4" s="646" t="s">
        <v>364</v>
      </c>
      <c r="L4" s="698"/>
      <c r="M4" s="699"/>
      <c r="N4" s="700"/>
    </row>
    <row r="5" spans="1:14" ht="16.5" customHeight="1">
      <c r="A5" s="645" t="s">
        <v>365</v>
      </c>
      <c r="B5" s="645"/>
      <c r="C5" s="695"/>
      <c r="D5" s="696"/>
      <c r="E5" s="696"/>
      <c r="F5" s="696"/>
      <c r="G5" s="696"/>
      <c r="H5" s="697"/>
      <c r="J5" s="645"/>
      <c r="K5" s="646" t="s">
        <v>366</v>
      </c>
      <c r="L5" s="698">
        <f>Sheet1!P7</f>
        <v>0</v>
      </c>
      <c r="M5" s="699"/>
      <c r="N5" s="700"/>
    </row>
    <row r="6" spans="1:14" ht="16.5" customHeight="1">
      <c r="A6" s="645" t="s">
        <v>367</v>
      </c>
      <c r="B6" s="645"/>
      <c r="C6" s="645"/>
      <c r="D6" s="645"/>
      <c r="E6" s="706" t="s">
        <v>10</v>
      </c>
      <c r="F6" s="706"/>
      <c r="G6" s="706"/>
      <c r="H6" s="706"/>
      <c r="J6" s="645"/>
      <c r="K6" s="646" t="s">
        <v>368</v>
      </c>
      <c r="L6" s="695"/>
      <c r="M6" s="696"/>
      <c r="N6" s="697"/>
    </row>
    <row r="7" spans="1:14" ht="16.5" customHeight="1">
      <c r="A7" s="645" t="s">
        <v>369</v>
      </c>
      <c r="B7" s="645"/>
      <c r="C7" s="645"/>
      <c r="D7" s="645"/>
      <c r="E7" s="695" t="s">
        <v>370</v>
      </c>
      <c r="F7" s="696"/>
      <c r="G7" s="696"/>
      <c r="H7" s="697"/>
      <c r="J7" s="645"/>
      <c r="K7" s="646" t="s">
        <v>371</v>
      </c>
      <c r="L7" s="695" t="s">
        <v>751</v>
      </c>
      <c r="M7" s="696"/>
      <c r="N7" s="697"/>
    </row>
    <row r="8" spans="1:14" ht="16.5" customHeight="1">
      <c r="A8" s="645" t="s">
        <v>372</v>
      </c>
      <c r="B8" s="645"/>
      <c r="C8" s="645"/>
      <c r="D8" s="645"/>
      <c r="E8" s="707" t="str">
        <f>Sheet1!K12</f>
        <v/>
      </c>
      <c r="F8" s="708"/>
      <c r="G8" s="708"/>
      <c r="H8" s="709"/>
      <c r="J8" s="645"/>
      <c r="K8" s="646" t="s">
        <v>373</v>
      </c>
      <c r="L8" s="695" t="str">
        <f>Sheet1!R14</f>
        <v/>
      </c>
      <c r="M8" s="696"/>
      <c r="N8" s="697"/>
    </row>
    <row r="9" spans="1:14" ht="11.25" customHeight="1">
      <c r="A9" s="645"/>
      <c r="B9" s="645"/>
      <c r="C9" s="645"/>
      <c r="D9" s="645"/>
      <c r="E9" s="647"/>
      <c r="F9" s="648"/>
      <c r="G9" s="648"/>
      <c r="H9" s="648"/>
      <c r="J9" s="645"/>
      <c r="K9" s="646"/>
      <c r="L9" s="648"/>
      <c r="M9" s="648"/>
      <c r="N9" s="648"/>
    </row>
    <row r="10" spans="1:14" ht="16.5" customHeight="1">
      <c r="A10" s="649" t="s">
        <v>527</v>
      </c>
      <c r="E10" s="710" t="s">
        <v>784</v>
      </c>
      <c r="F10" s="711"/>
      <c r="G10" s="711"/>
      <c r="H10" s="712"/>
      <c r="I10" s="650" t="s">
        <v>526</v>
      </c>
    </row>
    <row r="11" spans="1:14" ht="11.25" customHeight="1">
      <c r="C11" s="645"/>
      <c r="D11" s="645"/>
      <c r="E11" s="645"/>
      <c r="F11" s="645"/>
      <c r="G11" s="645"/>
      <c r="H11" s="645"/>
      <c r="I11" s="645"/>
    </row>
    <row r="12" spans="1:14" ht="16.5" customHeight="1" thickBot="1">
      <c r="A12" s="645" t="s">
        <v>375</v>
      </c>
      <c r="B12" s="645"/>
      <c r="C12" s="645"/>
      <c r="D12" s="645"/>
      <c r="E12" s="713" t="s">
        <v>376</v>
      </c>
      <c r="F12" s="714"/>
      <c r="G12" s="713" t="s">
        <v>371</v>
      </c>
      <c r="H12" s="714"/>
      <c r="I12" s="713" t="s">
        <v>14</v>
      </c>
      <c r="J12" s="714"/>
      <c r="K12" s="713" t="s">
        <v>374</v>
      </c>
      <c r="L12" s="715"/>
      <c r="M12" s="715"/>
      <c r="N12" s="714"/>
    </row>
    <row r="13" spans="1:14" ht="16.5" customHeight="1" thickTop="1">
      <c r="A13" s="645"/>
      <c r="B13" s="645"/>
      <c r="C13" s="645"/>
      <c r="D13" s="651" t="s">
        <v>377</v>
      </c>
      <c r="E13" s="701" t="s">
        <v>739</v>
      </c>
      <c r="F13" s="702"/>
      <c r="G13" s="701" t="s">
        <v>740</v>
      </c>
      <c r="H13" s="702"/>
      <c r="I13" s="703"/>
      <c r="J13" s="704"/>
      <c r="K13" s="701" t="s">
        <v>741</v>
      </c>
      <c r="L13" s="705"/>
      <c r="M13" s="705"/>
      <c r="N13" s="702"/>
    </row>
    <row r="14" spans="1:14" ht="16.5" customHeight="1">
      <c r="D14" s="651" t="s">
        <v>378</v>
      </c>
      <c r="E14" s="718"/>
      <c r="F14" s="719"/>
      <c r="G14" s="718"/>
      <c r="H14" s="719"/>
      <c r="I14" s="720"/>
      <c r="J14" s="721"/>
      <c r="K14" s="718"/>
      <c r="L14" s="722"/>
      <c r="M14" s="722"/>
      <c r="N14" s="719"/>
    </row>
    <row r="15" spans="1:14" ht="36" customHeight="1">
      <c r="A15" s="723" t="s">
        <v>703</v>
      </c>
      <c r="B15" s="723"/>
      <c r="C15" s="723"/>
      <c r="D15" s="723"/>
      <c r="E15" s="723"/>
      <c r="F15" s="723"/>
      <c r="G15" s="723"/>
      <c r="H15" s="723"/>
      <c r="I15" s="723"/>
      <c r="J15" s="723"/>
      <c r="K15" s="723"/>
      <c r="L15" s="723"/>
      <c r="M15" s="723"/>
      <c r="N15" s="723"/>
    </row>
    <row r="16" spans="1:14" ht="16.5" customHeight="1">
      <c r="A16" s="649" t="s">
        <v>379</v>
      </c>
      <c r="B16" s="649"/>
      <c r="C16" s="652"/>
      <c r="D16" s="419" t="s">
        <v>704</v>
      </c>
      <c r="G16" s="653"/>
      <c r="H16" s="654"/>
      <c r="I16" s="655"/>
      <c r="J16" s="653"/>
      <c r="N16" s="651" t="s">
        <v>380</v>
      </c>
    </row>
    <row r="17" spans="1:14" s="657" customFormat="1" ht="15.75" customHeight="1">
      <c r="A17" s="649" t="s">
        <v>705</v>
      </c>
      <c r="B17" s="656"/>
      <c r="D17" s="654" t="s">
        <v>596</v>
      </c>
      <c r="F17" s="654" t="s">
        <v>706</v>
      </c>
      <c r="G17" s="658"/>
      <c r="H17" s="659"/>
      <c r="I17" s="660"/>
      <c r="J17" s="660"/>
      <c r="K17" s="660"/>
      <c r="L17" s="660"/>
      <c r="M17" s="660"/>
      <c r="N17" s="660"/>
    </row>
    <row r="18" spans="1:14" ht="13.5" customHeight="1">
      <c r="A18" s="656"/>
      <c r="B18" s="656"/>
      <c r="C18" s="657"/>
      <c r="D18" s="658"/>
      <c r="E18" s="657"/>
      <c r="F18" s="657"/>
      <c r="G18" s="658"/>
      <c r="H18" s="659"/>
      <c r="I18" s="660"/>
      <c r="J18" s="660"/>
      <c r="K18" s="660"/>
      <c r="L18" s="660"/>
      <c r="M18" s="660"/>
    </row>
    <row r="19" spans="1:14" ht="21" customHeight="1">
      <c r="A19" s="724" t="s">
        <v>381</v>
      </c>
      <c r="B19" s="724"/>
      <c r="C19" s="724"/>
      <c r="D19" s="724"/>
      <c r="E19" s="724"/>
      <c r="F19" s="724"/>
      <c r="G19" s="724"/>
      <c r="H19" s="724"/>
      <c r="I19" s="724"/>
      <c r="J19" s="724"/>
      <c r="K19" s="724"/>
      <c r="L19" s="724"/>
      <c r="M19" s="724"/>
      <c r="N19" s="724"/>
    </row>
    <row r="20" spans="1:14" ht="15" customHeight="1">
      <c r="A20" s="716" t="s">
        <v>525</v>
      </c>
      <c r="B20" s="716"/>
      <c r="C20" s="716"/>
      <c r="D20" s="716"/>
      <c r="E20" s="716"/>
      <c r="F20" s="716"/>
      <c r="G20" s="716"/>
      <c r="H20" s="716"/>
      <c r="I20" s="716"/>
      <c r="J20" s="716"/>
      <c r="K20" s="716"/>
      <c r="L20" s="716"/>
      <c r="M20" s="716"/>
      <c r="N20" s="716"/>
    </row>
    <row r="21" spans="1:14" ht="15" customHeight="1">
      <c r="A21" s="645"/>
      <c r="B21" s="645"/>
      <c r="C21" s="645"/>
      <c r="D21" s="645"/>
      <c r="E21" s="645"/>
      <c r="F21" s="645"/>
      <c r="G21" s="645"/>
      <c r="H21" s="645"/>
      <c r="I21" s="645"/>
      <c r="J21" s="645"/>
      <c r="K21" s="645"/>
      <c r="L21" s="645"/>
      <c r="M21" s="645"/>
      <c r="N21" s="661" t="s">
        <v>382</v>
      </c>
    </row>
    <row r="22" spans="1:14" ht="15.75" customHeight="1">
      <c r="A22" s="645" t="s">
        <v>707</v>
      </c>
      <c r="B22" s="645"/>
      <c r="C22" s="645"/>
      <c r="D22" s="645"/>
      <c r="E22" s="645"/>
      <c r="F22" s="645"/>
      <c r="G22" s="645"/>
      <c r="H22" s="645"/>
      <c r="I22" s="645"/>
      <c r="J22" s="645"/>
      <c r="K22" s="645"/>
      <c r="L22" s="645"/>
      <c r="M22" s="645"/>
      <c r="N22" s="662" t="str">
        <f>Sheet1!Q454</f>
        <v/>
      </c>
    </row>
    <row r="23" spans="1:14" ht="15.75" customHeight="1">
      <c r="A23" s="645"/>
      <c r="B23" s="645"/>
      <c r="C23" s="652" t="s">
        <v>523</v>
      </c>
      <c r="D23" s="645"/>
      <c r="E23" s="645"/>
      <c r="F23" s="645"/>
      <c r="G23" s="645"/>
      <c r="H23" s="645"/>
      <c r="I23" s="645"/>
      <c r="J23" s="645"/>
      <c r="K23" s="645"/>
      <c r="L23" s="645"/>
      <c r="M23" s="645"/>
    </row>
    <row r="24" spans="1:14" ht="15.75" customHeight="1">
      <c r="A24" s="645"/>
      <c r="B24" s="645"/>
      <c r="C24" s="663" t="s">
        <v>522</v>
      </c>
      <c r="D24" s="645"/>
      <c r="E24" s="645"/>
      <c r="F24" s="645"/>
      <c r="G24" s="645"/>
      <c r="H24" s="645"/>
      <c r="I24" s="645"/>
      <c r="J24" s="645"/>
      <c r="K24" s="645"/>
      <c r="L24" s="645"/>
      <c r="M24" s="645"/>
    </row>
    <row r="25" spans="1:14" ht="15.75" customHeight="1">
      <c r="C25" s="664" t="s">
        <v>385</v>
      </c>
      <c r="D25" s="652"/>
      <c r="E25" s="652"/>
      <c r="F25" s="665"/>
      <c r="G25" s="665" t="s">
        <v>349</v>
      </c>
      <c r="H25" s="666">
        <f>Sheet1!Q451</f>
        <v>0</v>
      </c>
      <c r="I25" s="665" t="s">
        <v>350</v>
      </c>
      <c r="J25" s="666">
        <f>Sheet1!Q452</f>
        <v>0</v>
      </c>
      <c r="K25" s="665" t="s">
        <v>351</v>
      </c>
      <c r="L25" s="666">
        <f>Sheet1!Q453</f>
        <v>0</v>
      </c>
      <c r="M25" s="667"/>
    </row>
    <row r="26" spans="1:14" ht="15.75" customHeight="1">
      <c r="A26" s="645" t="s">
        <v>708</v>
      </c>
      <c r="B26" s="645"/>
      <c r="C26" s="645"/>
      <c r="D26" s="645"/>
      <c r="E26" s="645"/>
      <c r="F26" s="645"/>
      <c r="G26" s="645"/>
      <c r="H26" s="645"/>
      <c r="I26" s="645"/>
      <c r="J26" s="645"/>
      <c r="K26" s="645"/>
      <c r="L26" s="645"/>
      <c r="M26" s="645"/>
      <c r="N26" s="662"/>
    </row>
    <row r="27" spans="1:14" ht="15.75" customHeight="1">
      <c r="A27" s="645" t="s">
        <v>709</v>
      </c>
      <c r="B27" s="645"/>
      <c r="C27" s="645"/>
      <c r="D27" s="645"/>
      <c r="E27" s="645"/>
      <c r="F27" s="645"/>
      <c r="G27" s="645"/>
      <c r="H27" s="645"/>
      <c r="I27" s="645"/>
      <c r="J27" s="645"/>
      <c r="K27" s="645"/>
      <c r="L27" s="645"/>
      <c r="M27" s="645"/>
      <c r="N27" s="662"/>
    </row>
    <row r="28" spans="1:14" ht="15.75" customHeight="1">
      <c r="A28" s="645" t="s">
        <v>710</v>
      </c>
      <c r="B28" s="645"/>
      <c r="C28" s="645"/>
      <c r="D28" s="645"/>
      <c r="E28" s="645"/>
      <c r="F28" s="665"/>
      <c r="G28" s="668"/>
      <c r="H28" s="665"/>
      <c r="I28" s="668"/>
      <c r="J28" s="645"/>
      <c r="K28" s="645"/>
      <c r="L28" s="645"/>
      <c r="M28" s="645"/>
      <c r="N28" s="662"/>
    </row>
    <row r="29" spans="1:14" ht="15.75" customHeight="1">
      <c r="A29" s="645"/>
      <c r="B29" s="645"/>
      <c r="C29" s="652" t="s">
        <v>383</v>
      </c>
      <c r="D29" s="645"/>
      <c r="E29" s="645"/>
      <c r="F29" s="665" t="s">
        <v>275</v>
      </c>
      <c r="G29" s="666" t="str">
        <f>Sheet1!T463</f>
        <v/>
      </c>
      <c r="H29" s="665" t="s">
        <v>276</v>
      </c>
      <c r="I29" s="666" t="str">
        <f>Sheet1!T464</f>
        <v/>
      </c>
      <c r="J29" s="645"/>
      <c r="K29" s="645"/>
      <c r="L29" s="645"/>
      <c r="M29" s="645"/>
      <c r="N29" s="423"/>
    </row>
    <row r="30" spans="1:14" ht="15.75" customHeight="1">
      <c r="A30" s="645"/>
      <c r="B30" s="645"/>
      <c r="C30" s="652" t="s">
        <v>524</v>
      </c>
      <c r="D30" s="645"/>
      <c r="E30" s="645"/>
      <c r="F30" s="645"/>
      <c r="G30" s="645"/>
      <c r="H30" s="645"/>
      <c r="I30" s="645"/>
      <c r="J30" s="645"/>
      <c r="K30" s="645"/>
      <c r="L30" s="645"/>
      <c r="M30" s="645"/>
      <c r="N30" s="662" t="str">
        <f>IF(OR(Sheet1!P240="",Sheet1!V240=""),"",IF(AND(Sheet1!P240="Pass",Sheet1!V240="Pass"),"PASS","FAIL"))</f>
        <v/>
      </c>
    </row>
    <row r="31" spans="1:14" ht="15.75" customHeight="1">
      <c r="A31" s="645"/>
      <c r="B31" s="645"/>
      <c r="C31" s="652" t="s">
        <v>384</v>
      </c>
      <c r="D31" s="645"/>
      <c r="E31" s="645"/>
      <c r="F31" s="645"/>
      <c r="G31" s="645"/>
      <c r="H31" s="645"/>
      <c r="I31" s="645"/>
      <c r="J31" s="645"/>
      <c r="K31" s="645"/>
      <c r="L31" s="645"/>
      <c r="M31" s="645"/>
      <c r="N31" s="662"/>
    </row>
    <row r="32" spans="1:14" ht="15.75" customHeight="1">
      <c r="A32" s="645" t="s">
        <v>711</v>
      </c>
      <c r="B32" s="645"/>
      <c r="C32" s="645"/>
      <c r="D32" s="645"/>
      <c r="E32" s="645"/>
      <c r="F32" s="645"/>
      <c r="G32" s="645"/>
      <c r="H32" s="645"/>
      <c r="I32" s="645"/>
      <c r="J32" s="645"/>
      <c r="K32" s="645"/>
      <c r="L32" s="645"/>
      <c r="M32" s="645"/>
      <c r="N32" s="662"/>
    </row>
    <row r="33" spans="1:14" ht="15.75" customHeight="1">
      <c r="A33" s="645"/>
      <c r="B33" s="645"/>
      <c r="C33" s="652" t="s">
        <v>521</v>
      </c>
      <c r="D33" s="652"/>
      <c r="E33" s="652"/>
      <c r="F33" s="645"/>
      <c r="G33" s="645"/>
      <c r="H33" s="645"/>
      <c r="I33" s="645"/>
      <c r="J33" s="645"/>
      <c r="K33" s="645"/>
      <c r="L33" s="683" t="e">
        <f>MGD</f>
        <v>#N/A</v>
      </c>
      <c r="M33" s="652" t="s">
        <v>331</v>
      </c>
    </row>
    <row r="34" spans="1:14" ht="15.75" customHeight="1">
      <c r="A34" s="645" t="s">
        <v>712</v>
      </c>
      <c r="B34" s="645"/>
      <c r="C34" s="645"/>
      <c r="D34" s="645"/>
      <c r="E34" s="645"/>
      <c r="F34" s="645"/>
      <c r="G34" s="645"/>
      <c r="H34" s="645"/>
      <c r="I34" s="645"/>
      <c r="J34" s="645"/>
      <c r="K34" s="645"/>
      <c r="L34" s="645"/>
      <c r="M34" s="645"/>
      <c r="N34" s="662"/>
    </row>
    <row r="35" spans="1:14" ht="15.75" customHeight="1">
      <c r="A35" s="645" t="s">
        <v>713</v>
      </c>
      <c r="B35" s="645"/>
      <c r="C35" s="645"/>
      <c r="D35" s="645"/>
      <c r="E35" s="645"/>
      <c r="F35" s="645"/>
      <c r="G35" s="645"/>
      <c r="H35" s="645"/>
      <c r="I35" s="645"/>
      <c r="J35" s="645"/>
      <c r="K35" s="645"/>
      <c r="L35" s="645"/>
      <c r="M35" s="645"/>
      <c r="N35" s="662" t="str">
        <f>Sheet1!X221</f>
        <v/>
      </c>
    </row>
    <row r="36" spans="1:14" ht="15.75" customHeight="1">
      <c r="A36" s="645" t="s">
        <v>714</v>
      </c>
      <c r="B36" s="645"/>
      <c r="C36" s="645"/>
      <c r="D36" s="645"/>
      <c r="E36" s="645"/>
      <c r="F36" s="645"/>
      <c r="G36" s="645"/>
      <c r="H36" s="645"/>
      <c r="I36" s="645"/>
      <c r="J36" s="645"/>
      <c r="K36" s="645"/>
      <c r="L36" s="645"/>
      <c r="M36" s="645"/>
      <c r="N36" s="662"/>
    </row>
    <row r="37" spans="1:14" ht="15.75" customHeight="1">
      <c r="A37" s="645" t="s">
        <v>715</v>
      </c>
      <c r="B37" s="645"/>
      <c r="C37" s="645"/>
      <c r="D37" s="645"/>
      <c r="E37" s="645"/>
      <c r="F37" s="645"/>
      <c r="G37" s="645"/>
      <c r="H37" s="645"/>
      <c r="I37" s="645"/>
      <c r="J37" s="645"/>
      <c r="K37" s="645"/>
      <c r="L37" s="645"/>
      <c r="M37" s="645"/>
      <c r="N37" s="662"/>
    </row>
    <row r="38" spans="1:14" ht="15.75" customHeight="1">
      <c r="A38" s="645" t="s">
        <v>716</v>
      </c>
      <c r="B38" s="645"/>
      <c r="C38" s="645"/>
      <c r="D38" s="645"/>
      <c r="E38" s="645"/>
      <c r="F38" s="645"/>
      <c r="G38" s="645"/>
      <c r="H38" s="645"/>
      <c r="I38" s="645"/>
      <c r="J38" s="645"/>
      <c r="K38" s="645"/>
      <c r="L38" s="645"/>
      <c r="M38" s="645"/>
      <c r="N38" s="662"/>
    </row>
    <row r="39" spans="1:14" ht="15.75" customHeight="1">
      <c r="A39" s="645" t="s">
        <v>717</v>
      </c>
      <c r="B39" s="645"/>
      <c r="C39" s="645"/>
      <c r="D39" s="645"/>
      <c r="E39" s="645"/>
      <c r="F39" s="645"/>
      <c r="G39" s="645"/>
      <c r="H39" s="645"/>
      <c r="I39" s="645"/>
      <c r="J39" s="645"/>
      <c r="K39" s="645"/>
      <c r="L39" s="645"/>
      <c r="M39" s="645"/>
      <c r="N39" s="662"/>
    </row>
    <row r="40" spans="1:14" ht="15.75" customHeight="1">
      <c r="A40" s="645" t="s">
        <v>718</v>
      </c>
      <c r="B40" s="645"/>
      <c r="C40" s="645"/>
      <c r="D40" s="645"/>
      <c r="E40" s="645"/>
      <c r="F40" s="645"/>
      <c r="G40" s="645"/>
      <c r="H40" s="645"/>
      <c r="I40" s="645"/>
      <c r="J40" s="645"/>
      <c r="K40" s="645"/>
      <c r="L40" s="645"/>
      <c r="M40" s="645"/>
      <c r="N40" s="662"/>
    </row>
    <row r="41" spans="1:14" ht="15.75" customHeight="1">
      <c r="A41" s="645" t="s">
        <v>719</v>
      </c>
      <c r="B41" s="645"/>
      <c r="C41" s="645"/>
      <c r="D41" s="645"/>
      <c r="E41" s="645"/>
      <c r="F41" s="645"/>
      <c r="G41" s="645"/>
      <c r="H41" s="645"/>
      <c r="I41" s="645"/>
      <c r="J41" s="645"/>
      <c r="K41" s="645"/>
      <c r="L41" s="645"/>
      <c r="M41" s="645"/>
      <c r="N41" s="662"/>
    </row>
    <row r="42" spans="1:14" ht="15.75" customHeight="1">
      <c r="A42" s="645" t="s">
        <v>720</v>
      </c>
      <c r="B42" s="645"/>
      <c r="C42" s="645"/>
      <c r="D42" s="645"/>
      <c r="E42" s="645"/>
      <c r="F42" s="645"/>
      <c r="G42" s="645"/>
      <c r="H42" s="645"/>
      <c r="I42" s="645"/>
      <c r="J42" s="645"/>
      <c r="K42" s="645"/>
      <c r="L42" s="645"/>
      <c r="M42" s="645"/>
      <c r="N42" s="662"/>
    </row>
    <row r="43" spans="1:14" ht="15.75" customHeight="1">
      <c r="A43" s="645" t="s">
        <v>721</v>
      </c>
      <c r="B43" s="645"/>
      <c r="C43" s="645"/>
      <c r="D43" s="645"/>
      <c r="E43" s="645"/>
      <c r="F43" s="645"/>
      <c r="G43" s="645"/>
      <c r="H43" s="645"/>
      <c r="I43" s="645"/>
      <c r="J43" s="645"/>
      <c r="K43" s="645"/>
      <c r="L43" s="645"/>
      <c r="M43" s="645"/>
      <c r="N43" s="662"/>
    </row>
    <row r="44" spans="1:14" ht="15.75" customHeight="1">
      <c r="A44" s="684" t="s">
        <v>788</v>
      </c>
      <c r="B44" s="645"/>
      <c r="C44" s="645"/>
      <c r="D44" s="645"/>
      <c r="E44" s="645"/>
      <c r="F44" s="645"/>
      <c r="G44" s="645"/>
      <c r="H44" s="645"/>
      <c r="I44" s="645"/>
      <c r="J44" s="645"/>
      <c r="K44" s="645"/>
      <c r="L44" s="645"/>
      <c r="M44" s="645"/>
      <c r="N44" s="662"/>
    </row>
    <row r="45" spans="1:14" ht="15.75" customHeight="1">
      <c r="A45" s="645" t="s">
        <v>722</v>
      </c>
      <c r="B45" s="645"/>
      <c r="C45" s="645"/>
      <c r="D45" s="645"/>
      <c r="E45" s="645"/>
      <c r="F45" s="645"/>
      <c r="G45" s="645"/>
      <c r="H45" s="645"/>
      <c r="I45" s="645"/>
      <c r="J45" s="645"/>
      <c r="K45" s="645"/>
      <c r="L45" s="645"/>
      <c r="M45" s="645"/>
      <c r="N45" s="662"/>
    </row>
    <row r="46" spans="1:14" ht="15.75" customHeight="1">
      <c r="A46" s="645" t="s">
        <v>723</v>
      </c>
      <c r="B46" s="645"/>
      <c r="C46" s="645"/>
      <c r="D46" s="645"/>
      <c r="E46" s="645"/>
      <c r="F46" s="645"/>
      <c r="G46" s="645"/>
      <c r="H46" s="645"/>
      <c r="I46" s="645"/>
      <c r="J46" s="645"/>
      <c r="K46" s="645"/>
      <c r="L46" s="645"/>
      <c r="M46" s="645"/>
      <c r="N46" s="662"/>
    </row>
    <row r="47" spans="1:14" ht="15.75" customHeight="1">
      <c r="A47" s="645"/>
      <c r="B47" s="645"/>
      <c r="C47" s="652" t="s">
        <v>724</v>
      </c>
      <c r="D47" s="645"/>
      <c r="E47" s="645"/>
      <c r="F47" s="645"/>
      <c r="G47" s="645"/>
      <c r="H47" s="645"/>
      <c r="I47" s="645"/>
      <c r="J47" s="645"/>
      <c r="K47" s="645"/>
      <c r="L47" s="645"/>
      <c r="M47" s="645"/>
    </row>
    <row r="48" spans="1:14" ht="15.75" customHeight="1">
      <c r="C48" s="664" t="s">
        <v>385</v>
      </c>
      <c r="D48" s="652"/>
      <c r="E48" s="652"/>
      <c r="F48" s="665"/>
      <c r="G48" s="665" t="s">
        <v>349</v>
      </c>
      <c r="H48" s="666">
        <f>Sheet1!S451</f>
        <v>0</v>
      </c>
      <c r="I48" s="665" t="s">
        <v>350</v>
      </c>
      <c r="J48" s="666">
        <f>Sheet1!S452</f>
        <v>0</v>
      </c>
      <c r="K48" s="665" t="s">
        <v>351</v>
      </c>
      <c r="L48" s="666">
        <f>Sheet1!S453</f>
        <v>0</v>
      </c>
      <c r="M48" s="667"/>
    </row>
    <row r="49" spans="1:14" ht="15.75" customHeight="1">
      <c r="A49" s="645" t="s">
        <v>725</v>
      </c>
      <c r="B49" s="645"/>
      <c r="C49" s="645"/>
      <c r="D49" s="645"/>
      <c r="E49" s="645"/>
      <c r="F49" s="645"/>
      <c r="G49" s="645"/>
      <c r="H49" s="645"/>
      <c r="I49" s="645"/>
      <c r="J49" s="645"/>
      <c r="K49" s="645"/>
      <c r="L49" s="645"/>
      <c r="M49" s="645"/>
      <c r="N49" s="662"/>
    </row>
    <row r="50" spans="1:14" ht="15.75" customHeight="1">
      <c r="A50" s="645" t="s">
        <v>726</v>
      </c>
      <c r="B50" s="645"/>
      <c r="C50" s="645"/>
      <c r="D50" s="645"/>
      <c r="E50" s="645"/>
      <c r="F50" s="645"/>
      <c r="G50" s="645"/>
      <c r="H50" s="645"/>
      <c r="I50" s="645"/>
      <c r="J50" s="645"/>
      <c r="K50" s="645"/>
      <c r="L50" s="645"/>
      <c r="M50" s="645"/>
      <c r="N50" s="662"/>
    </row>
    <row r="51" spans="1:14" ht="15.75" customHeight="1">
      <c r="A51" s="645"/>
      <c r="B51" s="645"/>
      <c r="C51" s="645"/>
      <c r="D51" s="645"/>
      <c r="E51" s="645"/>
      <c r="F51" s="645"/>
      <c r="G51" s="645"/>
      <c r="H51" s="645"/>
      <c r="I51" s="645"/>
      <c r="J51" s="645"/>
      <c r="K51" s="645"/>
      <c r="L51" s="645"/>
      <c r="M51" s="645"/>
    </row>
    <row r="52" spans="1:14" ht="15.75" customHeight="1">
      <c r="A52" s="717" t="s">
        <v>520</v>
      </c>
      <c r="B52" s="717"/>
      <c r="C52" s="717"/>
      <c r="D52" s="717"/>
      <c r="E52" s="717"/>
      <c r="F52" s="717"/>
      <c r="G52" s="717"/>
      <c r="H52" s="717"/>
      <c r="I52" s="717"/>
      <c r="J52" s="717"/>
      <c r="K52" s="717"/>
      <c r="L52" s="717"/>
      <c r="M52" s="717"/>
      <c r="N52" s="717"/>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2">
    <cfRule type="cellIs" dxfId="157" priority="2" stopIfTrue="1" operator="equal">
      <formula>"Fail"</formula>
    </cfRule>
  </conditionalFormatting>
  <conditionalFormatting sqref="N25:N46">
    <cfRule type="cellIs" dxfId="156" priority="3" stopIfTrue="1" operator="equal">
      <formula>"Fail"</formula>
    </cfRule>
  </conditionalFormatting>
  <conditionalFormatting sqref="N48:N50">
    <cfRule type="cellIs" dxfId="155" priority="1"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2"/>
  <sheetViews>
    <sheetView showGridLines="0" workbookViewId="0">
      <selection activeCell="D34" sqref="D34"/>
    </sheetView>
  </sheetViews>
  <sheetFormatPr defaultColWidth="9" defaultRowHeight="13.2"/>
  <cols>
    <col min="1" max="1" width="3.8984375" style="416" customWidth="1"/>
    <col min="2" max="2" width="19.09765625" style="416" customWidth="1"/>
    <col min="3" max="4" width="8.59765625" style="416" customWidth="1"/>
    <col min="5" max="5" width="9" style="416" customWidth="1"/>
    <col min="6" max="6" width="3.19921875" style="416" customWidth="1"/>
    <col min="7" max="7" width="13.69921875" style="416" customWidth="1"/>
    <col min="8" max="8" width="8.5" style="416" customWidth="1"/>
    <col min="9" max="9" width="9.5" style="416" customWidth="1"/>
    <col min="10" max="10" width="8.3984375" style="416" customWidth="1"/>
    <col min="11" max="11" width="8.59765625" style="416" customWidth="1"/>
    <col min="12" max="16384" width="9" style="416"/>
  </cols>
  <sheetData>
    <row r="1" spans="1:11" ht="27" customHeight="1">
      <c r="A1" s="727" t="s">
        <v>361</v>
      </c>
      <c r="B1" s="727"/>
      <c r="C1" s="727"/>
      <c r="D1" s="727"/>
      <c r="E1" s="727"/>
      <c r="F1" s="727"/>
      <c r="G1" s="727"/>
      <c r="H1" s="727"/>
      <c r="I1" s="727"/>
      <c r="J1" s="727"/>
      <c r="K1" s="727"/>
    </row>
    <row r="2" spans="1:11" ht="18" customHeight="1">
      <c r="A2" s="435" t="s">
        <v>386</v>
      </c>
      <c r="B2" s="434"/>
      <c r="C2" s="434"/>
      <c r="D2" s="434"/>
      <c r="E2" s="434"/>
      <c r="F2" s="434"/>
      <c r="G2" s="434"/>
      <c r="H2" s="434"/>
      <c r="I2" s="434"/>
      <c r="J2" s="434"/>
      <c r="K2" s="434"/>
    </row>
    <row r="3" spans="1:11" ht="15.75" customHeight="1"/>
    <row r="4" spans="1:11" ht="24" customHeight="1">
      <c r="A4" s="421" t="s">
        <v>387</v>
      </c>
      <c r="B4" s="433"/>
      <c r="C4" s="420"/>
      <c r="D4" s="420"/>
      <c r="E4" s="420"/>
      <c r="F4" s="420"/>
      <c r="G4" s="420"/>
      <c r="H4" s="420"/>
      <c r="I4" s="420"/>
      <c r="J4" s="420"/>
      <c r="K4" s="420"/>
    </row>
    <row r="5" spans="1:11" ht="42" customHeight="1">
      <c r="A5" s="728" t="s">
        <v>532</v>
      </c>
      <c r="B5" s="728"/>
      <c r="C5" s="728"/>
      <c r="D5" s="728"/>
      <c r="E5" s="728"/>
      <c r="F5" s="728"/>
      <c r="G5" s="728"/>
      <c r="H5" s="728"/>
      <c r="I5" s="728"/>
      <c r="J5" s="728"/>
      <c r="K5" s="728"/>
    </row>
    <row r="6" spans="1:11" ht="15" customHeight="1">
      <c r="A6" s="432" t="s">
        <v>531</v>
      </c>
      <c r="B6" s="431"/>
      <c r="C6" s="431"/>
      <c r="D6" s="431"/>
      <c r="E6" s="431"/>
      <c r="F6" s="431"/>
      <c r="G6" s="431"/>
      <c r="H6" s="431"/>
      <c r="I6" s="430"/>
      <c r="J6" s="429"/>
      <c r="K6" s="429"/>
    </row>
    <row r="7" spans="1:11" ht="15" customHeight="1">
      <c r="A7" s="428" t="s">
        <v>530</v>
      </c>
      <c r="B7" s="427"/>
      <c r="C7" s="427"/>
      <c r="D7" s="427"/>
      <c r="E7" s="427"/>
      <c r="F7" s="427"/>
      <c r="G7" s="427"/>
      <c r="H7" s="427"/>
      <c r="I7" s="427"/>
      <c r="J7" s="427"/>
      <c r="K7" s="427"/>
    </row>
    <row r="8" spans="1:11" ht="15" customHeight="1">
      <c r="J8" s="729"/>
      <c r="K8" s="729"/>
    </row>
    <row r="9" spans="1:11" ht="15" customHeight="1">
      <c r="H9" s="568" t="s">
        <v>388</v>
      </c>
      <c r="I9" s="426"/>
      <c r="J9" s="730" t="s">
        <v>382</v>
      </c>
      <c r="K9" s="730"/>
    </row>
    <row r="10" spans="1:11" ht="15.75" customHeight="1">
      <c r="A10" s="425" t="s">
        <v>389</v>
      </c>
      <c r="B10" s="417" t="s">
        <v>390</v>
      </c>
      <c r="G10" s="571"/>
      <c r="H10" s="685"/>
      <c r="I10" s="685" t="s">
        <v>727</v>
      </c>
      <c r="J10" s="725"/>
      <c r="K10" s="726"/>
    </row>
    <row r="11" spans="1:11" ht="15.75" customHeight="1">
      <c r="A11" s="424" t="s">
        <v>391</v>
      </c>
      <c r="B11" s="417" t="s">
        <v>393</v>
      </c>
      <c r="H11" s="686" t="s">
        <v>394</v>
      </c>
      <c r="I11" s="687"/>
      <c r="J11" s="725"/>
      <c r="K11" s="726"/>
    </row>
    <row r="12" spans="1:11" ht="15.75" customHeight="1">
      <c r="A12" s="425" t="s">
        <v>392</v>
      </c>
      <c r="B12" s="417" t="s">
        <v>396</v>
      </c>
      <c r="H12" s="686" t="s">
        <v>394</v>
      </c>
      <c r="I12" s="687"/>
      <c r="J12" s="725"/>
      <c r="K12" s="726"/>
    </row>
    <row r="13" spans="1:11" ht="15.75" customHeight="1">
      <c r="A13" s="424" t="s">
        <v>395</v>
      </c>
      <c r="B13" s="693" t="s">
        <v>791</v>
      </c>
      <c r="H13" s="688"/>
      <c r="I13" s="688" t="s">
        <v>789</v>
      </c>
      <c r="J13" s="725"/>
      <c r="K13" s="726"/>
    </row>
    <row r="14" spans="1:11" ht="15.75" customHeight="1">
      <c r="A14" s="417" t="s">
        <v>397</v>
      </c>
      <c r="B14" s="417" t="s">
        <v>728</v>
      </c>
      <c r="H14" s="686" t="s">
        <v>398</v>
      </c>
      <c r="I14" s="687"/>
      <c r="J14" s="725"/>
      <c r="K14" s="726"/>
    </row>
    <row r="15" spans="1:11" ht="15.75" customHeight="1">
      <c r="A15" s="424" t="s">
        <v>399</v>
      </c>
      <c r="B15" s="417" t="s">
        <v>400</v>
      </c>
      <c r="H15" s="686" t="s">
        <v>401</v>
      </c>
      <c r="I15" s="687"/>
      <c r="J15" s="725"/>
      <c r="K15" s="726"/>
    </row>
    <row r="16" spans="1:11" ht="15.75" customHeight="1">
      <c r="A16" s="424" t="s">
        <v>402</v>
      </c>
      <c r="B16" s="417" t="s">
        <v>729</v>
      </c>
      <c r="H16" s="686" t="s">
        <v>394</v>
      </c>
      <c r="I16" s="687"/>
      <c r="J16" s="725"/>
      <c r="K16" s="726"/>
    </row>
    <row r="17" spans="1:11" ht="15.75" customHeight="1">
      <c r="A17" s="424" t="s">
        <v>404</v>
      </c>
      <c r="B17" s="417" t="s">
        <v>730</v>
      </c>
      <c r="H17" s="686" t="s">
        <v>403</v>
      </c>
      <c r="I17" s="687"/>
      <c r="J17" s="725" t="s">
        <v>478</v>
      </c>
      <c r="K17" s="726"/>
    </row>
    <row r="18" spans="1:11" ht="15.75" customHeight="1">
      <c r="A18" s="424" t="s">
        <v>731</v>
      </c>
      <c r="B18" s="417" t="s">
        <v>529</v>
      </c>
      <c r="H18" s="689" t="s">
        <v>405</v>
      </c>
      <c r="I18" s="690"/>
      <c r="J18" s="725"/>
      <c r="K18" s="726"/>
    </row>
    <row r="19" spans="1:11" ht="15.75" customHeight="1">
      <c r="A19" s="424" t="s">
        <v>732</v>
      </c>
      <c r="B19" s="417" t="s">
        <v>733</v>
      </c>
      <c r="H19" s="689" t="s">
        <v>734</v>
      </c>
      <c r="I19" s="690"/>
      <c r="J19" s="725" t="s">
        <v>478</v>
      </c>
      <c r="K19" s="726"/>
    </row>
    <row r="20" spans="1:11" ht="15.75" customHeight="1">
      <c r="A20" s="424"/>
      <c r="B20" s="417"/>
      <c r="H20" s="689"/>
      <c r="I20" s="691" t="s">
        <v>790</v>
      </c>
      <c r="J20" s="692"/>
      <c r="K20" s="692"/>
    </row>
    <row r="21" spans="1:11" ht="15.75" customHeight="1">
      <c r="A21" s="418"/>
      <c r="H21" s="423"/>
      <c r="J21" s="422"/>
      <c r="K21" s="422"/>
    </row>
    <row r="22" spans="1:11" ht="24" customHeight="1">
      <c r="A22" s="731" t="s">
        <v>406</v>
      </c>
      <c r="B22" s="731"/>
      <c r="C22" s="731"/>
      <c r="D22" s="731"/>
      <c r="E22" s="731"/>
      <c r="F22" s="731"/>
      <c r="G22" s="731"/>
      <c r="H22" s="731"/>
      <c r="I22" s="731"/>
      <c r="J22" s="731"/>
      <c r="K22" s="731"/>
    </row>
    <row r="23" spans="1:11" ht="15" customHeight="1">
      <c r="A23" s="421"/>
      <c r="B23" s="420"/>
      <c r="C23" s="420"/>
      <c r="D23" s="420"/>
      <c r="E23" s="420"/>
      <c r="F23" s="420"/>
      <c r="G23" s="420"/>
      <c r="H23" s="420"/>
      <c r="I23" s="420"/>
      <c r="J23" s="420"/>
      <c r="K23" s="420"/>
    </row>
    <row r="24" spans="1:11" ht="290.25" customHeight="1">
      <c r="A24" s="732"/>
      <c r="B24" s="733"/>
      <c r="C24" s="733"/>
      <c r="D24" s="733"/>
      <c r="E24" s="733"/>
      <c r="F24" s="733"/>
      <c r="G24" s="733"/>
      <c r="H24" s="733"/>
      <c r="I24" s="733"/>
      <c r="J24" s="733"/>
      <c r="K24" s="734"/>
    </row>
    <row r="25" spans="1:11" ht="15" customHeight="1" thickBot="1">
      <c r="A25" s="735"/>
      <c r="B25" s="735"/>
      <c r="C25" s="735"/>
      <c r="D25" s="735"/>
      <c r="E25" s="735"/>
      <c r="F25" s="735"/>
      <c r="G25" s="735"/>
      <c r="H25" s="735"/>
      <c r="I25" s="735"/>
      <c r="J25" s="735"/>
      <c r="K25" s="735"/>
    </row>
    <row r="26" spans="1:11" hidden="1">
      <c r="A26" s="736"/>
      <c r="B26" s="736"/>
      <c r="C26" s="736"/>
      <c r="D26" s="736"/>
      <c r="E26" s="736"/>
      <c r="F26" s="736"/>
      <c r="G26" s="736"/>
      <c r="H26" s="736"/>
      <c r="I26" s="736"/>
      <c r="J26" s="736"/>
      <c r="K26" s="736"/>
    </row>
    <row r="27" spans="1:11" hidden="1">
      <c r="A27" s="736"/>
      <c r="B27" s="736"/>
      <c r="C27" s="736"/>
      <c r="D27" s="736"/>
      <c r="E27" s="736"/>
      <c r="F27" s="736"/>
      <c r="G27" s="736"/>
      <c r="H27" s="736"/>
      <c r="I27" s="736"/>
      <c r="J27" s="736"/>
      <c r="K27" s="736"/>
    </row>
    <row r="28" spans="1:11" hidden="1">
      <c r="A28" s="736"/>
      <c r="B28" s="736"/>
      <c r="C28" s="736"/>
      <c r="D28" s="736"/>
      <c r="E28" s="736"/>
      <c r="F28" s="736"/>
      <c r="G28" s="736"/>
      <c r="H28" s="736"/>
      <c r="I28" s="736"/>
      <c r="J28" s="736"/>
      <c r="K28" s="736"/>
    </row>
    <row r="29" spans="1:11" hidden="1">
      <c r="A29" s="736"/>
      <c r="B29" s="736"/>
      <c r="C29" s="736"/>
      <c r="D29" s="736"/>
      <c r="E29" s="736"/>
      <c r="F29" s="736"/>
      <c r="G29" s="736"/>
      <c r="H29" s="736"/>
      <c r="I29" s="736"/>
      <c r="J29" s="736"/>
      <c r="K29" s="736"/>
    </row>
    <row r="30" spans="1:11" hidden="1">
      <c r="A30" s="736"/>
      <c r="B30" s="736"/>
      <c r="C30" s="736"/>
      <c r="D30" s="736"/>
      <c r="E30" s="736"/>
      <c r="F30" s="736"/>
      <c r="G30" s="736"/>
      <c r="H30" s="736"/>
      <c r="I30" s="736"/>
      <c r="J30" s="736"/>
      <c r="K30" s="736"/>
    </row>
    <row r="31" spans="1:11" ht="13.8" hidden="1" thickBot="1">
      <c r="A31" s="736"/>
      <c r="B31" s="736"/>
      <c r="C31" s="736"/>
      <c r="D31" s="736"/>
      <c r="E31" s="736"/>
      <c r="F31" s="736"/>
      <c r="G31" s="736"/>
      <c r="H31" s="736"/>
      <c r="I31" s="736"/>
      <c r="J31" s="736"/>
      <c r="K31" s="736"/>
    </row>
    <row r="32" spans="1:11" ht="201.75" customHeight="1" thickBot="1">
      <c r="A32" s="737" t="s">
        <v>528</v>
      </c>
      <c r="B32" s="738"/>
      <c r="C32" s="738"/>
      <c r="D32" s="738"/>
      <c r="E32" s="738"/>
      <c r="F32" s="738"/>
      <c r="G32" s="738"/>
      <c r="H32" s="738"/>
      <c r="I32" s="738"/>
      <c r="J32" s="738"/>
      <c r="K32" s="739"/>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9:K19"/>
    <mergeCell ref="A22:K22"/>
    <mergeCell ref="A24:K24"/>
    <mergeCell ref="A25:K31"/>
    <mergeCell ref="A32:K32"/>
    <mergeCell ref="J18:K18"/>
    <mergeCell ref="A1:K1"/>
    <mergeCell ref="A5:K5"/>
    <mergeCell ref="J8:K8"/>
    <mergeCell ref="J9:K9"/>
    <mergeCell ref="J10:K10"/>
    <mergeCell ref="J11:K11"/>
    <mergeCell ref="J12:K12"/>
    <mergeCell ref="J13:K13"/>
    <mergeCell ref="J14:K14"/>
    <mergeCell ref="J15:K15"/>
    <mergeCell ref="J17:K17"/>
    <mergeCell ref="J16:K16"/>
  </mergeCells>
  <conditionalFormatting sqref="J10:K15 J16">
    <cfRule type="cellIs" dxfId="154" priority="2" stopIfTrue="1" operator="equal">
      <formula>"Fail"</formula>
    </cfRule>
  </conditionalFormatting>
  <conditionalFormatting sqref="J17:K20">
    <cfRule type="cellIs" dxfId="153" priority="1" stopIfTrue="1" operator="equal">
      <formula>"Fail"</formula>
    </cfRule>
  </conditionalFormatting>
  <dataValidations count="2">
    <dataValidation type="list" allowBlank="1" showInputMessage="1" showErrorMessage="1" sqref="J14:J20 K14:K15 K17:K20"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3.2"/>
  <cols>
    <col min="1" max="1" width="13.5" style="416" customWidth="1"/>
    <col min="2" max="2" width="6.5" style="416" customWidth="1"/>
    <col min="3" max="3" width="36.19921875" style="416" customWidth="1"/>
    <col min="4" max="4" width="9.8984375" style="416" customWidth="1"/>
    <col min="5" max="5" width="15.5" style="416" customWidth="1"/>
    <col min="6" max="7" width="9" style="416"/>
    <col min="8" max="8" width="10.8984375" style="416" customWidth="1"/>
    <col min="9" max="256" width="9" style="416"/>
    <col min="257" max="257" width="13.5" style="416" customWidth="1"/>
    <col min="258" max="258" width="6.5" style="416" customWidth="1"/>
    <col min="259" max="259" width="36.19921875" style="416" customWidth="1"/>
    <col min="260" max="260" width="9.8984375" style="416" customWidth="1"/>
    <col min="261" max="261" width="15.5" style="416" customWidth="1"/>
    <col min="262" max="263" width="9" style="416"/>
    <col min="264" max="264" width="10.8984375" style="416" customWidth="1"/>
    <col min="265" max="512" width="9" style="416"/>
    <col min="513" max="513" width="13.5" style="416" customWidth="1"/>
    <col min="514" max="514" width="6.5" style="416" customWidth="1"/>
    <col min="515" max="515" width="36.19921875" style="416" customWidth="1"/>
    <col min="516" max="516" width="9.8984375" style="416" customWidth="1"/>
    <col min="517" max="517" width="15.5" style="416" customWidth="1"/>
    <col min="518" max="519" width="9" style="416"/>
    <col min="520" max="520" width="10.8984375" style="416" customWidth="1"/>
    <col min="521" max="768" width="9" style="416"/>
    <col min="769" max="769" width="13.5" style="416" customWidth="1"/>
    <col min="770" max="770" width="6.5" style="416" customWidth="1"/>
    <col min="771" max="771" width="36.19921875" style="416" customWidth="1"/>
    <col min="772" max="772" width="9.8984375" style="416" customWidth="1"/>
    <col min="773" max="773" width="15.5" style="416" customWidth="1"/>
    <col min="774" max="775" width="9" style="416"/>
    <col min="776" max="776" width="10.8984375" style="416" customWidth="1"/>
    <col min="777" max="1024" width="9" style="416"/>
    <col min="1025" max="1025" width="13.5" style="416" customWidth="1"/>
    <col min="1026" max="1026" width="6.5" style="416" customWidth="1"/>
    <col min="1027" max="1027" width="36.19921875" style="416" customWidth="1"/>
    <col min="1028" max="1028" width="9.8984375" style="416" customWidth="1"/>
    <col min="1029" max="1029" width="15.5" style="416" customWidth="1"/>
    <col min="1030" max="1031" width="9" style="416"/>
    <col min="1032" max="1032" width="10.8984375" style="416" customWidth="1"/>
    <col min="1033" max="1280" width="9" style="416"/>
    <col min="1281" max="1281" width="13.5" style="416" customWidth="1"/>
    <col min="1282" max="1282" width="6.5" style="416" customWidth="1"/>
    <col min="1283" max="1283" width="36.19921875" style="416" customWidth="1"/>
    <col min="1284" max="1284" width="9.8984375" style="416" customWidth="1"/>
    <col min="1285" max="1285" width="15.5" style="416" customWidth="1"/>
    <col min="1286" max="1287" width="9" style="416"/>
    <col min="1288" max="1288" width="10.8984375" style="416" customWidth="1"/>
    <col min="1289" max="1536" width="9" style="416"/>
    <col min="1537" max="1537" width="13.5" style="416" customWidth="1"/>
    <col min="1538" max="1538" width="6.5" style="416" customWidth="1"/>
    <col min="1539" max="1539" width="36.19921875" style="416" customWidth="1"/>
    <col min="1540" max="1540" width="9.8984375" style="416" customWidth="1"/>
    <col min="1541" max="1541" width="15.5" style="416" customWidth="1"/>
    <col min="1542" max="1543" width="9" style="416"/>
    <col min="1544" max="1544" width="10.8984375" style="416" customWidth="1"/>
    <col min="1545" max="1792" width="9" style="416"/>
    <col min="1793" max="1793" width="13.5" style="416" customWidth="1"/>
    <col min="1794" max="1794" width="6.5" style="416" customWidth="1"/>
    <col min="1795" max="1795" width="36.19921875" style="416" customWidth="1"/>
    <col min="1796" max="1796" width="9.8984375" style="416" customWidth="1"/>
    <col min="1797" max="1797" width="15.5" style="416" customWidth="1"/>
    <col min="1798" max="1799" width="9" style="416"/>
    <col min="1800" max="1800" width="10.8984375" style="416" customWidth="1"/>
    <col min="1801" max="2048" width="9" style="416"/>
    <col min="2049" max="2049" width="13.5" style="416" customWidth="1"/>
    <col min="2050" max="2050" width="6.5" style="416" customWidth="1"/>
    <col min="2051" max="2051" width="36.19921875" style="416" customWidth="1"/>
    <col min="2052" max="2052" width="9.8984375" style="416" customWidth="1"/>
    <col min="2053" max="2053" width="15.5" style="416" customWidth="1"/>
    <col min="2054" max="2055" width="9" style="416"/>
    <col min="2056" max="2056" width="10.8984375" style="416" customWidth="1"/>
    <col min="2057" max="2304" width="9" style="416"/>
    <col min="2305" max="2305" width="13.5" style="416" customWidth="1"/>
    <col min="2306" max="2306" width="6.5" style="416" customWidth="1"/>
    <col min="2307" max="2307" width="36.19921875" style="416" customWidth="1"/>
    <col min="2308" max="2308" width="9.8984375" style="416" customWidth="1"/>
    <col min="2309" max="2309" width="15.5" style="416" customWidth="1"/>
    <col min="2310" max="2311" width="9" style="416"/>
    <col min="2312" max="2312" width="10.8984375" style="416" customWidth="1"/>
    <col min="2313" max="2560" width="9" style="416"/>
    <col min="2561" max="2561" width="13.5" style="416" customWidth="1"/>
    <col min="2562" max="2562" width="6.5" style="416" customWidth="1"/>
    <col min="2563" max="2563" width="36.19921875" style="416" customWidth="1"/>
    <col min="2564" max="2564" width="9.8984375" style="416" customWidth="1"/>
    <col min="2565" max="2565" width="15.5" style="416" customWidth="1"/>
    <col min="2566" max="2567" width="9" style="416"/>
    <col min="2568" max="2568" width="10.8984375" style="416" customWidth="1"/>
    <col min="2569" max="2816" width="9" style="416"/>
    <col min="2817" max="2817" width="13.5" style="416" customWidth="1"/>
    <col min="2818" max="2818" width="6.5" style="416" customWidth="1"/>
    <col min="2819" max="2819" width="36.19921875" style="416" customWidth="1"/>
    <col min="2820" max="2820" width="9.8984375" style="416" customWidth="1"/>
    <col min="2821" max="2821" width="15.5" style="416" customWidth="1"/>
    <col min="2822" max="2823" width="9" style="416"/>
    <col min="2824" max="2824" width="10.8984375" style="416" customWidth="1"/>
    <col min="2825" max="3072" width="9" style="416"/>
    <col min="3073" max="3073" width="13.5" style="416" customWidth="1"/>
    <col min="3074" max="3074" width="6.5" style="416" customWidth="1"/>
    <col min="3075" max="3075" width="36.19921875" style="416" customWidth="1"/>
    <col min="3076" max="3076" width="9.8984375" style="416" customWidth="1"/>
    <col min="3077" max="3077" width="15.5" style="416" customWidth="1"/>
    <col min="3078" max="3079" width="9" style="416"/>
    <col min="3080" max="3080" width="10.8984375" style="416" customWidth="1"/>
    <col min="3081" max="3328" width="9" style="416"/>
    <col min="3329" max="3329" width="13.5" style="416" customWidth="1"/>
    <col min="3330" max="3330" width="6.5" style="416" customWidth="1"/>
    <col min="3331" max="3331" width="36.19921875" style="416" customWidth="1"/>
    <col min="3332" max="3332" width="9.8984375" style="416" customWidth="1"/>
    <col min="3333" max="3333" width="15.5" style="416" customWidth="1"/>
    <col min="3334" max="3335" width="9" style="416"/>
    <col min="3336" max="3336" width="10.8984375" style="416" customWidth="1"/>
    <col min="3337" max="3584" width="9" style="416"/>
    <col min="3585" max="3585" width="13.5" style="416" customWidth="1"/>
    <col min="3586" max="3586" width="6.5" style="416" customWidth="1"/>
    <col min="3587" max="3587" width="36.19921875" style="416" customWidth="1"/>
    <col min="3588" max="3588" width="9.8984375" style="416" customWidth="1"/>
    <col min="3589" max="3589" width="15.5" style="416" customWidth="1"/>
    <col min="3590" max="3591" width="9" style="416"/>
    <col min="3592" max="3592" width="10.8984375" style="416" customWidth="1"/>
    <col min="3593" max="3840" width="9" style="416"/>
    <col min="3841" max="3841" width="13.5" style="416" customWidth="1"/>
    <col min="3842" max="3842" width="6.5" style="416" customWidth="1"/>
    <col min="3843" max="3843" width="36.19921875" style="416" customWidth="1"/>
    <col min="3844" max="3844" width="9.8984375" style="416" customWidth="1"/>
    <col min="3845" max="3845" width="15.5" style="416" customWidth="1"/>
    <col min="3846" max="3847" width="9" style="416"/>
    <col min="3848" max="3848" width="10.8984375" style="416" customWidth="1"/>
    <col min="3849" max="4096" width="9" style="416"/>
    <col min="4097" max="4097" width="13.5" style="416" customWidth="1"/>
    <col min="4098" max="4098" width="6.5" style="416" customWidth="1"/>
    <col min="4099" max="4099" width="36.19921875" style="416" customWidth="1"/>
    <col min="4100" max="4100" width="9.8984375" style="416" customWidth="1"/>
    <col min="4101" max="4101" width="15.5" style="416" customWidth="1"/>
    <col min="4102" max="4103" width="9" style="416"/>
    <col min="4104" max="4104" width="10.8984375" style="416" customWidth="1"/>
    <col min="4105" max="4352" width="9" style="416"/>
    <col min="4353" max="4353" width="13.5" style="416" customWidth="1"/>
    <col min="4354" max="4354" width="6.5" style="416" customWidth="1"/>
    <col min="4355" max="4355" width="36.19921875" style="416" customWidth="1"/>
    <col min="4356" max="4356" width="9.8984375" style="416" customWidth="1"/>
    <col min="4357" max="4357" width="15.5" style="416" customWidth="1"/>
    <col min="4358" max="4359" width="9" style="416"/>
    <col min="4360" max="4360" width="10.8984375" style="416" customWidth="1"/>
    <col min="4361" max="4608" width="9" style="416"/>
    <col min="4609" max="4609" width="13.5" style="416" customWidth="1"/>
    <col min="4610" max="4610" width="6.5" style="416" customWidth="1"/>
    <col min="4611" max="4611" width="36.19921875" style="416" customWidth="1"/>
    <col min="4612" max="4612" width="9.8984375" style="416" customWidth="1"/>
    <col min="4613" max="4613" width="15.5" style="416" customWidth="1"/>
    <col min="4614" max="4615" width="9" style="416"/>
    <col min="4616" max="4616" width="10.8984375" style="416" customWidth="1"/>
    <col min="4617" max="4864" width="9" style="416"/>
    <col min="4865" max="4865" width="13.5" style="416" customWidth="1"/>
    <col min="4866" max="4866" width="6.5" style="416" customWidth="1"/>
    <col min="4867" max="4867" width="36.19921875" style="416" customWidth="1"/>
    <col min="4868" max="4868" width="9.8984375" style="416" customWidth="1"/>
    <col min="4869" max="4869" width="15.5" style="416" customWidth="1"/>
    <col min="4870" max="4871" width="9" style="416"/>
    <col min="4872" max="4872" width="10.8984375" style="416" customWidth="1"/>
    <col min="4873" max="5120" width="9" style="416"/>
    <col min="5121" max="5121" width="13.5" style="416" customWidth="1"/>
    <col min="5122" max="5122" width="6.5" style="416" customWidth="1"/>
    <col min="5123" max="5123" width="36.19921875" style="416" customWidth="1"/>
    <col min="5124" max="5124" width="9.8984375" style="416" customWidth="1"/>
    <col min="5125" max="5125" width="15.5" style="416" customWidth="1"/>
    <col min="5126" max="5127" width="9" style="416"/>
    <col min="5128" max="5128" width="10.8984375" style="416" customWidth="1"/>
    <col min="5129" max="5376" width="9" style="416"/>
    <col min="5377" max="5377" width="13.5" style="416" customWidth="1"/>
    <col min="5378" max="5378" width="6.5" style="416" customWidth="1"/>
    <col min="5379" max="5379" width="36.19921875" style="416" customWidth="1"/>
    <col min="5380" max="5380" width="9.8984375" style="416" customWidth="1"/>
    <col min="5381" max="5381" width="15.5" style="416" customWidth="1"/>
    <col min="5382" max="5383" width="9" style="416"/>
    <col min="5384" max="5384" width="10.8984375" style="416" customWidth="1"/>
    <col min="5385" max="5632" width="9" style="416"/>
    <col min="5633" max="5633" width="13.5" style="416" customWidth="1"/>
    <col min="5634" max="5634" width="6.5" style="416" customWidth="1"/>
    <col min="5635" max="5635" width="36.19921875" style="416" customWidth="1"/>
    <col min="5636" max="5636" width="9.8984375" style="416" customWidth="1"/>
    <col min="5637" max="5637" width="15.5" style="416" customWidth="1"/>
    <col min="5638" max="5639" width="9" style="416"/>
    <col min="5640" max="5640" width="10.8984375" style="416" customWidth="1"/>
    <col min="5641" max="5888" width="9" style="416"/>
    <col min="5889" max="5889" width="13.5" style="416" customWidth="1"/>
    <col min="5890" max="5890" width="6.5" style="416" customWidth="1"/>
    <col min="5891" max="5891" width="36.19921875" style="416" customWidth="1"/>
    <col min="5892" max="5892" width="9.8984375" style="416" customWidth="1"/>
    <col min="5893" max="5893" width="15.5" style="416" customWidth="1"/>
    <col min="5894" max="5895" width="9" style="416"/>
    <col min="5896" max="5896" width="10.8984375" style="416" customWidth="1"/>
    <col min="5897" max="6144" width="9" style="416"/>
    <col min="6145" max="6145" width="13.5" style="416" customWidth="1"/>
    <col min="6146" max="6146" width="6.5" style="416" customWidth="1"/>
    <col min="6147" max="6147" width="36.19921875" style="416" customWidth="1"/>
    <col min="6148" max="6148" width="9.8984375" style="416" customWidth="1"/>
    <col min="6149" max="6149" width="15.5" style="416" customWidth="1"/>
    <col min="6150" max="6151" width="9" style="416"/>
    <col min="6152" max="6152" width="10.8984375" style="416" customWidth="1"/>
    <col min="6153" max="6400" width="9" style="416"/>
    <col min="6401" max="6401" width="13.5" style="416" customWidth="1"/>
    <col min="6402" max="6402" width="6.5" style="416" customWidth="1"/>
    <col min="6403" max="6403" width="36.19921875" style="416" customWidth="1"/>
    <col min="6404" max="6404" width="9.8984375" style="416" customWidth="1"/>
    <col min="6405" max="6405" width="15.5" style="416" customWidth="1"/>
    <col min="6406" max="6407" width="9" style="416"/>
    <col min="6408" max="6408" width="10.8984375" style="416" customWidth="1"/>
    <col min="6409" max="6656" width="9" style="416"/>
    <col min="6657" max="6657" width="13.5" style="416" customWidth="1"/>
    <col min="6658" max="6658" width="6.5" style="416" customWidth="1"/>
    <col min="6659" max="6659" width="36.19921875" style="416" customWidth="1"/>
    <col min="6660" max="6660" width="9.8984375" style="416" customWidth="1"/>
    <col min="6661" max="6661" width="15.5" style="416" customWidth="1"/>
    <col min="6662" max="6663" width="9" style="416"/>
    <col min="6664" max="6664" width="10.8984375" style="416" customWidth="1"/>
    <col min="6665" max="6912" width="9" style="416"/>
    <col min="6913" max="6913" width="13.5" style="416" customWidth="1"/>
    <col min="6914" max="6914" width="6.5" style="416" customWidth="1"/>
    <col min="6915" max="6915" width="36.19921875" style="416" customWidth="1"/>
    <col min="6916" max="6916" width="9.8984375" style="416" customWidth="1"/>
    <col min="6917" max="6917" width="15.5" style="416" customWidth="1"/>
    <col min="6918" max="6919" width="9" style="416"/>
    <col min="6920" max="6920" width="10.8984375" style="416" customWidth="1"/>
    <col min="6921" max="7168" width="9" style="416"/>
    <col min="7169" max="7169" width="13.5" style="416" customWidth="1"/>
    <col min="7170" max="7170" width="6.5" style="416" customWidth="1"/>
    <col min="7171" max="7171" width="36.19921875" style="416" customWidth="1"/>
    <col min="7172" max="7172" width="9.8984375" style="416" customWidth="1"/>
    <col min="7173" max="7173" width="15.5" style="416" customWidth="1"/>
    <col min="7174" max="7175" width="9" style="416"/>
    <col min="7176" max="7176" width="10.8984375" style="416" customWidth="1"/>
    <col min="7177" max="7424" width="9" style="416"/>
    <col min="7425" max="7425" width="13.5" style="416" customWidth="1"/>
    <col min="7426" max="7426" width="6.5" style="416" customWidth="1"/>
    <col min="7427" max="7427" width="36.19921875" style="416" customWidth="1"/>
    <col min="7428" max="7428" width="9.8984375" style="416" customWidth="1"/>
    <col min="7429" max="7429" width="15.5" style="416" customWidth="1"/>
    <col min="7430" max="7431" width="9" style="416"/>
    <col min="7432" max="7432" width="10.8984375" style="416" customWidth="1"/>
    <col min="7433" max="7680" width="9" style="416"/>
    <col min="7681" max="7681" width="13.5" style="416" customWidth="1"/>
    <col min="7682" max="7682" width="6.5" style="416" customWidth="1"/>
    <col min="7683" max="7683" width="36.19921875" style="416" customWidth="1"/>
    <col min="7684" max="7684" width="9.8984375" style="416" customWidth="1"/>
    <col min="7685" max="7685" width="15.5" style="416" customWidth="1"/>
    <col min="7686" max="7687" width="9" style="416"/>
    <col min="7688" max="7688" width="10.8984375" style="416" customWidth="1"/>
    <col min="7689" max="7936" width="9" style="416"/>
    <col min="7937" max="7937" width="13.5" style="416" customWidth="1"/>
    <col min="7938" max="7938" width="6.5" style="416" customWidth="1"/>
    <col min="7939" max="7939" width="36.19921875" style="416" customWidth="1"/>
    <col min="7940" max="7940" width="9.8984375" style="416" customWidth="1"/>
    <col min="7941" max="7941" width="15.5" style="416" customWidth="1"/>
    <col min="7942" max="7943" width="9" style="416"/>
    <col min="7944" max="7944" width="10.8984375" style="416" customWidth="1"/>
    <col min="7945" max="8192" width="9" style="416"/>
    <col min="8193" max="8193" width="13.5" style="416" customWidth="1"/>
    <col min="8194" max="8194" width="6.5" style="416" customWidth="1"/>
    <col min="8195" max="8195" width="36.19921875" style="416" customWidth="1"/>
    <col min="8196" max="8196" width="9.8984375" style="416" customWidth="1"/>
    <col min="8197" max="8197" width="15.5" style="416" customWidth="1"/>
    <col min="8198" max="8199" width="9" style="416"/>
    <col min="8200" max="8200" width="10.8984375" style="416" customWidth="1"/>
    <col min="8201" max="8448" width="9" style="416"/>
    <col min="8449" max="8449" width="13.5" style="416" customWidth="1"/>
    <col min="8450" max="8450" width="6.5" style="416" customWidth="1"/>
    <col min="8451" max="8451" width="36.19921875" style="416" customWidth="1"/>
    <col min="8452" max="8452" width="9.8984375" style="416" customWidth="1"/>
    <col min="8453" max="8453" width="15.5" style="416" customWidth="1"/>
    <col min="8454" max="8455" width="9" style="416"/>
    <col min="8456" max="8456" width="10.8984375" style="416" customWidth="1"/>
    <col min="8457" max="8704" width="9" style="416"/>
    <col min="8705" max="8705" width="13.5" style="416" customWidth="1"/>
    <col min="8706" max="8706" width="6.5" style="416" customWidth="1"/>
    <col min="8707" max="8707" width="36.19921875" style="416" customWidth="1"/>
    <col min="8708" max="8708" width="9.8984375" style="416" customWidth="1"/>
    <col min="8709" max="8709" width="15.5" style="416" customWidth="1"/>
    <col min="8710" max="8711" width="9" style="416"/>
    <col min="8712" max="8712" width="10.8984375" style="416" customWidth="1"/>
    <col min="8713" max="8960" width="9" style="416"/>
    <col min="8961" max="8961" width="13.5" style="416" customWidth="1"/>
    <col min="8962" max="8962" width="6.5" style="416" customWidth="1"/>
    <col min="8963" max="8963" width="36.19921875" style="416" customWidth="1"/>
    <col min="8964" max="8964" width="9.8984375" style="416" customWidth="1"/>
    <col min="8965" max="8965" width="15.5" style="416" customWidth="1"/>
    <col min="8966" max="8967" width="9" style="416"/>
    <col min="8968" max="8968" width="10.8984375" style="416" customWidth="1"/>
    <col min="8969" max="9216" width="9" style="416"/>
    <col min="9217" max="9217" width="13.5" style="416" customWidth="1"/>
    <col min="9218" max="9218" width="6.5" style="416" customWidth="1"/>
    <col min="9219" max="9219" width="36.19921875" style="416" customWidth="1"/>
    <col min="9220" max="9220" width="9.8984375" style="416" customWidth="1"/>
    <col min="9221" max="9221" width="15.5" style="416" customWidth="1"/>
    <col min="9222" max="9223" width="9" style="416"/>
    <col min="9224" max="9224" width="10.8984375" style="416" customWidth="1"/>
    <col min="9225" max="9472" width="9" style="416"/>
    <col min="9473" max="9473" width="13.5" style="416" customWidth="1"/>
    <col min="9474" max="9474" width="6.5" style="416" customWidth="1"/>
    <col min="9475" max="9475" width="36.19921875" style="416" customWidth="1"/>
    <col min="9476" max="9476" width="9.8984375" style="416" customWidth="1"/>
    <col min="9477" max="9477" width="15.5" style="416" customWidth="1"/>
    <col min="9478" max="9479" width="9" style="416"/>
    <col min="9480" max="9480" width="10.8984375" style="416" customWidth="1"/>
    <col min="9481" max="9728" width="9" style="416"/>
    <col min="9729" max="9729" width="13.5" style="416" customWidth="1"/>
    <col min="9730" max="9730" width="6.5" style="416" customWidth="1"/>
    <col min="9731" max="9731" width="36.19921875" style="416" customWidth="1"/>
    <col min="9732" max="9732" width="9.8984375" style="416" customWidth="1"/>
    <col min="9733" max="9733" width="15.5" style="416" customWidth="1"/>
    <col min="9734" max="9735" width="9" style="416"/>
    <col min="9736" max="9736" width="10.8984375" style="416" customWidth="1"/>
    <col min="9737" max="9984" width="9" style="416"/>
    <col min="9985" max="9985" width="13.5" style="416" customWidth="1"/>
    <col min="9986" max="9986" width="6.5" style="416" customWidth="1"/>
    <col min="9987" max="9987" width="36.19921875" style="416" customWidth="1"/>
    <col min="9988" max="9988" width="9.8984375" style="416" customWidth="1"/>
    <col min="9989" max="9989" width="15.5" style="416" customWidth="1"/>
    <col min="9990" max="9991" width="9" style="416"/>
    <col min="9992" max="9992" width="10.8984375" style="416" customWidth="1"/>
    <col min="9993" max="10240" width="9" style="416"/>
    <col min="10241" max="10241" width="13.5" style="416" customWidth="1"/>
    <col min="10242" max="10242" width="6.5" style="416" customWidth="1"/>
    <col min="10243" max="10243" width="36.19921875" style="416" customWidth="1"/>
    <col min="10244" max="10244" width="9.8984375" style="416" customWidth="1"/>
    <col min="10245" max="10245" width="15.5" style="416" customWidth="1"/>
    <col min="10246" max="10247" width="9" style="416"/>
    <col min="10248" max="10248" width="10.8984375" style="416" customWidth="1"/>
    <col min="10249" max="10496" width="9" style="416"/>
    <col min="10497" max="10497" width="13.5" style="416" customWidth="1"/>
    <col min="10498" max="10498" width="6.5" style="416" customWidth="1"/>
    <col min="10499" max="10499" width="36.19921875" style="416" customWidth="1"/>
    <col min="10500" max="10500" width="9.8984375" style="416" customWidth="1"/>
    <col min="10501" max="10501" width="15.5" style="416" customWidth="1"/>
    <col min="10502" max="10503" width="9" style="416"/>
    <col min="10504" max="10504" width="10.8984375" style="416" customWidth="1"/>
    <col min="10505" max="10752" width="9" style="416"/>
    <col min="10753" max="10753" width="13.5" style="416" customWidth="1"/>
    <col min="10754" max="10754" width="6.5" style="416" customWidth="1"/>
    <col min="10755" max="10755" width="36.19921875" style="416" customWidth="1"/>
    <col min="10756" max="10756" width="9.8984375" style="416" customWidth="1"/>
    <col min="10757" max="10757" width="15.5" style="416" customWidth="1"/>
    <col min="10758" max="10759" width="9" style="416"/>
    <col min="10760" max="10760" width="10.8984375" style="416" customWidth="1"/>
    <col min="10761" max="11008" width="9" style="416"/>
    <col min="11009" max="11009" width="13.5" style="416" customWidth="1"/>
    <col min="11010" max="11010" width="6.5" style="416" customWidth="1"/>
    <col min="11011" max="11011" width="36.19921875" style="416" customWidth="1"/>
    <col min="11012" max="11012" width="9.8984375" style="416" customWidth="1"/>
    <col min="11013" max="11013" width="15.5" style="416" customWidth="1"/>
    <col min="11014" max="11015" width="9" style="416"/>
    <col min="11016" max="11016" width="10.8984375" style="416" customWidth="1"/>
    <col min="11017" max="11264" width="9" style="416"/>
    <col min="11265" max="11265" width="13.5" style="416" customWidth="1"/>
    <col min="11266" max="11266" width="6.5" style="416" customWidth="1"/>
    <col min="11267" max="11267" width="36.19921875" style="416" customWidth="1"/>
    <col min="11268" max="11268" width="9.8984375" style="416" customWidth="1"/>
    <col min="11269" max="11269" width="15.5" style="416" customWidth="1"/>
    <col min="11270" max="11271" width="9" style="416"/>
    <col min="11272" max="11272" width="10.8984375" style="416" customWidth="1"/>
    <col min="11273" max="11520" width="9" style="416"/>
    <col min="11521" max="11521" width="13.5" style="416" customWidth="1"/>
    <col min="11522" max="11522" width="6.5" style="416" customWidth="1"/>
    <col min="11523" max="11523" width="36.19921875" style="416" customWidth="1"/>
    <col min="11524" max="11524" width="9.8984375" style="416" customWidth="1"/>
    <col min="11525" max="11525" width="15.5" style="416" customWidth="1"/>
    <col min="11526" max="11527" width="9" style="416"/>
    <col min="11528" max="11528" width="10.8984375" style="416" customWidth="1"/>
    <col min="11529" max="11776" width="9" style="416"/>
    <col min="11777" max="11777" width="13.5" style="416" customWidth="1"/>
    <col min="11778" max="11778" width="6.5" style="416" customWidth="1"/>
    <col min="11779" max="11779" width="36.19921875" style="416" customWidth="1"/>
    <col min="11780" max="11780" width="9.8984375" style="416" customWidth="1"/>
    <col min="11781" max="11781" width="15.5" style="416" customWidth="1"/>
    <col min="11782" max="11783" width="9" style="416"/>
    <col min="11784" max="11784" width="10.8984375" style="416" customWidth="1"/>
    <col min="11785" max="12032" width="9" style="416"/>
    <col min="12033" max="12033" width="13.5" style="416" customWidth="1"/>
    <col min="12034" max="12034" width="6.5" style="416" customWidth="1"/>
    <col min="12035" max="12035" width="36.19921875" style="416" customWidth="1"/>
    <col min="12036" max="12036" width="9.8984375" style="416" customWidth="1"/>
    <col min="12037" max="12037" width="15.5" style="416" customWidth="1"/>
    <col min="12038" max="12039" width="9" style="416"/>
    <col min="12040" max="12040" width="10.8984375" style="416" customWidth="1"/>
    <col min="12041" max="12288" width="9" style="416"/>
    <col min="12289" max="12289" width="13.5" style="416" customWidth="1"/>
    <col min="12290" max="12290" width="6.5" style="416" customWidth="1"/>
    <col min="12291" max="12291" width="36.19921875" style="416" customWidth="1"/>
    <col min="12292" max="12292" width="9.8984375" style="416" customWidth="1"/>
    <col min="12293" max="12293" width="15.5" style="416" customWidth="1"/>
    <col min="12294" max="12295" width="9" style="416"/>
    <col min="12296" max="12296" width="10.8984375" style="416" customWidth="1"/>
    <col min="12297" max="12544" width="9" style="416"/>
    <col min="12545" max="12545" width="13.5" style="416" customWidth="1"/>
    <col min="12546" max="12546" width="6.5" style="416" customWidth="1"/>
    <col min="12547" max="12547" width="36.19921875" style="416" customWidth="1"/>
    <col min="12548" max="12548" width="9.8984375" style="416" customWidth="1"/>
    <col min="12549" max="12549" width="15.5" style="416" customWidth="1"/>
    <col min="12550" max="12551" width="9" style="416"/>
    <col min="12552" max="12552" width="10.8984375" style="416" customWidth="1"/>
    <col min="12553" max="12800" width="9" style="416"/>
    <col min="12801" max="12801" width="13.5" style="416" customWidth="1"/>
    <col min="12802" max="12802" width="6.5" style="416" customWidth="1"/>
    <col min="12803" max="12803" width="36.19921875" style="416" customWidth="1"/>
    <col min="12804" max="12804" width="9.8984375" style="416" customWidth="1"/>
    <col min="12805" max="12805" width="15.5" style="416" customWidth="1"/>
    <col min="12806" max="12807" width="9" style="416"/>
    <col min="12808" max="12808" width="10.8984375" style="416" customWidth="1"/>
    <col min="12809" max="13056" width="9" style="416"/>
    <col min="13057" max="13057" width="13.5" style="416" customWidth="1"/>
    <col min="13058" max="13058" width="6.5" style="416" customWidth="1"/>
    <col min="13059" max="13059" width="36.19921875" style="416" customWidth="1"/>
    <col min="13060" max="13060" width="9.8984375" style="416" customWidth="1"/>
    <col min="13061" max="13061" width="15.5" style="416" customWidth="1"/>
    <col min="13062" max="13063" width="9" style="416"/>
    <col min="13064" max="13064" width="10.8984375" style="416" customWidth="1"/>
    <col min="13065" max="13312" width="9" style="416"/>
    <col min="13313" max="13313" width="13.5" style="416" customWidth="1"/>
    <col min="13314" max="13314" width="6.5" style="416" customWidth="1"/>
    <col min="13315" max="13315" width="36.19921875" style="416" customWidth="1"/>
    <col min="13316" max="13316" width="9.8984375" style="416" customWidth="1"/>
    <col min="13317" max="13317" width="15.5" style="416" customWidth="1"/>
    <col min="13318" max="13319" width="9" style="416"/>
    <col min="13320" max="13320" width="10.8984375" style="416" customWidth="1"/>
    <col min="13321" max="13568" width="9" style="416"/>
    <col min="13569" max="13569" width="13.5" style="416" customWidth="1"/>
    <col min="13570" max="13570" width="6.5" style="416" customWidth="1"/>
    <col min="13571" max="13571" width="36.19921875" style="416" customWidth="1"/>
    <col min="13572" max="13572" width="9.8984375" style="416" customWidth="1"/>
    <col min="13573" max="13573" width="15.5" style="416" customWidth="1"/>
    <col min="13574" max="13575" width="9" style="416"/>
    <col min="13576" max="13576" width="10.8984375" style="416" customWidth="1"/>
    <col min="13577" max="13824" width="9" style="416"/>
    <col min="13825" max="13825" width="13.5" style="416" customWidth="1"/>
    <col min="13826" max="13826" width="6.5" style="416" customWidth="1"/>
    <col min="13827" max="13827" width="36.19921875" style="416" customWidth="1"/>
    <col min="13828" max="13828" width="9.8984375" style="416" customWidth="1"/>
    <col min="13829" max="13829" width="15.5" style="416" customWidth="1"/>
    <col min="13830" max="13831" width="9" style="416"/>
    <col min="13832" max="13832" width="10.8984375" style="416" customWidth="1"/>
    <col min="13833" max="14080" width="9" style="416"/>
    <col min="14081" max="14081" width="13.5" style="416" customWidth="1"/>
    <col min="14082" max="14082" width="6.5" style="416" customWidth="1"/>
    <col min="14083" max="14083" width="36.19921875" style="416" customWidth="1"/>
    <col min="14084" max="14084" width="9.8984375" style="416" customWidth="1"/>
    <col min="14085" max="14085" width="15.5" style="416" customWidth="1"/>
    <col min="14086" max="14087" width="9" style="416"/>
    <col min="14088" max="14088" width="10.8984375" style="416" customWidth="1"/>
    <col min="14089" max="14336" width="9" style="416"/>
    <col min="14337" max="14337" width="13.5" style="416" customWidth="1"/>
    <col min="14338" max="14338" width="6.5" style="416" customWidth="1"/>
    <col min="14339" max="14339" width="36.19921875" style="416" customWidth="1"/>
    <col min="14340" max="14340" width="9.8984375" style="416" customWidth="1"/>
    <col min="14341" max="14341" width="15.5" style="416" customWidth="1"/>
    <col min="14342" max="14343" width="9" style="416"/>
    <col min="14344" max="14344" width="10.8984375" style="416" customWidth="1"/>
    <col min="14345" max="14592" width="9" style="416"/>
    <col min="14593" max="14593" width="13.5" style="416" customWidth="1"/>
    <col min="14594" max="14594" width="6.5" style="416" customWidth="1"/>
    <col min="14595" max="14595" width="36.19921875" style="416" customWidth="1"/>
    <col min="14596" max="14596" width="9.8984375" style="416" customWidth="1"/>
    <col min="14597" max="14597" width="15.5" style="416" customWidth="1"/>
    <col min="14598" max="14599" width="9" style="416"/>
    <col min="14600" max="14600" width="10.8984375" style="416" customWidth="1"/>
    <col min="14601" max="14848" width="9" style="416"/>
    <col min="14849" max="14849" width="13.5" style="416" customWidth="1"/>
    <col min="14850" max="14850" width="6.5" style="416" customWidth="1"/>
    <col min="14851" max="14851" width="36.19921875" style="416" customWidth="1"/>
    <col min="14852" max="14852" width="9.8984375" style="416" customWidth="1"/>
    <col min="14853" max="14853" width="15.5" style="416" customWidth="1"/>
    <col min="14854" max="14855" width="9" style="416"/>
    <col min="14856" max="14856" width="10.8984375" style="416" customWidth="1"/>
    <col min="14857" max="15104" width="9" style="416"/>
    <col min="15105" max="15105" width="13.5" style="416" customWidth="1"/>
    <col min="15106" max="15106" width="6.5" style="416" customWidth="1"/>
    <col min="15107" max="15107" width="36.19921875" style="416" customWidth="1"/>
    <col min="15108" max="15108" width="9.8984375" style="416" customWidth="1"/>
    <col min="15109" max="15109" width="15.5" style="416" customWidth="1"/>
    <col min="15110" max="15111" width="9" style="416"/>
    <col min="15112" max="15112" width="10.8984375" style="416" customWidth="1"/>
    <col min="15113" max="15360" width="9" style="416"/>
    <col min="15361" max="15361" width="13.5" style="416" customWidth="1"/>
    <col min="15362" max="15362" width="6.5" style="416" customWidth="1"/>
    <col min="15363" max="15363" width="36.19921875" style="416" customWidth="1"/>
    <col min="15364" max="15364" width="9.8984375" style="416" customWidth="1"/>
    <col min="15365" max="15365" width="15.5" style="416" customWidth="1"/>
    <col min="15366" max="15367" width="9" style="416"/>
    <col min="15368" max="15368" width="10.8984375" style="416" customWidth="1"/>
    <col min="15369" max="15616" width="9" style="416"/>
    <col min="15617" max="15617" width="13.5" style="416" customWidth="1"/>
    <col min="15618" max="15618" width="6.5" style="416" customWidth="1"/>
    <col min="15619" max="15619" width="36.19921875" style="416" customWidth="1"/>
    <col min="15620" max="15620" width="9.8984375" style="416" customWidth="1"/>
    <col min="15621" max="15621" width="15.5" style="416" customWidth="1"/>
    <col min="15622" max="15623" width="9" style="416"/>
    <col min="15624" max="15624" width="10.8984375" style="416" customWidth="1"/>
    <col min="15625" max="15872" width="9" style="416"/>
    <col min="15873" max="15873" width="13.5" style="416" customWidth="1"/>
    <col min="15874" max="15874" width="6.5" style="416" customWidth="1"/>
    <col min="15875" max="15875" width="36.19921875" style="416" customWidth="1"/>
    <col min="15876" max="15876" width="9.8984375" style="416" customWidth="1"/>
    <col min="15877" max="15877" width="15.5" style="416" customWidth="1"/>
    <col min="15878" max="15879" width="9" style="416"/>
    <col min="15880" max="15880" width="10.8984375" style="416" customWidth="1"/>
    <col min="15881" max="16128" width="9" style="416"/>
    <col min="16129" max="16129" width="13.5" style="416" customWidth="1"/>
    <col min="16130" max="16130" width="6.5" style="416" customWidth="1"/>
    <col min="16131" max="16131" width="36.19921875" style="416" customWidth="1"/>
    <col min="16132" max="16132" width="9.8984375" style="416" customWidth="1"/>
    <col min="16133" max="16133" width="15.5" style="416" customWidth="1"/>
    <col min="16134" max="16135" width="9" style="416"/>
    <col min="16136" max="16136" width="10.8984375" style="416" customWidth="1"/>
    <col min="16137" max="16384" width="9" style="416"/>
  </cols>
  <sheetData>
    <row r="1" spans="1:5" ht="33" customHeight="1">
      <c r="A1" s="755" t="s">
        <v>616</v>
      </c>
      <c r="B1" s="756"/>
      <c r="C1" s="756"/>
      <c r="D1" s="756"/>
      <c r="E1" s="756"/>
    </row>
    <row r="2" spans="1:5" ht="18" customHeight="1">
      <c r="A2" s="572"/>
      <c r="B2" s="572"/>
      <c r="C2" s="572"/>
      <c r="D2" s="572"/>
      <c r="E2" s="572"/>
    </row>
    <row r="3" spans="1:5" ht="16.5" customHeight="1">
      <c r="A3" s="573" t="s">
        <v>617</v>
      </c>
      <c r="B3" s="757">
        <f>'QC Test Summary-Siemens'!C4</f>
        <v>0</v>
      </c>
      <c r="C3" s="757"/>
      <c r="D3" s="757"/>
      <c r="E3" s="757"/>
    </row>
    <row r="4" spans="1:5" ht="16.5" customHeight="1">
      <c r="A4" s="573" t="s">
        <v>618</v>
      </c>
      <c r="B4" s="758" t="str">
        <f>Sheet1!R17</f>
        <v/>
      </c>
      <c r="C4" s="758"/>
      <c r="D4" s="574" t="s">
        <v>36</v>
      </c>
      <c r="E4" s="575" t="str">
        <f>Sheet1!R18</f>
        <v/>
      </c>
    </row>
    <row r="5" spans="1:5" ht="16.5" customHeight="1">
      <c r="A5" s="573" t="s">
        <v>619</v>
      </c>
      <c r="B5" s="575" t="str">
        <f>Sheet1!V18</f>
        <v/>
      </c>
      <c r="C5" s="575"/>
      <c r="D5" s="574" t="s">
        <v>620</v>
      </c>
      <c r="E5" s="624" t="str">
        <f>Sheet1!V17</f>
        <v/>
      </c>
    </row>
    <row r="6" spans="1:5" ht="16.5" customHeight="1">
      <c r="A6" s="573" t="s">
        <v>621</v>
      </c>
      <c r="B6" s="758" t="str">
        <f>Sheet1!X7</f>
        <v>Eugene Mah</v>
      </c>
      <c r="C6" s="758"/>
      <c r="D6" s="574" t="s">
        <v>622</v>
      </c>
      <c r="E6" s="576" t="str">
        <f>Sheet1!R14</f>
        <v/>
      </c>
    </row>
    <row r="7" spans="1:5" ht="16.5" customHeight="1">
      <c r="A7" s="573" t="s">
        <v>623</v>
      </c>
      <c r="B7" s="758"/>
      <c r="C7" s="758"/>
      <c r="D7" s="574" t="s">
        <v>624</v>
      </c>
      <c r="E7" s="625">
        <f>Sheet1!P7</f>
        <v>0</v>
      </c>
    </row>
    <row r="8" spans="1:5" ht="21.75" customHeight="1" thickBot="1"/>
    <row r="9" spans="1:5" ht="35.25" customHeight="1" thickBot="1">
      <c r="A9" s="577" t="s">
        <v>625</v>
      </c>
      <c r="B9" s="578" t="s">
        <v>626</v>
      </c>
      <c r="C9" s="579" t="s">
        <v>627</v>
      </c>
      <c r="D9" s="578" t="s">
        <v>628</v>
      </c>
      <c r="E9" s="580" t="s">
        <v>742</v>
      </c>
    </row>
    <row r="10" spans="1:5" ht="33" customHeight="1" thickTop="1">
      <c r="A10" s="754" t="s">
        <v>629</v>
      </c>
      <c r="B10" s="581" t="s">
        <v>630</v>
      </c>
      <c r="C10" s="582" t="s">
        <v>631</v>
      </c>
      <c r="D10" s="583" t="s">
        <v>632</v>
      </c>
      <c r="E10" s="584"/>
    </row>
    <row r="11" spans="1:5" ht="25.5" customHeight="1" thickBot="1">
      <c r="A11" s="750"/>
      <c r="B11" s="585" t="s">
        <v>633</v>
      </c>
      <c r="C11" s="586" t="s">
        <v>634</v>
      </c>
      <c r="D11" s="587" t="s">
        <v>632</v>
      </c>
      <c r="E11" s="588"/>
    </row>
    <row r="12" spans="1:5" ht="33.75" customHeight="1">
      <c r="A12" s="745" t="s">
        <v>635</v>
      </c>
      <c r="B12" s="589" t="s">
        <v>636</v>
      </c>
      <c r="C12" s="590" t="s">
        <v>637</v>
      </c>
      <c r="D12" s="591" t="s">
        <v>638</v>
      </c>
      <c r="E12" s="592"/>
    </row>
    <row r="13" spans="1:5" ht="33.75" customHeight="1">
      <c r="A13" s="746"/>
      <c r="B13" s="593" t="s">
        <v>639</v>
      </c>
      <c r="C13" s="594" t="s">
        <v>640</v>
      </c>
      <c r="D13" s="595" t="s">
        <v>638</v>
      </c>
      <c r="E13" s="596"/>
    </row>
    <row r="14" spans="1:5" ht="34.5" customHeight="1" thickBot="1">
      <c r="A14" s="747"/>
      <c r="B14" s="597" t="s">
        <v>641</v>
      </c>
      <c r="C14" s="598" t="s">
        <v>642</v>
      </c>
      <c r="D14" s="587" t="s">
        <v>632</v>
      </c>
      <c r="E14" s="599"/>
    </row>
    <row r="15" spans="1:5" ht="40.799999999999997">
      <c r="A15" s="748" t="s">
        <v>643</v>
      </c>
      <c r="B15" s="600" t="s">
        <v>644</v>
      </c>
      <c r="C15" s="601" t="s">
        <v>645</v>
      </c>
      <c r="D15" s="591" t="s">
        <v>632</v>
      </c>
      <c r="E15" s="602"/>
    </row>
    <row r="16" spans="1:5" ht="54.75" customHeight="1" thickBot="1">
      <c r="A16" s="749"/>
      <c r="B16" s="585" t="s">
        <v>646</v>
      </c>
      <c r="C16" s="603" t="s">
        <v>695</v>
      </c>
      <c r="D16" s="587" t="s">
        <v>647</v>
      </c>
      <c r="E16" s="604"/>
    </row>
    <row r="17" spans="1:5" ht="33.75" customHeight="1">
      <c r="A17" s="740" t="s">
        <v>648</v>
      </c>
      <c r="B17" s="605" t="s">
        <v>649</v>
      </c>
      <c r="C17" s="590" t="s">
        <v>650</v>
      </c>
      <c r="D17" s="591" t="s">
        <v>632</v>
      </c>
      <c r="E17" s="606"/>
    </row>
    <row r="18" spans="1:5" ht="33.75" customHeight="1" thickBot="1">
      <c r="A18" s="750"/>
      <c r="B18" s="607" t="s">
        <v>651</v>
      </c>
      <c r="C18" s="608" t="s">
        <v>652</v>
      </c>
      <c r="D18" s="587" t="s">
        <v>632</v>
      </c>
      <c r="E18" s="588"/>
    </row>
    <row r="19" spans="1:5" ht="20.399999999999999">
      <c r="A19" s="751" t="s">
        <v>653</v>
      </c>
      <c r="B19" s="605" t="s">
        <v>654</v>
      </c>
      <c r="C19" s="590" t="s">
        <v>655</v>
      </c>
      <c r="D19" s="591" t="s">
        <v>632</v>
      </c>
      <c r="E19" s="606"/>
    </row>
    <row r="20" spans="1:5" ht="33.75" customHeight="1">
      <c r="A20" s="752"/>
      <c r="B20" s="609" t="s">
        <v>656</v>
      </c>
      <c r="C20" s="610" t="s">
        <v>657</v>
      </c>
      <c r="D20" s="583" t="s">
        <v>632</v>
      </c>
      <c r="E20" s="611"/>
    </row>
    <row r="21" spans="1:5" ht="54.75" customHeight="1" thickBot="1">
      <c r="A21" s="753"/>
      <c r="B21" s="607" t="s">
        <v>658</v>
      </c>
      <c r="C21" s="608" t="s">
        <v>659</v>
      </c>
      <c r="D21" s="587" t="s">
        <v>632</v>
      </c>
      <c r="E21" s="588"/>
    </row>
    <row r="22" spans="1:5" ht="33.75" customHeight="1">
      <c r="A22" s="740" t="s">
        <v>660</v>
      </c>
      <c r="B22" s="605" t="s">
        <v>661</v>
      </c>
      <c r="C22" s="590" t="s">
        <v>662</v>
      </c>
      <c r="D22" s="591" t="s">
        <v>632</v>
      </c>
      <c r="E22" s="606"/>
    </row>
    <row r="23" spans="1:5" ht="25.5" customHeight="1" thickBot="1">
      <c r="A23" s="750"/>
      <c r="B23" s="585" t="s">
        <v>663</v>
      </c>
      <c r="C23" s="598" t="s">
        <v>664</v>
      </c>
      <c r="D23" s="587" t="s">
        <v>632</v>
      </c>
      <c r="E23" s="604"/>
    </row>
    <row r="24" spans="1:5" ht="30.6">
      <c r="A24" s="751" t="s">
        <v>665</v>
      </c>
      <c r="B24" s="605" t="s">
        <v>666</v>
      </c>
      <c r="C24" s="590" t="s">
        <v>667</v>
      </c>
      <c r="D24" s="591" t="s">
        <v>632</v>
      </c>
      <c r="E24" s="606"/>
    </row>
    <row r="25" spans="1:5" ht="45.75" customHeight="1">
      <c r="A25" s="752"/>
      <c r="B25" s="609" t="s">
        <v>668</v>
      </c>
      <c r="C25" s="594" t="s">
        <v>669</v>
      </c>
      <c r="D25" s="583" t="s">
        <v>647</v>
      </c>
      <c r="E25" s="611"/>
    </row>
    <row r="26" spans="1:5" ht="46.5" customHeight="1">
      <c r="A26" s="752"/>
      <c r="B26" s="612" t="s">
        <v>670</v>
      </c>
      <c r="C26" s="594" t="s">
        <v>671</v>
      </c>
      <c r="D26" s="583" t="s">
        <v>632</v>
      </c>
      <c r="E26" s="611"/>
    </row>
    <row r="27" spans="1:5" ht="20.399999999999999">
      <c r="A27" s="752"/>
      <c r="B27" s="612" t="s">
        <v>672</v>
      </c>
      <c r="C27" s="594" t="s">
        <v>673</v>
      </c>
      <c r="D27" s="583" t="s">
        <v>632</v>
      </c>
      <c r="E27" s="611"/>
    </row>
    <row r="28" spans="1:5" ht="21" thickBot="1">
      <c r="A28" s="753"/>
      <c r="B28" s="613" t="s">
        <v>674</v>
      </c>
      <c r="C28" s="598" t="s">
        <v>675</v>
      </c>
      <c r="D28" s="587" t="s">
        <v>632</v>
      </c>
      <c r="E28" s="604"/>
    </row>
    <row r="29" spans="1:5" ht="20.399999999999999">
      <c r="A29" s="740" t="s">
        <v>676</v>
      </c>
      <c r="B29" s="614" t="s">
        <v>677</v>
      </c>
      <c r="C29" s="590" t="s">
        <v>678</v>
      </c>
      <c r="D29" s="591" t="s">
        <v>632</v>
      </c>
      <c r="E29" s="606"/>
    </row>
    <row r="30" spans="1:5" ht="54.75" customHeight="1">
      <c r="A30" s="741"/>
      <c r="B30" s="612" t="s">
        <v>679</v>
      </c>
      <c r="C30" s="594" t="s">
        <v>680</v>
      </c>
      <c r="D30" s="583" t="s">
        <v>632</v>
      </c>
      <c r="E30" s="611"/>
    </row>
    <row r="31" spans="1:5" ht="31.2" thickBot="1">
      <c r="A31" s="742"/>
      <c r="B31" s="613" t="s">
        <v>681</v>
      </c>
      <c r="C31" s="598" t="s">
        <v>682</v>
      </c>
      <c r="D31" s="587" t="s">
        <v>632</v>
      </c>
      <c r="E31" s="604"/>
    </row>
    <row r="32" spans="1:5" ht="46.5" customHeight="1">
      <c r="A32" s="740" t="s">
        <v>683</v>
      </c>
      <c r="B32" s="614" t="s">
        <v>684</v>
      </c>
      <c r="C32" s="590" t="s">
        <v>685</v>
      </c>
      <c r="D32" s="591" t="s">
        <v>638</v>
      </c>
      <c r="E32" s="606"/>
    </row>
    <row r="33" spans="1:5" ht="66.75" customHeight="1">
      <c r="A33" s="741"/>
      <c r="B33" s="612" t="s">
        <v>686</v>
      </c>
      <c r="C33" s="594" t="s">
        <v>743</v>
      </c>
      <c r="D33" s="595" t="s">
        <v>638</v>
      </c>
      <c r="E33" s="611"/>
    </row>
    <row r="34" spans="1:5" ht="21" thickBot="1">
      <c r="A34" s="742"/>
      <c r="B34" s="613" t="s">
        <v>687</v>
      </c>
      <c r="C34" s="598" t="s">
        <v>688</v>
      </c>
      <c r="D34" s="615" t="s">
        <v>638</v>
      </c>
      <c r="E34" s="604"/>
    </row>
    <row r="35" spans="1:5" ht="33.75" customHeight="1" thickBot="1">
      <c r="A35" s="616" t="s">
        <v>744</v>
      </c>
      <c r="B35" s="617">
        <v>11</v>
      </c>
      <c r="C35" s="618" t="s">
        <v>689</v>
      </c>
      <c r="D35" s="619" t="s">
        <v>638</v>
      </c>
      <c r="E35" s="620"/>
    </row>
    <row r="36" spans="1:5" ht="54.75" customHeight="1" thickBot="1">
      <c r="A36" s="616" t="s">
        <v>745</v>
      </c>
      <c r="B36" s="617">
        <v>12</v>
      </c>
      <c r="C36" s="618" t="s">
        <v>690</v>
      </c>
      <c r="D36" s="619" t="s">
        <v>638</v>
      </c>
      <c r="E36" s="620"/>
    </row>
    <row r="37" spans="1:5" ht="41.4" thickBot="1">
      <c r="A37" s="616" t="s">
        <v>746</v>
      </c>
      <c r="B37" s="617">
        <v>13</v>
      </c>
      <c r="C37" s="618" t="s">
        <v>691</v>
      </c>
      <c r="D37" s="619" t="s">
        <v>638</v>
      </c>
      <c r="E37" s="620"/>
    </row>
    <row r="38" spans="1:5" ht="46.5" customHeight="1" thickBot="1">
      <c r="A38" s="616" t="s">
        <v>747</v>
      </c>
      <c r="B38" s="617">
        <v>14</v>
      </c>
      <c r="C38" s="618" t="s">
        <v>692</v>
      </c>
      <c r="D38" s="619" t="s">
        <v>693</v>
      </c>
      <c r="E38" s="620"/>
    </row>
    <row r="39" spans="1:5" ht="46.5" customHeight="1" thickBot="1">
      <c r="A39" s="621" t="s">
        <v>748</v>
      </c>
      <c r="B39" s="622">
        <v>15</v>
      </c>
      <c r="C39" s="608" t="s">
        <v>694</v>
      </c>
      <c r="D39" s="587" t="s">
        <v>693</v>
      </c>
      <c r="E39" s="588"/>
    </row>
    <row r="40" spans="1:5">
      <c r="A40" s="743" t="s">
        <v>749</v>
      </c>
      <c r="B40" s="744"/>
      <c r="C40" s="744"/>
      <c r="D40" s="744"/>
      <c r="E40" s="744"/>
    </row>
    <row r="41" spans="1:5">
      <c r="A41" s="623"/>
      <c r="B41" s="623"/>
      <c r="C41" s="623"/>
      <c r="D41" s="623"/>
      <c r="E41" s="623"/>
    </row>
    <row r="42" spans="1:5">
      <c r="A42" s="623"/>
      <c r="B42" s="623"/>
      <c r="C42" s="623"/>
      <c r="D42" s="623"/>
      <c r="E42" s="623"/>
    </row>
    <row r="43" spans="1:5">
      <c r="A43" s="623"/>
      <c r="B43" s="623"/>
      <c r="C43" s="623"/>
      <c r="D43" s="623"/>
      <c r="E43" s="623"/>
    </row>
    <row r="44" spans="1:5">
      <c r="A44" s="623"/>
      <c r="B44" s="623"/>
      <c r="C44" s="623"/>
      <c r="D44" s="623"/>
      <c r="E44" s="623"/>
    </row>
    <row r="45" spans="1:5">
      <c r="A45" s="623"/>
      <c r="B45" s="623"/>
      <c r="C45" s="623"/>
      <c r="D45" s="623"/>
      <c r="E45" s="623"/>
    </row>
    <row r="46" spans="1:5">
      <c r="A46" s="623"/>
      <c r="B46" s="623"/>
      <c r="C46" s="623"/>
      <c r="D46" s="623"/>
      <c r="E46" s="623"/>
    </row>
    <row r="47" spans="1:5">
      <c r="A47" s="623"/>
      <c r="B47" s="623"/>
      <c r="C47" s="623"/>
      <c r="D47" s="623"/>
      <c r="E47" s="623"/>
    </row>
    <row r="48" spans="1:5">
      <c r="A48" s="623"/>
      <c r="B48" s="623"/>
      <c r="C48" s="623"/>
      <c r="D48" s="623"/>
      <c r="E48" s="623"/>
    </row>
    <row r="49" spans="1:5">
      <c r="A49" s="623"/>
      <c r="B49" s="623"/>
      <c r="C49" s="623"/>
      <c r="D49" s="623"/>
      <c r="E49" s="623"/>
    </row>
    <row r="50" spans="1:5">
      <c r="A50" s="623"/>
      <c r="B50" s="623"/>
      <c r="C50" s="623"/>
      <c r="D50" s="623"/>
      <c r="E50" s="623"/>
    </row>
    <row r="51" spans="1:5">
      <c r="A51" s="623"/>
      <c r="B51" s="623"/>
      <c r="C51" s="623"/>
      <c r="D51" s="623"/>
      <c r="E51" s="623"/>
    </row>
    <row r="52" spans="1:5">
      <c r="A52" s="623"/>
      <c r="B52" s="623"/>
      <c r="C52" s="623"/>
      <c r="D52" s="623"/>
      <c r="E52" s="623"/>
    </row>
    <row r="53" spans="1:5">
      <c r="A53" s="623"/>
      <c r="B53" s="623"/>
      <c r="C53" s="623"/>
      <c r="D53" s="623"/>
      <c r="E53" s="623"/>
    </row>
    <row r="54" spans="1:5">
      <c r="A54" s="623"/>
      <c r="B54" s="623"/>
      <c r="C54" s="623"/>
      <c r="D54" s="623"/>
      <c r="E54" s="623"/>
    </row>
    <row r="55" spans="1:5">
      <c r="A55" s="623"/>
      <c r="B55" s="623"/>
      <c r="C55" s="623"/>
      <c r="D55" s="623"/>
      <c r="E55" s="623"/>
    </row>
    <row r="56" spans="1:5">
      <c r="A56" s="623"/>
      <c r="B56" s="623"/>
      <c r="C56" s="623"/>
      <c r="D56" s="623"/>
      <c r="E56" s="623"/>
    </row>
    <row r="57" spans="1:5">
      <c r="A57" s="623"/>
      <c r="B57" s="623"/>
      <c r="C57" s="623"/>
      <c r="D57" s="623"/>
      <c r="E57" s="623"/>
    </row>
    <row r="58" spans="1:5">
      <c r="A58" s="623"/>
      <c r="B58" s="623"/>
      <c r="C58" s="623"/>
      <c r="D58" s="623"/>
      <c r="E58" s="623"/>
    </row>
    <row r="59" spans="1:5">
      <c r="A59" s="623"/>
      <c r="B59" s="623"/>
      <c r="C59" s="623"/>
      <c r="D59" s="623"/>
      <c r="E59" s="623"/>
    </row>
    <row r="60" spans="1:5">
      <c r="A60" s="623"/>
      <c r="B60" s="623"/>
      <c r="C60" s="623"/>
      <c r="D60" s="623"/>
      <c r="E60" s="623"/>
    </row>
    <row r="61" spans="1:5">
      <c r="A61" s="623"/>
      <c r="B61" s="623"/>
      <c r="C61" s="623"/>
      <c r="D61" s="623"/>
      <c r="E61" s="623"/>
    </row>
    <row r="62" spans="1:5">
      <c r="A62" s="623"/>
      <c r="B62" s="623"/>
      <c r="C62" s="623"/>
      <c r="D62" s="623"/>
      <c r="E62" s="623"/>
    </row>
    <row r="63" spans="1:5">
      <c r="A63" s="623"/>
      <c r="B63" s="623"/>
      <c r="C63" s="623"/>
      <c r="D63" s="623"/>
      <c r="E63" s="623"/>
    </row>
    <row r="64" spans="1:5">
      <c r="A64" s="623"/>
      <c r="B64" s="623"/>
      <c r="C64" s="623"/>
      <c r="D64" s="623"/>
      <c r="E64" s="623"/>
    </row>
    <row r="65" spans="1:5">
      <c r="A65" s="623"/>
      <c r="B65" s="623"/>
      <c r="C65" s="623"/>
      <c r="D65" s="623"/>
      <c r="E65" s="623"/>
    </row>
    <row r="66" spans="1:5">
      <c r="A66" s="623"/>
      <c r="B66" s="623"/>
      <c r="C66" s="623"/>
      <c r="D66" s="623"/>
      <c r="E66" s="623"/>
    </row>
    <row r="67" spans="1:5">
      <c r="A67" s="623"/>
      <c r="B67" s="623"/>
      <c r="C67" s="623"/>
      <c r="D67" s="623"/>
      <c r="E67" s="623"/>
    </row>
    <row r="68" spans="1:5">
      <c r="A68" s="623"/>
      <c r="B68" s="623"/>
      <c r="C68" s="623"/>
      <c r="D68" s="623"/>
      <c r="E68" s="623"/>
    </row>
    <row r="69" spans="1:5">
      <c r="A69" s="623"/>
      <c r="B69" s="623"/>
      <c r="C69" s="623"/>
      <c r="D69" s="623"/>
      <c r="E69" s="623"/>
    </row>
    <row r="70" spans="1:5">
      <c r="A70" s="623"/>
      <c r="B70" s="623"/>
      <c r="C70" s="623"/>
      <c r="D70" s="623"/>
      <c r="E70" s="623"/>
    </row>
    <row r="71" spans="1:5">
      <c r="A71" s="623"/>
      <c r="B71" s="623"/>
      <c r="C71" s="623"/>
      <c r="D71" s="623"/>
      <c r="E71" s="623"/>
    </row>
    <row r="72" spans="1:5">
      <c r="A72" s="623"/>
      <c r="B72" s="623"/>
      <c r="C72" s="623"/>
      <c r="D72" s="623"/>
      <c r="E72" s="623"/>
    </row>
    <row r="73" spans="1:5">
      <c r="A73" s="623"/>
      <c r="B73" s="623"/>
      <c r="C73" s="623"/>
      <c r="D73" s="623"/>
      <c r="E73" s="623"/>
    </row>
    <row r="74" spans="1:5">
      <c r="A74" s="623"/>
      <c r="B74" s="623"/>
      <c r="C74" s="623"/>
      <c r="D74" s="623"/>
      <c r="E74" s="623"/>
    </row>
    <row r="75" spans="1:5">
      <c r="A75" s="623"/>
      <c r="B75" s="623"/>
      <c r="C75" s="623"/>
      <c r="D75" s="623"/>
      <c r="E75" s="623"/>
    </row>
    <row r="76" spans="1:5">
      <c r="A76" s="623"/>
      <c r="B76" s="623"/>
      <c r="C76" s="623"/>
      <c r="D76" s="623"/>
      <c r="E76" s="623"/>
    </row>
    <row r="77" spans="1:5">
      <c r="A77" s="623"/>
      <c r="B77" s="623"/>
      <c r="C77" s="623"/>
      <c r="D77" s="623"/>
      <c r="E77" s="623"/>
    </row>
    <row r="78" spans="1:5">
      <c r="A78" s="623"/>
      <c r="B78" s="623"/>
      <c r="C78" s="623"/>
      <c r="D78" s="623"/>
      <c r="E78" s="623"/>
    </row>
    <row r="79" spans="1:5">
      <c r="A79" s="623"/>
      <c r="B79" s="623"/>
      <c r="C79" s="623"/>
      <c r="D79" s="623"/>
      <c r="E79" s="623"/>
    </row>
    <row r="80" spans="1:5">
      <c r="A80" s="623"/>
      <c r="B80" s="623"/>
      <c r="C80" s="623"/>
      <c r="D80" s="623"/>
      <c r="E80" s="623"/>
    </row>
    <row r="81" spans="1:5">
      <c r="A81" s="623"/>
      <c r="B81" s="623"/>
      <c r="C81" s="623"/>
      <c r="D81" s="623"/>
      <c r="E81" s="623"/>
    </row>
    <row r="82" spans="1:5">
      <c r="A82" s="623"/>
      <c r="B82" s="623"/>
      <c r="C82" s="623"/>
      <c r="D82" s="623"/>
      <c r="E82" s="623"/>
    </row>
    <row r="83" spans="1:5">
      <c r="A83" s="623"/>
      <c r="B83" s="623"/>
      <c r="C83" s="623"/>
      <c r="D83" s="623"/>
      <c r="E83" s="623"/>
    </row>
    <row r="84" spans="1:5">
      <c r="A84" s="623"/>
      <c r="B84" s="623"/>
      <c r="C84" s="623"/>
      <c r="D84" s="623"/>
      <c r="E84" s="623"/>
    </row>
    <row r="85" spans="1:5">
      <c r="A85" s="623"/>
      <c r="B85" s="623"/>
      <c r="C85" s="623"/>
      <c r="D85" s="623"/>
      <c r="E85" s="623"/>
    </row>
    <row r="86" spans="1:5">
      <c r="A86" s="623"/>
      <c r="B86" s="623"/>
      <c r="C86" s="623"/>
      <c r="D86" s="623"/>
      <c r="E86" s="623"/>
    </row>
    <row r="87" spans="1:5">
      <c r="A87" s="623"/>
      <c r="B87" s="623"/>
      <c r="C87" s="623"/>
      <c r="D87" s="623"/>
      <c r="E87" s="623"/>
    </row>
    <row r="88" spans="1:5">
      <c r="A88" s="623"/>
      <c r="B88" s="623"/>
      <c r="C88" s="623"/>
      <c r="D88" s="623"/>
      <c r="E88" s="623"/>
    </row>
    <row r="89" spans="1:5">
      <c r="A89" s="623"/>
      <c r="B89" s="623"/>
      <c r="C89" s="623"/>
      <c r="D89" s="623"/>
      <c r="E89" s="623"/>
    </row>
    <row r="90" spans="1:5">
      <c r="A90" s="623"/>
      <c r="B90" s="623"/>
      <c r="C90" s="623"/>
      <c r="D90" s="623"/>
      <c r="E90" s="623"/>
    </row>
    <row r="91" spans="1:5">
      <c r="A91" s="623"/>
      <c r="B91" s="623"/>
      <c r="C91" s="623"/>
      <c r="D91" s="623"/>
      <c r="E91" s="623"/>
    </row>
    <row r="92" spans="1:5">
      <c r="A92" s="623"/>
      <c r="B92" s="623"/>
      <c r="C92" s="623"/>
      <c r="D92" s="623"/>
      <c r="E92" s="623"/>
    </row>
    <row r="93" spans="1:5">
      <c r="A93" s="623"/>
      <c r="B93" s="623"/>
      <c r="C93" s="623"/>
      <c r="D93" s="623"/>
      <c r="E93" s="623"/>
    </row>
    <row r="94" spans="1:5">
      <c r="A94" s="623"/>
      <c r="B94" s="623"/>
      <c r="C94" s="623"/>
      <c r="D94" s="623"/>
      <c r="E94" s="623"/>
    </row>
    <row r="95" spans="1:5">
      <c r="A95" s="623"/>
      <c r="B95" s="623"/>
      <c r="C95" s="623"/>
      <c r="D95" s="623"/>
      <c r="E95" s="623"/>
    </row>
    <row r="96" spans="1:5">
      <c r="A96" s="623"/>
      <c r="B96" s="623"/>
      <c r="C96" s="623"/>
      <c r="D96" s="623"/>
      <c r="E96" s="623"/>
    </row>
    <row r="97" spans="1:5">
      <c r="A97" s="623"/>
      <c r="B97" s="623"/>
      <c r="C97" s="623"/>
      <c r="D97" s="623"/>
      <c r="E97" s="623"/>
    </row>
    <row r="98" spans="1:5">
      <c r="A98" s="623"/>
      <c r="B98" s="623"/>
      <c r="C98" s="623"/>
      <c r="D98" s="623"/>
      <c r="E98" s="623"/>
    </row>
    <row r="99" spans="1:5">
      <c r="A99" s="623"/>
      <c r="B99" s="623"/>
      <c r="C99" s="623"/>
      <c r="D99" s="623"/>
      <c r="E99" s="623"/>
    </row>
    <row r="100" spans="1:5">
      <c r="A100" s="623"/>
      <c r="B100" s="623"/>
      <c r="C100" s="623"/>
      <c r="D100" s="623"/>
      <c r="E100" s="623"/>
    </row>
    <row r="101" spans="1:5">
      <c r="A101" s="623"/>
      <c r="B101" s="623"/>
      <c r="C101" s="623"/>
      <c r="D101" s="623"/>
      <c r="E101" s="623"/>
    </row>
    <row r="102" spans="1:5">
      <c r="A102" s="623"/>
      <c r="B102" s="623"/>
      <c r="C102" s="623"/>
      <c r="D102" s="623"/>
      <c r="E102" s="623"/>
    </row>
    <row r="103" spans="1:5">
      <c r="A103" s="623"/>
      <c r="B103" s="623"/>
      <c r="C103" s="623"/>
      <c r="D103" s="623"/>
      <c r="E103" s="623"/>
    </row>
    <row r="104" spans="1:5">
      <c r="A104" s="623"/>
      <c r="B104" s="623"/>
      <c r="C104" s="623"/>
      <c r="D104" s="623"/>
      <c r="E104" s="623"/>
    </row>
    <row r="105" spans="1:5">
      <c r="A105" s="623"/>
      <c r="B105" s="623"/>
      <c r="C105" s="623"/>
      <c r="D105" s="623"/>
      <c r="E105" s="623"/>
    </row>
    <row r="106" spans="1:5">
      <c r="A106" s="623"/>
      <c r="B106" s="623"/>
      <c r="C106" s="623"/>
      <c r="D106" s="623"/>
      <c r="E106" s="623"/>
    </row>
    <row r="107" spans="1:5">
      <c r="A107" s="623"/>
      <c r="B107" s="623"/>
      <c r="C107" s="623"/>
      <c r="D107" s="623"/>
      <c r="E107" s="623"/>
    </row>
    <row r="108" spans="1:5">
      <c r="A108" s="623"/>
      <c r="B108" s="623"/>
      <c r="C108" s="623"/>
      <c r="D108" s="623"/>
      <c r="E108" s="623"/>
    </row>
    <row r="109" spans="1:5">
      <c r="A109" s="623"/>
      <c r="B109" s="623"/>
      <c r="C109" s="623"/>
      <c r="D109" s="623"/>
      <c r="E109" s="623"/>
    </row>
    <row r="110" spans="1:5">
      <c r="A110" s="623"/>
      <c r="B110" s="623"/>
      <c r="C110" s="623"/>
      <c r="D110" s="623"/>
      <c r="E110" s="623"/>
    </row>
    <row r="111" spans="1:5">
      <c r="A111" s="623"/>
      <c r="B111" s="623"/>
      <c r="C111" s="623"/>
      <c r="D111" s="623"/>
      <c r="E111" s="623"/>
    </row>
    <row r="112" spans="1:5">
      <c r="A112" s="623"/>
      <c r="B112" s="623"/>
      <c r="C112" s="623"/>
      <c r="D112" s="623"/>
      <c r="E112" s="623"/>
    </row>
    <row r="113" spans="1:5">
      <c r="A113" s="623"/>
      <c r="B113" s="623"/>
      <c r="C113" s="623"/>
      <c r="D113" s="623"/>
      <c r="E113" s="623"/>
    </row>
    <row r="114" spans="1:5">
      <c r="A114" s="623"/>
      <c r="B114" s="623"/>
      <c r="C114" s="623"/>
      <c r="D114" s="623"/>
      <c r="E114" s="623"/>
    </row>
    <row r="115" spans="1:5">
      <c r="A115" s="623"/>
      <c r="B115" s="623"/>
      <c r="C115" s="623"/>
      <c r="D115" s="623"/>
      <c r="E115" s="623"/>
    </row>
    <row r="116" spans="1:5">
      <c r="A116" s="623"/>
      <c r="B116" s="623"/>
      <c r="C116" s="623"/>
      <c r="D116" s="623"/>
      <c r="E116" s="623"/>
    </row>
    <row r="117" spans="1:5">
      <c r="A117" s="623"/>
      <c r="B117" s="623"/>
      <c r="C117" s="623"/>
      <c r="D117" s="623"/>
      <c r="E117" s="623"/>
    </row>
    <row r="118" spans="1:5">
      <c r="A118" s="623"/>
      <c r="B118" s="623"/>
      <c r="C118" s="623"/>
      <c r="D118" s="623"/>
      <c r="E118" s="623"/>
    </row>
    <row r="119" spans="1:5">
      <c r="A119" s="623"/>
      <c r="B119" s="623"/>
      <c r="C119" s="623"/>
      <c r="D119" s="623"/>
      <c r="E119" s="623"/>
    </row>
    <row r="120" spans="1:5">
      <c r="A120" s="623"/>
      <c r="B120" s="623"/>
      <c r="C120" s="623"/>
      <c r="D120" s="623"/>
      <c r="E120" s="623"/>
    </row>
    <row r="121" spans="1:5">
      <c r="A121" s="623"/>
      <c r="B121" s="623"/>
      <c r="C121" s="623"/>
      <c r="D121" s="623"/>
      <c r="E121" s="623"/>
    </row>
    <row r="122" spans="1:5">
      <c r="A122" s="623"/>
      <c r="B122" s="623"/>
      <c r="C122" s="623"/>
      <c r="D122" s="623"/>
      <c r="E122" s="623"/>
    </row>
    <row r="123" spans="1:5">
      <c r="A123" s="623"/>
      <c r="B123" s="623"/>
      <c r="C123" s="623"/>
      <c r="D123" s="623"/>
      <c r="E123" s="623"/>
    </row>
    <row r="124" spans="1:5">
      <c r="A124" s="623"/>
      <c r="B124" s="623"/>
      <c r="C124" s="623"/>
      <c r="D124" s="623"/>
      <c r="E124" s="623"/>
    </row>
    <row r="125" spans="1:5">
      <c r="A125" s="623"/>
      <c r="B125" s="623"/>
      <c r="C125" s="623"/>
      <c r="D125" s="623"/>
      <c r="E125" s="623"/>
    </row>
    <row r="126" spans="1:5">
      <c r="A126" s="623"/>
      <c r="B126" s="623"/>
      <c r="C126" s="623"/>
      <c r="D126" s="623"/>
      <c r="E126" s="623"/>
    </row>
    <row r="127" spans="1:5">
      <c r="A127" s="623"/>
      <c r="B127" s="623"/>
      <c r="C127" s="623"/>
      <c r="D127" s="623"/>
      <c r="E127" s="623"/>
    </row>
    <row r="128" spans="1:5">
      <c r="A128" s="623"/>
      <c r="B128" s="623"/>
      <c r="C128" s="623"/>
      <c r="D128" s="623"/>
      <c r="E128" s="623"/>
    </row>
    <row r="129" spans="1:5">
      <c r="A129" s="623"/>
      <c r="B129" s="623"/>
      <c r="C129" s="623"/>
      <c r="D129" s="623"/>
      <c r="E129" s="623"/>
    </row>
    <row r="130" spans="1:5">
      <c r="A130" s="623"/>
      <c r="B130" s="623"/>
      <c r="C130" s="623"/>
      <c r="D130" s="623"/>
      <c r="E130" s="623"/>
    </row>
    <row r="131" spans="1:5">
      <c r="A131" s="623"/>
      <c r="B131" s="623"/>
      <c r="C131" s="623"/>
      <c r="D131" s="623"/>
      <c r="E131" s="623"/>
    </row>
    <row r="132" spans="1:5">
      <c r="A132" s="623"/>
      <c r="B132" s="623"/>
      <c r="C132" s="623"/>
      <c r="D132" s="623"/>
      <c r="E132" s="623"/>
    </row>
    <row r="133" spans="1:5">
      <c r="A133" s="623"/>
      <c r="B133" s="623"/>
      <c r="C133" s="623"/>
      <c r="D133" s="623"/>
      <c r="E133" s="623"/>
    </row>
    <row r="134" spans="1:5">
      <c r="A134" s="623"/>
      <c r="B134" s="623"/>
      <c r="C134" s="623"/>
      <c r="D134" s="623"/>
      <c r="E134" s="623"/>
    </row>
    <row r="135" spans="1:5">
      <c r="A135" s="623"/>
      <c r="B135" s="623"/>
      <c r="C135" s="623"/>
      <c r="D135" s="623"/>
      <c r="E135" s="623"/>
    </row>
    <row r="136" spans="1:5">
      <c r="A136" s="623"/>
      <c r="B136" s="623"/>
      <c r="C136" s="623"/>
      <c r="D136" s="623"/>
      <c r="E136" s="623"/>
    </row>
    <row r="137" spans="1:5">
      <c r="A137" s="623"/>
      <c r="B137" s="623"/>
      <c r="C137" s="623"/>
      <c r="D137" s="623"/>
      <c r="E137" s="623"/>
    </row>
    <row r="138" spans="1:5">
      <c r="A138" s="623"/>
      <c r="B138" s="623"/>
      <c r="C138" s="623"/>
      <c r="D138" s="623"/>
      <c r="E138" s="623"/>
    </row>
    <row r="139" spans="1:5">
      <c r="A139" s="623"/>
      <c r="B139" s="623"/>
      <c r="C139" s="623"/>
      <c r="D139" s="623"/>
      <c r="E139" s="623"/>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518"/>
  <sheetViews>
    <sheetView tabSelected="1" topLeftCell="M1" zoomScaleNormal="100" workbookViewId="0">
      <selection activeCell="O2" sqref="O2"/>
    </sheetView>
  </sheetViews>
  <sheetFormatPr defaultColWidth="9" defaultRowHeight="14.1" customHeight="1"/>
  <cols>
    <col min="1" max="1" width="2.3984375" style="100" customWidth="1"/>
    <col min="2" max="2" width="2.3984375" style="19" customWidth="1"/>
    <col min="3" max="13" width="10.59765625" style="19" customWidth="1"/>
    <col min="14" max="14" width="2.3984375" style="19" customWidth="1"/>
    <col min="15" max="25" width="12.59765625" style="19" customWidth="1"/>
    <col min="26" max="33" width="10.59765625" style="19" customWidth="1"/>
    <col min="34" max="16384" width="9" style="4"/>
  </cols>
  <sheetData>
    <row r="1" spans="1:30" ht="14.1" customHeight="1" thickTop="1">
      <c r="A1" s="15">
        <v>1</v>
      </c>
      <c r="B1" s="16"/>
      <c r="C1" s="17"/>
      <c r="D1" s="17"/>
      <c r="E1" s="17"/>
      <c r="F1" s="17"/>
      <c r="G1" s="17"/>
      <c r="H1" s="17"/>
      <c r="I1" s="17"/>
      <c r="J1" s="17"/>
      <c r="K1" s="17"/>
      <c r="L1" s="17"/>
      <c r="M1" s="18"/>
      <c r="O1" s="20" t="s">
        <v>793</v>
      </c>
      <c r="P1" s="21"/>
      <c r="Q1" s="21"/>
      <c r="R1" s="21"/>
      <c r="S1" s="21"/>
      <c r="T1" s="21"/>
      <c r="U1" s="21"/>
      <c r="V1" s="21"/>
      <c r="W1" s="21"/>
      <c r="X1" s="21"/>
      <c r="Y1" s="22"/>
      <c r="AA1" s="23" t="s">
        <v>0</v>
      </c>
    </row>
    <row r="2" spans="1:30" ht="14.1" customHeight="1">
      <c r="A2" s="15">
        <v>2</v>
      </c>
      <c r="B2" s="24"/>
      <c r="C2" s="25"/>
      <c r="D2" s="25"/>
      <c r="E2" s="25"/>
      <c r="F2" s="25"/>
      <c r="G2" s="25"/>
      <c r="H2" s="26" t="s">
        <v>1</v>
      </c>
      <c r="I2" s="25"/>
      <c r="J2" s="25"/>
      <c r="K2" s="25"/>
      <c r="L2" s="25"/>
      <c r="M2" s="27"/>
      <c r="O2" s="28"/>
      <c r="T2" s="29" t="s">
        <v>1</v>
      </c>
      <c r="Y2" s="30"/>
      <c r="AA2" s="31" t="s">
        <v>770</v>
      </c>
    </row>
    <row r="3" spans="1:30" ht="14.1" customHeight="1">
      <c r="A3" s="15">
        <v>3</v>
      </c>
      <c r="B3" s="24"/>
      <c r="C3" s="25"/>
      <c r="D3" s="25"/>
      <c r="E3" s="25"/>
      <c r="F3" s="25"/>
      <c r="G3" s="25"/>
      <c r="H3" s="26" t="s">
        <v>2</v>
      </c>
      <c r="I3" s="25"/>
      <c r="J3" s="25"/>
      <c r="K3" s="25"/>
      <c r="L3" s="25"/>
      <c r="M3" s="27"/>
      <c r="O3" s="28"/>
      <c r="T3" s="29" t="s">
        <v>2</v>
      </c>
      <c r="Y3" s="30"/>
      <c r="AA3" s="32" t="str">
        <f>IF(AB7="","",AB7)</f>
        <v>Page1,Page2,CollimArtifact,AECSNR,kVRepro,ExpLinHVL,Compg1</v>
      </c>
    </row>
    <row r="4" spans="1:30" ht="14.1" customHeight="1">
      <c r="A4" s="15">
        <v>4</v>
      </c>
      <c r="B4" s="24"/>
      <c r="C4" s="25"/>
      <c r="D4" s="25"/>
      <c r="E4" s="25"/>
      <c r="F4" s="25"/>
      <c r="G4" s="25"/>
      <c r="H4" s="25"/>
      <c r="I4" s="25"/>
      <c r="J4" s="25"/>
      <c r="K4" s="25"/>
      <c r="L4" s="25"/>
      <c r="M4" s="27"/>
      <c r="O4" s="28"/>
      <c r="T4" s="100"/>
      <c r="Y4" s="30"/>
      <c r="AA4" s="33" t="s">
        <v>3</v>
      </c>
      <c r="AB4" s="34" t="s">
        <v>770</v>
      </c>
    </row>
    <row r="5" spans="1:30" ht="14.1" customHeight="1">
      <c r="A5" s="15">
        <v>5</v>
      </c>
      <c r="B5" s="24"/>
      <c r="C5" s="25"/>
      <c r="D5" s="25"/>
      <c r="E5" s="25"/>
      <c r="F5" s="25"/>
      <c r="G5" s="25"/>
      <c r="H5" s="26" t="s">
        <v>4</v>
      </c>
      <c r="I5" s="25"/>
      <c r="J5" s="25"/>
      <c r="K5" s="25"/>
      <c r="L5" s="25"/>
      <c r="M5" s="27"/>
      <c r="O5" s="28"/>
      <c r="T5" s="29" t="s">
        <v>4</v>
      </c>
      <c r="Y5" s="30"/>
    </row>
    <row r="6" spans="1:30" ht="14.1" customHeight="1" thickBot="1">
      <c r="A6" s="15">
        <v>6</v>
      </c>
      <c r="B6" s="35"/>
      <c r="C6" s="36"/>
      <c r="D6" s="36"/>
      <c r="E6" s="36"/>
      <c r="F6" s="36"/>
      <c r="G6" s="36"/>
      <c r="H6" s="36"/>
      <c r="I6" s="36"/>
      <c r="J6" s="36"/>
      <c r="K6" s="36"/>
      <c r="L6" s="36"/>
      <c r="M6" s="37"/>
      <c r="O6" s="38"/>
      <c r="P6" s="39"/>
      <c r="Q6" s="39"/>
      <c r="R6" s="39"/>
      <c r="S6" s="39"/>
      <c r="T6" s="39"/>
      <c r="U6" s="39"/>
      <c r="V6" s="39"/>
      <c r="W6" s="39"/>
      <c r="X6" s="39"/>
      <c r="Y6" s="40"/>
      <c r="AA6" s="41" t="s">
        <v>5</v>
      </c>
      <c r="AB6" s="19" t="s">
        <v>6</v>
      </c>
      <c r="AD6" s="19" t="s">
        <v>7</v>
      </c>
    </row>
    <row r="7" spans="1:30" ht="14.1" customHeight="1" thickTop="1">
      <c r="A7" s="15">
        <v>7</v>
      </c>
      <c r="O7" s="19" t="s">
        <v>8</v>
      </c>
      <c r="P7" s="42"/>
      <c r="Q7" s="43"/>
      <c r="W7" s="19" t="s">
        <v>9</v>
      </c>
      <c r="X7" s="44" t="str">
        <f>IF(Y7&lt;&gt;"",Y7,IF(AB9="","",AB9))</f>
        <v>Eugene Mah</v>
      </c>
      <c r="Y7" s="45" t="s">
        <v>10</v>
      </c>
      <c r="AA7" s="33" t="s">
        <v>0</v>
      </c>
      <c r="AB7" s="46" t="s">
        <v>770</v>
      </c>
      <c r="AC7" s="47" t="str">
        <f t="shared" ref="AC7:AC19" si="0">IF(AB7&lt;&gt;AD7,"Change","")</f>
        <v/>
      </c>
      <c r="AD7" s="48" t="str">
        <f>IF(OR(AA2="",AA2=0),"",AA2)</f>
        <v>Page1,Page2,CollimArtifact,AECSNR,kVRepro,ExpLinHVL,Compg1</v>
      </c>
    </row>
    <row r="8" spans="1:30" ht="14.1" customHeight="1" thickBot="1">
      <c r="A8" s="15">
        <v>8</v>
      </c>
      <c r="G8" s="49"/>
      <c r="H8" s="49" t="s">
        <v>11</v>
      </c>
      <c r="O8" s="19" t="s">
        <v>12</v>
      </c>
      <c r="P8" s="50" t="str">
        <f>IF(AB8="","",AB8)</f>
        <v/>
      </c>
      <c r="Q8" s="51"/>
      <c r="T8" s="229" t="s">
        <v>11</v>
      </c>
      <c r="W8" s="39"/>
      <c r="X8" s="39"/>
      <c r="Y8" s="52"/>
      <c r="AA8" s="33" t="s">
        <v>13</v>
      </c>
      <c r="AB8" s="53"/>
      <c r="AC8" s="47" t="str">
        <f t="shared" si="0"/>
        <v/>
      </c>
      <c r="AD8" s="54" t="str">
        <f>IF(P7="","",P7)</f>
        <v/>
      </c>
    </row>
    <row r="9" spans="1:30" ht="14.1" customHeight="1" thickTop="1">
      <c r="A9" s="15">
        <v>9</v>
      </c>
      <c r="B9" s="55"/>
      <c r="C9" s="56"/>
      <c r="D9" s="57" t="s">
        <v>14</v>
      </c>
      <c r="E9" s="56"/>
      <c r="F9" s="56"/>
      <c r="G9" s="56"/>
      <c r="H9" s="56"/>
      <c r="I9" s="56"/>
      <c r="J9" s="56"/>
      <c r="K9" s="56"/>
      <c r="L9" s="56"/>
      <c r="M9" s="58"/>
      <c r="O9" s="59"/>
      <c r="P9" s="60" t="s">
        <v>14</v>
      </c>
      <c r="Q9" s="21"/>
      <c r="R9" s="21"/>
      <c r="S9" s="61" t="s">
        <v>15</v>
      </c>
      <c r="T9" s="21"/>
      <c r="U9" s="21"/>
      <c r="V9" s="21"/>
      <c r="W9" s="61" t="s">
        <v>15</v>
      </c>
      <c r="X9" s="21"/>
      <c r="Y9" s="22"/>
      <c r="AA9" s="33" t="s">
        <v>16</v>
      </c>
      <c r="AB9" s="62" t="s">
        <v>10</v>
      </c>
      <c r="AC9" s="47" t="str">
        <f t="shared" si="0"/>
        <v/>
      </c>
      <c r="AD9" s="63" t="str">
        <f>IF(X7="","",X7)</f>
        <v>Eugene Mah</v>
      </c>
    </row>
    <row r="10" spans="1:30" ht="14.1" customHeight="1">
      <c r="A10" s="15">
        <v>10</v>
      </c>
      <c r="B10" s="64"/>
      <c r="E10" s="33" t="s">
        <v>22</v>
      </c>
      <c r="F10" s="768" t="str">
        <f>IF(R10="","",R10)</f>
        <v/>
      </c>
      <c r="G10" s="768"/>
      <c r="J10" s="33" t="s">
        <v>23</v>
      </c>
      <c r="K10" s="762" t="str">
        <f>IF(V10="","",V10)</f>
        <v/>
      </c>
      <c r="L10" s="762"/>
      <c r="M10" s="65"/>
      <c r="O10" s="28"/>
      <c r="Q10" s="33" t="s">
        <v>22</v>
      </c>
      <c r="R10" s="44" t="str">
        <f>IF(S10&lt;&gt;"",S10,IF(AB10="","",AB10))</f>
        <v/>
      </c>
      <c r="S10" s="45"/>
      <c r="U10" s="33" t="s">
        <v>23</v>
      </c>
      <c r="V10" s="44" t="str">
        <f>IF(W10&lt;&gt;"",W10,IF(AB15="","",AB15))</f>
        <v/>
      </c>
      <c r="W10" s="45"/>
      <c r="Y10" s="30"/>
      <c r="AA10" s="33" t="s">
        <v>22</v>
      </c>
      <c r="AB10" s="62"/>
      <c r="AC10" s="47" t="str">
        <f t="shared" si="0"/>
        <v/>
      </c>
      <c r="AD10" s="63" t="str">
        <f>IF(R10="","",R10)</f>
        <v/>
      </c>
    </row>
    <row r="11" spans="1:30" ht="14.1" customHeight="1">
      <c r="A11" s="15">
        <v>11</v>
      </c>
      <c r="B11" s="64"/>
      <c r="E11" s="33" t="s">
        <v>25</v>
      </c>
      <c r="F11" s="769" t="str">
        <f>IF(R11="","",R11)</f>
        <v/>
      </c>
      <c r="G11" s="769"/>
      <c r="J11" s="33" t="s">
        <v>26</v>
      </c>
      <c r="K11" s="762" t="str">
        <f>IF(V11="","",V11)</f>
        <v/>
      </c>
      <c r="L11" s="762"/>
      <c r="M11" s="65"/>
      <c r="O11" s="28"/>
      <c r="Q11" s="33" t="s">
        <v>25</v>
      </c>
      <c r="R11" s="44" t="str">
        <f>IF(S11&lt;&gt;"",S11,IF(AB11="","",AB11))</f>
        <v/>
      </c>
      <c r="S11" s="45"/>
      <c r="U11" s="33" t="s">
        <v>26</v>
      </c>
      <c r="V11" s="44" t="str">
        <f>IF(W11&lt;&gt;"",W11,IF(AB16="","",AB16))</f>
        <v/>
      </c>
      <c r="W11" s="45"/>
      <c r="Y11" s="30"/>
      <c r="AA11" s="33" t="s">
        <v>25</v>
      </c>
      <c r="AB11" s="62"/>
      <c r="AC11" s="47" t="str">
        <f t="shared" si="0"/>
        <v/>
      </c>
      <c r="AD11" s="63" t="str">
        <f>IF(R11="","",R11)</f>
        <v/>
      </c>
    </row>
    <row r="12" spans="1:30" ht="14.1" customHeight="1">
      <c r="A12" s="15">
        <v>12</v>
      </c>
      <c r="B12" s="64"/>
      <c r="E12" s="33" t="s">
        <v>27</v>
      </c>
      <c r="F12" s="769" t="str">
        <f>IF(R12="","",R12)</f>
        <v/>
      </c>
      <c r="G12" s="769"/>
      <c r="J12" s="33" t="s">
        <v>28</v>
      </c>
      <c r="K12" s="767" t="str">
        <f>IF(V12="","",V12)</f>
        <v/>
      </c>
      <c r="L12" s="767"/>
      <c r="M12" s="65"/>
      <c r="O12" s="28"/>
      <c r="Q12" s="33" t="s">
        <v>27</v>
      </c>
      <c r="R12" s="44" t="str">
        <f>IF(S12&lt;&gt;"",S12,IF(AB12="","",AB12))</f>
        <v/>
      </c>
      <c r="S12" s="45"/>
      <c r="U12" s="33" t="s">
        <v>28</v>
      </c>
      <c r="V12" s="67" t="str">
        <f>IF(W12&lt;&gt;"",W12,IF(AB17="","",AB17))</f>
        <v/>
      </c>
      <c r="W12" s="68"/>
      <c r="Y12" s="30"/>
      <c r="AA12" s="33" t="s">
        <v>27</v>
      </c>
      <c r="AB12" s="62"/>
      <c r="AC12" s="47" t="str">
        <f t="shared" si="0"/>
        <v/>
      </c>
      <c r="AD12" s="63" t="str">
        <f>IF(R12="","",R12)</f>
        <v/>
      </c>
    </row>
    <row r="13" spans="1:30" ht="14.1" customHeight="1">
      <c r="A13" s="15">
        <v>13</v>
      </c>
      <c r="B13" s="64"/>
      <c r="E13" s="33" t="s">
        <v>29</v>
      </c>
      <c r="F13" s="769" t="str">
        <f>IF(R13="","",R13)</f>
        <v/>
      </c>
      <c r="G13" s="769"/>
      <c r="J13" s="33" t="s">
        <v>30</v>
      </c>
      <c r="K13" s="762" t="str">
        <f>IF(V13="","",V13)</f>
        <v/>
      </c>
      <c r="L13" s="762"/>
      <c r="M13" s="65"/>
      <c r="O13" s="28"/>
      <c r="Q13" s="33" t="s">
        <v>29</v>
      </c>
      <c r="R13" s="44" t="str">
        <f>IF(S13&lt;&gt;"",S13,IF(AB13="","",AB13))</f>
        <v/>
      </c>
      <c r="S13" s="45"/>
      <c r="U13" s="33" t="s">
        <v>30</v>
      </c>
      <c r="V13" s="44" t="str">
        <f>IF(W13&lt;&gt;"",W13,IF(AB18="","",AB18))</f>
        <v/>
      </c>
      <c r="W13" s="45"/>
      <c r="Y13" s="30"/>
      <c r="AA13" s="33" t="s">
        <v>29</v>
      </c>
      <c r="AB13" s="62"/>
      <c r="AC13" s="47" t="str">
        <f t="shared" si="0"/>
        <v/>
      </c>
      <c r="AD13" s="63" t="str">
        <f>IF(R13="","",R13)</f>
        <v/>
      </c>
    </row>
    <row r="14" spans="1:30" ht="14.1" customHeight="1">
      <c r="A14" s="15">
        <v>14</v>
      </c>
      <c r="B14" s="64"/>
      <c r="M14" s="65"/>
      <c r="O14" s="28"/>
      <c r="Q14" s="33" t="s">
        <v>31</v>
      </c>
      <c r="R14" s="44" t="str">
        <f>IF(S14&lt;&gt;"",S14,IF(AB14="","",AB14))</f>
        <v/>
      </c>
      <c r="S14" s="45"/>
      <c r="U14" s="33" t="s">
        <v>32</v>
      </c>
      <c r="V14" s="44" t="str">
        <f>IF(W14&lt;&gt;"",W14,IF(AB19="","",AB19))</f>
        <v/>
      </c>
      <c r="W14" s="45"/>
      <c r="Y14" s="30"/>
      <c r="AA14" s="33" t="s">
        <v>31</v>
      </c>
      <c r="AB14" s="69"/>
      <c r="AC14" s="47" t="str">
        <f t="shared" si="0"/>
        <v/>
      </c>
      <c r="AD14" s="63" t="str">
        <f>IF(R14="","",R14)</f>
        <v/>
      </c>
    </row>
    <row r="15" spans="1:30" ht="14.1" customHeight="1">
      <c r="A15" s="15">
        <v>15</v>
      </c>
      <c r="B15" s="64"/>
      <c r="D15" s="70" t="s">
        <v>33</v>
      </c>
      <c r="M15" s="65"/>
      <c r="O15" s="28"/>
      <c r="Y15" s="30"/>
      <c r="AA15" s="33" t="s">
        <v>23</v>
      </c>
      <c r="AB15" s="62"/>
      <c r="AC15" s="47" t="str">
        <f t="shared" si="0"/>
        <v/>
      </c>
      <c r="AD15" s="63" t="str">
        <f>IF(V10="","",V10)</f>
        <v/>
      </c>
    </row>
    <row r="16" spans="1:30" ht="14.1" customHeight="1">
      <c r="A16" s="15">
        <v>16</v>
      </c>
      <c r="B16" s="64"/>
      <c r="E16" s="33" t="s">
        <v>34</v>
      </c>
      <c r="F16" s="762" t="str">
        <f>IF(R17="","",R17)</f>
        <v/>
      </c>
      <c r="G16" s="762"/>
      <c r="J16" s="33" t="s">
        <v>35</v>
      </c>
      <c r="K16" s="767" t="str">
        <f>IF(V17="","",V17)</f>
        <v/>
      </c>
      <c r="L16" s="767"/>
      <c r="M16" s="65"/>
      <c r="O16" s="28"/>
      <c r="P16" s="70" t="s">
        <v>33</v>
      </c>
      <c r="Y16" s="30"/>
      <c r="AA16" s="33" t="s">
        <v>26</v>
      </c>
      <c r="AB16" s="62"/>
      <c r="AC16" s="47" t="str">
        <f t="shared" si="0"/>
        <v/>
      </c>
      <c r="AD16" s="63" t="str">
        <f>IF(V11="","",V11)</f>
        <v/>
      </c>
    </row>
    <row r="17" spans="1:30" ht="14.1" customHeight="1">
      <c r="A17" s="15">
        <v>17</v>
      </c>
      <c r="B17" s="64"/>
      <c r="E17" s="33" t="s">
        <v>36</v>
      </c>
      <c r="F17" s="762" t="str">
        <f>IF(R18="","",R18)</f>
        <v/>
      </c>
      <c r="G17" s="762"/>
      <c r="J17" s="33" t="s">
        <v>37</v>
      </c>
      <c r="K17" s="762" t="str">
        <f>IF(V18="","",V18)</f>
        <v/>
      </c>
      <c r="L17" s="762"/>
      <c r="M17" s="65"/>
      <c r="O17" s="28"/>
      <c r="Q17" s="33" t="s">
        <v>34</v>
      </c>
      <c r="R17" s="44" t="str">
        <f>IF(S17&lt;&gt;"",S17,IF(AB21="","",AB21))</f>
        <v/>
      </c>
      <c r="S17" s="45"/>
      <c r="U17" s="33" t="s">
        <v>35</v>
      </c>
      <c r="V17" s="67" t="str">
        <f>IF(W17&lt;&gt;"",W17,IF(AB24="","",AB24))</f>
        <v/>
      </c>
      <c r="W17" s="71"/>
      <c r="Y17" s="30"/>
      <c r="AA17" s="33" t="s">
        <v>28</v>
      </c>
      <c r="AB17" s="72"/>
      <c r="AC17" s="47" t="str">
        <f t="shared" si="0"/>
        <v/>
      </c>
      <c r="AD17" s="73" t="str">
        <f>IF(V12="","",V12)</f>
        <v/>
      </c>
    </row>
    <row r="18" spans="1:30" ht="14.1" customHeight="1">
      <c r="A18" s="15">
        <v>18</v>
      </c>
      <c r="B18" s="64"/>
      <c r="E18" s="33" t="s">
        <v>38</v>
      </c>
      <c r="F18" s="762" t="str">
        <f>IF(R19="","",R19)</f>
        <v/>
      </c>
      <c r="G18" s="762"/>
      <c r="J18" s="33" t="s">
        <v>39</v>
      </c>
      <c r="K18" s="762" t="str">
        <f>IF(V19="","",V19)</f>
        <v/>
      </c>
      <c r="L18" s="762"/>
      <c r="M18" s="65"/>
      <c r="O18" s="28"/>
      <c r="Q18" s="33" t="s">
        <v>36</v>
      </c>
      <c r="R18" s="44" t="str">
        <f>IF(S18&lt;&gt;"",S18,IF(AB22="","",AB22))</f>
        <v/>
      </c>
      <c r="S18" s="45"/>
      <c r="U18" s="33" t="s">
        <v>37</v>
      </c>
      <c r="V18" s="44" t="str">
        <f>IF(W18&lt;&gt;"",W18,IF(AB25="","",AB25))</f>
        <v/>
      </c>
      <c r="W18" s="45"/>
      <c r="Y18" s="30"/>
      <c r="AA18" s="33" t="s">
        <v>30</v>
      </c>
      <c r="AB18" s="62"/>
      <c r="AC18" s="47" t="str">
        <f t="shared" si="0"/>
        <v/>
      </c>
      <c r="AD18" s="63" t="str">
        <f>IF(V13="","",V13)</f>
        <v/>
      </c>
    </row>
    <row r="19" spans="1:30" ht="14.1" customHeight="1">
      <c r="A19" s="15">
        <v>19</v>
      </c>
      <c r="B19" s="64"/>
      <c r="M19" s="65"/>
      <c r="O19" s="28"/>
      <c r="Q19" s="33" t="s">
        <v>38</v>
      </c>
      <c r="R19" s="44" t="str">
        <f>IF(S19&lt;&gt;"",S19,IF(AB23="","",AB23))</f>
        <v/>
      </c>
      <c r="S19" s="45"/>
      <c r="U19" s="33" t="s">
        <v>39</v>
      </c>
      <c r="V19" s="44" t="str">
        <f>IF(W19&lt;&gt;"",W19,IF(AB26="","",AB26))</f>
        <v/>
      </c>
      <c r="W19" s="45"/>
      <c r="Y19" s="30"/>
      <c r="AA19" s="33" t="s">
        <v>40</v>
      </c>
      <c r="AB19" s="62"/>
      <c r="AC19" s="47" t="str">
        <f t="shared" si="0"/>
        <v/>
      </c>
      <c r="AD19" s="63" t="str">
        <f>IF(V14="","",V14)</f>
        <v/>
      </c>
    </row>
    <row r="20" spans="1:30" ht="14.1" customHeight="1">
      <c r="A20" s="15">
        <v>20</v>
      </c>
      <c r="B20" s="64"/>
      <c r="D20" s="70" t="s">
        <v>41</v>
      </c>
      <c r="J20" s="74"/>
      <c r="M20" s="65"/>
      <c r="O20" s="28"/>
      <c r="Y20" s="30"/>
      <c r="AA20" s="41" t="s">
        <v>33</v>
      </c>
    </row>
    <row r="21" spans="1:30" ht="14.1" customHeight="1">
      <c r="A21" s="15">
        <v>21</v>
      </c>
      <c r="B21" s="64"/>
      <c r="E21" s="33" t="s">
        <v>42</v>
      </c>
      <c r="F21" s="762" t="str">
        <f>IF(R22="","",R22)</f>
        <v/>
      </c>
      <c r="G21" s="762"/>
      <c r="J21" s="33" t="s">
        <v>43</v>
      </c>
      <c r="K21" s="762" t="str">
        <f>IF(V21="","",V21)</f>
        <v/>
      </c>
      <c r="L21" s="762"/>
      <c r="M21" s="65"/>
      <c r="O21" s="28"/>
      <c r="P21" s="70" t="s">
        <v>41</v>
      </c>
      <c r="U21" s="70" t="s">
        <v>43</v>
      </c>
      <c r="V21" s="44" t="str">
        <f>IF(W21&lt;&gt;"",W21,IF(AB38="","",AB38))</f>
        <v/>
      </c>
      <c r="W21" s="45"/>
      <c r="Y21" s="30"/>
      <c r="AA21" s="33" t="s">
        <v>34</v>
      </c>
      <c r="AB21" s="62"/>
      <c r="AC21" s="47" t="str">
        <f t="shared" ref="AC21:AC26" si="1">IF(AB21&lt;&gt;AD21,"Change","")</f>
        <v/>
      </c>
      <c r="AD21" s="63" t="str">
        <f>IF(R17="","",R17)</f>
        <v/>
      </c>
    </row>
    <row r="22" spans="1:30" ht="14.1" customHeight="1">
      <c r="A22" s="15">
        <v>22</v>
      </c>
      <c r="B22" s="64"/>
      <c r="E22" s="33" t="s">
        <v>35</v>
      </c>
      <c r="F22" s="767" t="str">
        <f>IF(R23="","",R23)</f>
        <v/>
      </c>
      <c r="G22" s="767"/>
      <c r="J22" s="33"/>
      <c r="K22" s="762" t="str">
        <f>IF(V22="","",V22)</f>
        <v/>
      </c>
      <c r="L22" s="762"/>
      <c r="M22" s="65"/>
      <c r="O22" s="28"/>
      <c r="Q22" s="33" t="s">
        <v>42</v>
      </c>
      <c r="R22" s="44" t="str">
        <f>IF(S22&lt;&gt;"",S22,IF(AB28="","",AB28))</f>
        <v/>
      </c>
      <c r="S22" s="45"/>
      <c r="V22" s="44" t="str">
        <f>IF(W22&lt;&gt;"",W22,IF(AB39="","",AB39))</f>
        <v/>
      </c>
      <c r="W22" s="45"/>
      <c r="Y22" s="30"/>
      <c r="AA22" s="33" t="s">
        <v>36</v>
      </c>
      <c r="AB22" s="62"/>
      <c r="AC22" s="47" t="str">
        <f t="shared" si="1"/>
        <v/>
      </c>
      <c r="AD22" s="63" t="str">
        <f>IF(R18="","",R18)</f>
        <v/>
      </c>
    </row>
    <row r="23" spans="1:30" ht="14.1" customHeight="1">
      <c r="A23" s="15">
        <v>23</v>
      </c>
      <c r="B23" s="64"/>
      <c r="D23" s="70" t="s">
        <v>44</v>
      </c>
      <c r="J23" s="33" t="s">
        <v>45</v>
      </c>
      <c r="K23" s="762" t="str">
        <f>IF(V24="","",V24)</f>
        <v/>
      </c>
      <c r="L23" s="762"/>
      <c r="M23" s="65"/>
      <c r="O23" s="28"/>
      <c r="Q23" s="33" t="s">
        <v>35</v>
      </c>
      <c r="R23" s="67" t="str">
        <f>IF(S23&lt;&gt;"",S23,IF(AB29="","",AB29))</f>
        <v/>
      </c>
      <c r="S23" s="71"/>
      <c r="V23" s="4"/>
      <c r="W23" s="4"/>
      <c r="Y23" s="30"/>
      <c r="AA23" s="33" t="s">
        <v>38</v>
      </c>
      <c r="AB23" s="62"/>
      <c r="AC23" s="47" t="str">
        <f t="shared" si="1"/>
        <v/>
      </c>
      <c r="AD23" s="63" t="str">
        <f>IF(R19="","",R19)</f>
        <v/>
      </c>
    </row>
    <row r="24" spans="1:30" ht="14.1" customHeight="1">
      <c r="A24" s="15">
        <v>24</v>
      </c>
      <c r="B24" s="64"/>
      <c r="E24" s="33" t="s">
        <v>34</v>
      </c>
      <c r="F24" s="762" t="str">
        <f>IF(R25="","",R25)</f>
        <v/>
      </c>
      <c r="G24" s="762"/>
      <c r="K24" s="762" t="str">
        <f>IF(V25="","",V25)</f>
        <v/>
      </c>
      <c r="L24" s="762"/>
      <c r="M24" s="65"/>
      <c r="O24" s="28"/>
      <c r="P24" s="70" t="s">
        <v>44</v>
      </c>
      <c r="U24" s="70" t="s">
        <v>45</v>
      </c>
      <c r="V24" s="44" t="str">
        <f>IF(W24&lt;&gt;"",W24,IF(AB40="","",AB40))</f>
        <v/>
      </c>
      <c r="W24" s="45"/>
      <c r="Y24" s="30"/>
      <c r="AA24" s="33" t="s">
        <v>35</v>
      </c>
      <c r="AB24" s="72"/>
      <c r="AC24" s="47" t="str">
        <f t="shared" si="1"/>
        <v/>
      </c>
      <c r="AD24" s="73" t="str">
        <f>IF(V17="","",V17)</f>
        <v/>
      </c>
    </row>
    <row r="25" spans="1:30" ht="14.1" customHeight="1">
      <c r="A25" s="15">
        <v>25</v>
      </c>
      <c r="B25" s="64"/>
      <c r="E25" s="33" t="s">
        <v>36</v>
      </c>
      <c r="F25" s="762" t="str">
        <f>IF(R26="","",R26)</f>
        <v/>
      </c>
      <c r="G25" s="762"/>
      <c r="J25" s="4"/>
      <c r="K25" s="762" t="str">
        <f>IF(V26="","",V26)</f>
        <v/>
      </c>
      <c r="L25" s="762"/>
      <c r="M25" s="65"/>
      <c r="O25" s="28"/>
      <c r="Q25" s="33" t="s">
        <v>34</v>
      </c>
      <c r="R25" s="44" t="str">
        <f>IF(S25&lt;&gt;"",S25,IF(AB30="","",AB30))</f>
        <v/>
      </c>
      <c r="S25" s="45"/>
      <c r="V25" s="44" t="str">
        <f>IF(W25&lt;&gt;"",W25,IF(AB41="","",AB41))</f>
        <v/>
      </c>
      <c r="W25" s="45"/>
      <c r="Y25" s="30"/>
      <c r="AA25" s="33" t="s">
        <v>37</v>
      </c>
      <c r="AB25" s="62"/>
      <c r="AC25" s="47" t="str">
        <f t="shared" si="1"/>
        <v/>
      </c>
      <c r="AD25" s="63" t="str">
        <f>IF(V18="","",V18)</f>
        <v/>
      </c>
    </row>
    <row r="26" spans="1:30" ht="14.1" customHeight="1">
      <c r="A26" s="15">
        <v>26</v>
      </c>
      <c r="B26" s="64"/>
      <c r="E26" s="33" t="s">
        <v>37</v>
      </c>
      <c r="F26" s="762" t="str">
        <f>IF(R27="","",R27)</f>
        <v/>
      </c>
      <c r="G26" s="762"/>
      <c r="I26" s="70" t="s">
        <v>47</v>
      </c>
      <c r="J26" s="4"/>
      <c r="K26" s="4"/>
      <c r="L26" s="4"/>
      <c r="M26" s="65"/>
      <c r="O26" s="28"/>
      <c r="Q26" s="33" t="s">
        <v>36</v>
      </c>
      <c r="R26" s="44" t="str">
        <f>IF(S26&lt;&gt;"",S26,IF(AB31="","",AB31))</f>
        <v/>
      </c>
      <c r="S26" s="45"/>
      <c r="V26" s="4"/>
      <c r="W26" s="4"/>
      <c r="Y26" s="30"/>
      <c r="AA26" s="33" t="s">
        <v>39</v>
      </c>
      <c r="AB26" s="62"/>
      <c r="AC26" s="47" t="str">
        <f t="shared" si="1"/>
        <v/>
      </c>
      <c r="AD26" s="63" t="str">
        <f>IF(V19="","",V19)</f>
        <v/>
      </c>
    </row>
    <row r="27" spans="1:30" ht="14.1" customHeight="1">
      <c r="A27" s="15">
        <v>27</v>
      </c>
      <c r="B27" s="64"/>
      <c r="D27" s="70" t="s">
        <v>48</v>
      </c>
      <c r="J27" s="33" t="s">
        <v>49</v>
      </c>
      <c r="K27" s="762" t="str">
        <f>IF(V28="","",V28)</f>
        <v/>
      </c>
      <c r="L27" s="762"/>
      <c r="M27" s="65"/>
      <c r="O27" s="28"/>
      <c r="Q27" s="33" t="s">
        <v>37</v>
      </c>
      <c r="R27" s="44" t="str">
        <f>IF(S27&lt;&gt;"",S27,IF(AB32="","",AB32))</f>
        <v/>
      </c>
      <c r="S27" s="45"/>
      <c r="U27" s="74" t="s">
        <v>47</v>
      </c>
      <c r="Y27" s="30"/>
      <c r="AA27" s="70" t="s">
        <v>41</v>
      </c>
    </row>
    <row r="28" spans="1:30" ht="14.1" customHeight="1">
      <c r="A28" s="15">
        <v>28</v>
      </c>
      <c r="B28" s="64"/>
      <c r="E28" s="33" t="s">
        <v>34</v>
      </c>
      <c r="F28" s="762" t="str">
        <f>IF(R29="","",R29)</f>
        <v/>
      </c>
      <c r="G28" s="762"/>
      <c r="I28" s="4"/>
      <c r="J28" s="33" t="s">
        <v>50</v>
      </c>
      <c r="K28" s="762" t="str">
        <f>IF(V29="","",V29)</f>
        <v/>
      </c>
      <c r="L28" s="762"/>
      <c r="M28" s="65"/>
      <c r="O28" s="28"/>
      <c r="P28" s="70" t="s">
        <v>48</v>
      </c>
      <c r="U28" s="33" t="s">
        <v>49</v>
      </c>
      <c r="V28" s="44" t="str">
        <f>IF(W28&lt;&gt;"",W28,IF(AB36="","",AB36))</f>
        <v/>
      </c>
      <c r="W28" s="45"/>
      <c r="Y28" s="30"/>
      <c r="AA28" s="33" t="s">
        <v>42</v>
      </c>
      <c r="AB28" s="62"/>
      <c r="AC28" s="47" t="str">
        <f t="shared" ref="AC28:AC43" si="2">IF(AB28&lt;&gt;AD28,"Change","")</f>
        <v/>
      </c>
      <c r="AD28" s="63" t="str">
        <f>IF(R22="","",R22)</f>
        <v/>
      </c>
    </row>
    <row r="29" spans="1:30" ht="14.1" customHeight="1">
      <c r="A29" s="15">
        <v>29</v>
      </c>
      <c r="B29" s="64"/>
      <c r="E29" s="33" t="s">
        <v>36</v>
      </c>
      <c r="F29" s="762" t="str">
        <f>IF(R30="","",R30)</f>
        <v/>
      </c>
      <c r="G29" s="762"/>
      <c r="I29" s="70" t="s">
        <v>51</v>
      </c>
      <c r="J29" s="33" t="s">
        <v>52</v>
      </c>
      <c r="K29" s="762" t="str">
        <f>IF(V32="","",V32)</f>
        <v/>
      </c>
      <c r="L29" s="762"/>
      <c r="M29" s="65"/>
      <c r="O29" s="28"/>
      <c r="Q29" s="33" t="s">
        <v>34</v>
      </c>
      <c r="R29" s="44" t="str">
        <f>IF(S29&lt;&gt;"",S29,IF(AB33="","",AB33))</f>
        <v/>
      </c>
      <c r="S29" s="45"/>
      <c r="U29" s="33" t="s">
        <v>50</v>
      </c>
      <c r="V29" s="44" t="str">
        <f>IF(W29&lt;&gt;"",W29,IF(AB37="","",AB37))</f>
        <v/>
      </c>
      <c r="W29" s="45"/>
      <c r="Y29" s="30"/>
      <c r="AA29" s="33" t="s">
        <v>35</v>
      </c>
      <c r="AB29" s="72"/>
      <c r="AC29" s="47" t="str">
        <f t="shared" si="2"/>
        <v/>
      </c>
      <c r="AD29" s="73" t="str">
        <f>IF(R23="","",R23)</f>
        <v/>
      </c>
    </row>
    <row r="30" spans="1:30" ht="14.1" customHeight="1">
      <c r="A30" s="15">
        <v>30</v>
      </c>
      <c r="B30" s="64"/>
      <c r="E30" s="33" t="s">
        <v>37</v>
      </c>
      <c r="F30" s="762" t="str">
        <f>IF(R31="","",R31)</f>
        <v/>
      </c>
      <c r="G30" s="762"/>
      <c r="J30" s="33" t="s">
        <v>53</v>
      </c>
      <c r="K30" s="762" t="str">
        <f>IF(V33="","",V33)</f>
        <v/>
      </c>
      <c r="L30" s="762"/>
      <c r="M30" s="65"/>
      <c r="O30" s="28"/>
      <c r="Q30" s="33" t="s">
        <v>36</v>
      </c>
      <c r="R30" s="44" t="str">
        <f>IF(S30&lt;&gt;"",S30,IF(AB34="","",AB34))</f>
        <v/>
      </c>
      <c r="S30" s="45"/>
      <c r="Y30" s="30"/>
      <c r="AA30" s="33" t="s">
        <v>34</v>
      </c>
      <c r="AB30" s="62"/>
      <c r="AC30" s="47" t="str">
        <f t="shared" si="2"/>
        <v/>
      </c>
      <c r="AD30" s="63" t="str">
        <f>IF(R25="","",R25)</f>
        <v/>
      </c>
    </row>
    <row r="31" spans="1:30" ht="14.1" customHeight="1" thickBot="1">
      <c r="A31" s="15">
        <v>31</v>
      </c>
      <c r="B31" s="75"/>
      <c r="C31" s="76"/>
      <c r="D31" s="76"/>
      <c r="E31" s="76"/>
      <c r="F31" s="76"/>
      <c r="G31" s="76"/>
      <c r="H31" s="76"/>
      <c r="I31" s="76"/>
      <c r="J31" s="76"/>
      <c r="K31" s="76"/>
      <c r="L31" s="76"/>
      <c r="M31" s="77"/>
      <c r="O31" s="28"/>
      <c r="Q31" s="33" t="s">
        <v>37</v>
      </c>
      <c r="R31" s="44" t="str">
        <f>IF(S31&lt;&gt;"",S31,IF(AB35="","",AB35))</f>
        <v/>
      </c>
      <c r="S31" s="45"/>
      <c r="U31" s="70" t="s">
        <v>51</v>
      </c>
      <c r="Y31" s="30"/>
      <c r="AA31" s="33" t="s">
        <v>36</v>
      </c>
      <c r="AB31" s="62"/>
      <c r="AC31" s="47" t="str">
        <f t="shared" si="2"/>
        <v/>
      </c>
      <c r="AD31" s="63" t="str">
        <f>IF(R26="","",R26)</f>
        <v/>
      </c>
    </row>
    <row r="32" spans="1:30" ht="14.1" customHeight="1" thickTop="1">
      <c r="A32" s="15">
        <v>32</v>
      </c>
      <c r="O32" s="28"/>
      <c r="U32" s="33" t="s">
        <v>52</v>
      </c>
      <c r="V32" s="44" t="str">
        <f>IF(W32&lt;&gt;"",W32,IF(AB42="","",AB42))</f>
        <v/>
      </c>
      <c r="W32" s="45"/>
      <c r="Y32" s="30"/>
      <c r="AA32" s="33" t="s">
        <v>37</v>
      </c>
      <c r="AB32" s="62"/>
      <c r="AC32" s="47" t="str">
        <f t="shared" si="2"/>
        <v/>
      </c>
      <c r="AD32" s="63" t="str">
        <f>IF(R27="","",R27)</f>
        <v/>
      </c>
    </row>
    <row r="33" spans="1:30" ht="14.1" customHeight="1" thickBot="1">
      <c r="A33" s="15">
        <v>33</v>
      </c>
      <c r="H33" s="49" t="s">
        <v>54</v>
      </c>
      <c r="O33" s="91">
        <v>1</v>
      </c>
      <c r="P33" s="19" t="s">
        <v>615</v>
      </c>
      <c r="U33" s="33" t="s">
        <v>53</v>
      </c>
      <c r="V33" s="44" t="str">
        <f>IF(W33&lt;&gt;"",W33,IF(AB43="","",AB43))</f>
        <v/>
      </c>
      <c r="W33" s="45"/>
      <c r="Y33" s="30"/>
      <c r="AA33" s="33" t="s">
        <v>34</v>
      </c>
      <c r="AB33" s="62"/>
      <c r="AC33" s="47" t="str">
        <f t="shared" si="2"/>
        <v/>
      </c>
      <c r="AD33" s="63" t="str">
        <f>IF(R29="","",R29)</f>
        <v/>
      </c>
    </row>
    <row r="34" spans="1:30" ht="14.1" customHeight="1" thickTop="1" thickBot="1">
      <c r="A34" s="15">
        <v>34</v>
      </c>
      <c r="B34" s="55"/>
      <c r="C34" s="56"/>
      <c r="D34" s="56"/>
      <c r="E34" s="56"/>
      <c r="F34" s="56"/>
      <c r="G34" s="56"/>
      <c r="H34" s="56"/>
      <c r="I34" s="56"/>
      <c r="J34" s="56"/>
      <c r="K34" s="56"/>
      <c r="L34" s="56"/>
      <c r="M34" s="58"/>
      <c r="O34" s="681"/>
      <c r="P34" s="19" t="s">
        <v>752</v>
      </c>
      <c r="U34" s="4"/>
      <c r="V34" s="4"/>
      <c r="W34" s="4"/>
      <c r="Y34" s="30"/>
      <c r="AA34" s="33" t="s">
        <v>36</v>
      </c>
      <c r="AB34" s="62"/>
      <c r="AC34" s="47" t="str">
        <f t="shared" si="2"/>
        <v/>
      </c>
      <c r="AD34" s="63" t="str">
        <f>IF(R30="","",R30)</f>
        <v/>
      </c>
    </row>
    <row r="35" spans="1:30" ht="14.1" customHeight="1" thickBot="1">
      <c r="A35" s="15">
        <v>35</v>
      </c>
      <c r="B35" s="64"/>
      <c r="C35" s="78" t="s">
        <v>55</v>
      </c>
      <c r="D35" s="770" t="s">
        <v>56</v>
      </c>
      <c r="E35" s="770"/>
      <c r="F35" s="770"/>
      <c r="G35" s="770" t="s">
        <v>57</v>
      </c>
      <c r="H35" s="770"/>
      <c r="I35" s="770"/>
      <c r="J35" s="770" t="s">
        <v>58</v>
      </c>
      <c r="K35" s="770"/>
      <c r="L35" s="770"/>
      <c r="M35" s="65"/>
      <c r="O35" s="677"/>
      <c r="P35" s="678" t="s">
        <v>768</v>
      </c>
      <c r="Q35" s="39"/>
      <c r="R35" s="39"/>
      <c r="S35" s="39"/>
      <c r="T35" s="39"/>
      <c r="U35" s="39"/>
      <c r="V35" s="39"/>
      <c r="W35" s="39"/>
      <c r="X35" s="39"/>
      <c r="Y35" s="40"/>
      <c r="AA35" s="33" t="s">
        <v>37</v>
      </c>
      <c r="AB35" s="62"/>
      <c r="AC35" s="47" t="str">
        <f t="shared" si="2"/>
        <v/>
      </c>
      <c r="AD35" s="63" t="str">
        <f>IF(R31="","",R31)</f>
        <v/>
      </c>
    </row>
    <row r="36" spans="1:30" ht="14.1" customHeight="1">
      <c r="A36" s="15">
        <v>36</v>
      </c>
      <c r="B36" s="64"/>
      <c r="C36" s="79" t="s">
        <v>59</v>
      </c>
      <c r="D36" s="445"/>
      <c r="E36" s="446"/>
      <c r="F36" s="448"/>
      <c r="G36" s="771" t="s">
        <v>60</v>
      </c>
      <c r="H36" s="771"/>
      <c r="I36" s="771"/>
      <c r="J36" s="445"/>
      <c r="K36" s="446"/>
      <c r="L36" s="448"/>
      <c r="M36" s="65"/>
      <c r="AA36" s="33" t="s">
        <v>49</v>
      </c>
      <c r="AB36" s="62"/>
      <c r="AC36" s="47" t="str">
        <f t="shared" si="2"/>
        <v/>
      </c>
      <c r="AD36" s="63" t="str">
        <f>IF(V28="","",V28)</f>
        <v/>
      </c>
    </row>
    <row r="37" spans="1:30" ht="14.1" customHeight="1" thickBot="1">
      <c r="A37" s="15">
        <v>37</v>
      </c>
      <c r="B37" s="64"/>
      <c r="C37" s="79" t="s">
        <v>61</v>
      </c>
      <c r="D37" s="80" t="s">
        <v>62</v>
      </c>
      <c r="E37" s="81" t="s">
        <v>19</v>
      </c>
      <c r="F37" s="82" t="s">
        <v>63</v>
      </c>
      <c r="G37" s="80" t="s">
        <v>62</v>
      </c>
      <c r="H37" s="81" t="s">
        <v>19</v>
      </c>
      <c r="I37" s="82" t="s">
        <v>63</v>
      </c>
      <c r="J37" s="80" t="s">
        <v>62</v>
      </c>
      <c r="K37" s="81" t="s">
        <v>19</v>
      </c>
      <c r="L37" s="82" t="s">
        <v>63</v>
      </c>
      <c r="M37" s="65"/>
      <c r="T37" s="229" t="s">
        <v>64</v>
      </c>
      <c r="AA37" s="33" t="s">
        <v>50</v>
      </c>
      <c r="AB37" s="62"/>
      <c r="AC37" s="47" t="str">
        <f t="shared" si="2"/>
        <v/>
      </c>
      <c r="AD37" s="63" t="str">
        <f>IF(V29="","",V29)</f>
        <v/>
      </c>
    </row>
    <row r="38" spans="1:30" ht="14.1" customHeight="1" thickTop="1">
      <c r="A38" s="15">
        <v>38</v>
      </c>
      <c r="B38" s="64"/>
      <c r="C38" s="83" t="s">
        <v>65</v>
      </c>
      <c r="D38" s="84" t="str">
        <f t="shared" ref="D38:L41" si="3">P124</f>
        <v/>
      </c>
      <c r="E38" s="85" t="str">
        <f t="shared" si="3"/>
        <v/>
      </c>
      <c r="F38" s="86" t="str">
        <f t="shared" si="3"/>
        <v/>
      </c>
      <c r="G38" s="84" t="str">
        <f t="shared" si="3"/>
        <v/>
      </c>
      <c r="H38" s="85" t="str">
        <f t="shared" si="3"/>
        <v/>
      </c>
      <c r="I38" s="86" t="str">
        <f t="shared" si="3"/>
        <v/>
      </c>
      <c r="J38" s="84" t="str">
        <f t="shared" si="3"/>
        <v/>
      </c>
      <c r="K38" s="85" t="str">
        <f t="shared" si="3"/>
        <v/>
      </c>
      <c r="L38" s="86" t="str">
        <f t="shared" si="3"/>
        <v/>
      </c>
      <c r="M38" s="65"/>
      <c r="O38" s="87" t="s">
        <v>66</v>
      </c>
      <c r="P38" s="21"/>
      <c r="Q38" s="21"/>
      <c r="R38" s="21"/>
      <c r="S38" s="21"/>
      <c r="T38" s="21"/>
      <c r="U38" s="21"/>
      <c r="V38" s="21"/>
      <c r="W38" s="21"/>
      <c r="X38" s="21"/>
      <c r="Y38" s="22"/>
      <c r="AA38" s="33" t="s">
        <v>67</v>
      </c>
      <c r="AB38" s="62"/>
      <c r="AC38" s="47" t="str">
        <f t="shared" si="2"/>
        <v/>
      </c>
      <c r="AD38" s="63" t="str">
        <f>IF(V21="","",V21)</f>
        <v/>
      </c>
    </row>
    <row r="39" spans="1:30" ht="14.1" customHeight="1">
      <c r="A39" s="15">
        <v>39</v>
      </c>
      <c r="B39" s="64"/>
      <c r="C39" s="88" t="s">
        <v>68</v>
      </c>
      <c r="D39" s="89" t="str">
        <f t="shared" si="3"/>
        <v/>
      </c>
      <c r="E39" s="10" t="str">
        <f t="shared" si="3"/>
        <v/>
      </c>
      <c r="F39" s="90" t="str">
        <f t="shared" si="3"/>
        <v/>
      </c>
      <c r="G39" s="89" t="str">
        <f t="shared" si="3"/>
        <v/>
      </c>
      <c r="H39" s="10" t="str">
        <f t="shared" si="3"/>
        <v/>
      </c>
      <c r="I39" s="90" t="str">
        <f t="shared" si="3"/>
        <v/>
      </c>
      <c r="J39" s="89" t="str">
        <f t="shared" si="3"/>
        <v/>
      </c>
      <c r="K39" s="10" t="str">
        <f t="shared" si="3"/>
        <v/>
      </c>
      <c r="L39" s="90" t="str">
        <f t="shared" si="3"/>
        <v/>
      </c>
      <c r="M39" s="65"/>
      <c r="O39" s="91"/>
      <c r="P39" s="34" t="s">
        <v>69</v>
      </c>
      <c r="Y39" s="30"/>
      <c r="AA39" s="33" t="s">
        <v>70</v>
      </c>
      <c r="AB39" s="62"/>
      <c r="AC39" s="47" t="str">
        <f t="shared" si="2"/>
        <v/>
      </c>
      <c r="AD39" s="63" t="str">
        <f>IF(V22="","",V22)</f>
        <v/>
      </c>
    </row>
    <row r="40" spans="1:30" ht="14.1" customHeight="1">
      <c r="A40" s="15">
        <v>40</v>
      </c>
      <c r="B40" s="64"/>
      <c r="C40" s="88" t="s">
        <v>71</v>
      </c>
      <c r="D40" s="89" t="str">
        <f t="shared" si="3"/>
        <v/>
      </c>
      <c r="E40" s="10" t="str">
        <f t="shared" si="3"/>
        <v/>
      </c>
      <c r="F40" s="90" t="str">
        <f t="shared" si="3"/>
        <v/>
      </c>
      <c r="G40" s="89" t="str">
        <f t="shared" si="3"/>
        <v/>
      </c>
      <c r="H40" s="10" t="str">
        <f t="shared" si="3"/>
        <v/>
      </c>
      <c r="I40" s="90" t="str">
        <f t="shared" si="3"/>
        <v/>
      </c>
      <c r="J40" s="89" t="str">
        <f t="shared" si="3"/>
        <v/>
      </c>
      <c r="K40" s="10" t="str">
        <f t="shared" si="3"/>
        <v/>
      </c>
      <c r="L40" s="90" t="str">
        <f t="shared" si="3"/>
        <v/>
      </c>
      <c r="M40" s="65"/>
      <c r="O40" s="91"/>
      <c r="P40" s="34" t="s">
        <v>769</v>
      </c>
      <c r="Y40" s="30"/>
      <c r="AA40" s="33" t="s">
        <v>73</v>
      </c>
      <c r="AB40" s="62"/>
      <c r="AC40" s="47" t="str">
        <f t="shared" si="2"/>
        <v/>
      </c>
      <c r="AD40" s="63" t="str">
        <f>IF(V24="","",V24)</f>
        <v/>
      </c>
    </row>
    <row r="41" spans="1:30" ht="14.1" customHeight="1" thickBot="1">
      <c r="A41" s="15">
        <v>41</v>
      </c>
      <c r="B41" s="64"/>
      <c r="C41" s="92" t="s">
        <v>74</v>
      </c>
      <c r="D41" s="93" t="str">
        <f t="shared" si="3"/>
        <v/>
      </c>
      <c r="E41" s="94" t="str">
        <f t="shared" si="3"/>
        <v/>
      </c>
      <c r="F41" s="95" t="str">
        <f t="shared" si="3"/>
        <v/>
      </c>
      <c r="G41" s="93" t="str">
        <f t="shared" si="3"/>
        <v/>
      </c>
      <c r="H41" s="94" t="str">
        <f t="shared" si="3"/>
        <v/>
      </c>
      <c r="I41" s="95" t="str">
        <f t="shared" si="3"/>
        <v/>
      </c>
      <c r="J41" s="93" t="str">
        <f t="shared" si="3"/>
        <v/>
      </c>
      <c r="K41" s="94" t="str">
        <f t="shared" si="3"/>
        <v/>
      </c>
      <c r="L41" s="95" t="str">
        <f t="shared" si="3"/>
        <v/>
      </c>
      <c r="M41" s="65"/>
      <c r="O41" s="91"/>
      <c r="P41" s="34" t="s">
        <v>75</v>
      </c>
      <c r="Y41" s="30"/>
      <c r="AA41" s="33" t="s">
        <v>76</v>
      </c>
      <c r="AB41" s="62"/>
      <c r="AC41" s="47" t="str">
        <f t="shared" si="2"/>
        <v/>
      </c>
      <c r="AD41" s="63" t="str">
        <f>IF(V25="","",V25)</f>
        <v/>
      </c>
    </row>
    <row r="42" spans="1:30" ht="14.1" customHeight="1">
      <c r="A42" s="15">
        <v>42</v>
      </c>
      <c r="B42" s="64"/>
      <c r="M42" s="65"/>
      <c r="O42" s="91"/>
      <c r="P42" s="34" t="s">
        <v>77</v>
      </c>
      <c r="Y42" s="30"/>
      <c r="AA42" s="33" t="s">
        <v>52</v>
      </c>
      <c r="AB42" s="62"/>
      <c r="AC42" s="47" t="str">
        <f t="shared" si="2"/>
        <v/>
      </c>
      <c r="AD42" s="63" t="str">
        <f>IF(V32="","",V32)</f>
        <v/>
      </c>
    </row>
    <row r="43" spans="1:30" ht="14.1" customHeight="1">
      <c r="A43" s="15">
        <v>43</v>
      </c>
      <c r="B43" s="64"/>
      <c r="H43" s="49" t="s">
        <v>64</v>
      </c>
      <c r="M43" s="65"/>
      <c r="O43" s="91"/>
      <c r="P43" s="34" t="s">
        <v>78</v>
      </c>
      <c r="Y43" s="30"/>
      <c r="AA43" s="33" t="s">
        <v>79</v>
      </c>
      <c r="AB43" s="62"/>
      <c r="AC43" s="47" t="str">
        <f t="shared" si="2"/>
        <v/>
      </c>
      <c r="AD43" s="63" t="str">
        <f>IF(V33="","",V33)</f>
        <v/>
      </c>
    </row>
    <row r="44" spans="1:30" ht="14.1" customHeight="1">
      <c r="A44" s="15">
        <v>44</v>
      </c>
      <c r="B44" s="64"/>
      <c r="C44" s="96" t="s">
        <v>80</v>
      </c>
      <c r="L44" s="772" t="s">
        <v>81</v>
      </c>
      <c r="M44" s="772"/>
      <c r="O44" s="679"/>
      <c r="P44" s="680" t="str">
        <f>IF(OR(O35="",O35=1),"Unit installed as shown on shielding plan","")</f>
        <v>Unit installed as shown on shielding plan</v>
      </c>
      <c r="Y44" s="30"/>
      <c r="AA44" s="70" t="s">
        <v>54</v>
      </c>
    </row>
    <row r="45" spans="1:30" ht="14.1" customHeight="1">
      <c r="A45" s="15">
        <v>45</v>
      </c>
      <c r="B45" s="64"/>
      <c r="C45" s="34" t="s">
        <v>82</v>
      </c>
      <c r="E45" s="34" t="s">
        <v>69</v>
      </c>
      <c r="L45" s="97" t="str">
        <f>IF(O39="","TBD",IF(O39=1,"YES",IF(O39=3,"NA","")))</f>
        <v>TBD</v>
      </c>
      <c r="M45" s="98" t="str">
        <f t="shared" ref="M45:M50" si="4">IF(O39=2,"NO","")</f>
        <v/>
      </c>
      <c r="O45" s="28"/>
      <c r="T45" s="229" t="s">
        <v>755</v>
      </c>
      <c r="Y45" s="30"/>
      <c r="AA45" s="41" t="s">
        <v>56</v>
      </c>
    </row>
    <row r="46" spans="1:30" ht="14.1" customHeight="1">
      <c r="A46" s="15">
        <v>46</v>
      </c>
      <c r="B46" s="64"/>
      <c r="C46" s="34" t="s">
        <v>792</v>
      </c>
      <c r="E46" s="34" t="s">
        <v>72</v>
      </c>
      <c r="L46" s="97" t="str">
        <f>IF(O40="","TBD",IF(O40=1,"YES",IF(O40=3,"NA","")))</f>
        <v>TBD</v>
      </c>
      <c r="M46" s="98" t="str">
        <f t="shared" si="4"/>
        <v/>
      </c>
      <c r="O46" s="91">
        <v>3</v>
      </c>
      <c r="P46" s="19" t="s">
        <v>484</v>
      </c>
      <c r="Y46" s="30"/>
      <c r="AA46" s="33" t="s">
        <v>85</v>
      </c>
      <c r="AB46" s="62"/>
      <c r="AD46" s="63" t="str">
        <f>IF(P124="","",P124)</f>
        <v/>
      </c>
    </row>
    <row r="47" spans="1:30" ht="14.1" customHeight="1">
      <c r="A47" s="15">
        <v>47</v>
      </c>
      <c r="B47" s="64"/>
      <c r="C47" s="34" t="s">
        <v>86</v>
      </c>
      <c r="E47" s="34" t="s">
        <v>75</v>
      </c>
      <c r="L47" s="97" t="str">
        <f>IF(O41="","TBD",IF(O41=1,"YES",IF(O41=3,"NA","")))</f>
        <v>TBD</v>
      </c>
      <c r="M47" s="98" t="str">
        <f t="shared" si="4"/>
        <v/>
      </c>
      <c r="O47" s="91"/>
      <c r="P47" s="19" t="s">
        <v>485</v>
      </c>
      <c r="Y47" s="30"/>
      <c r="AA47" s="33" t="s">
        <v>88</v>
      </c>
      <c r="AB47" s="62"/>
      <c r="AD47" s="63" t="str">
        <f>IF(Q124="","",Q124)</f>
        <v/>
      </c>
    </row>
    <row r="48" spans="1:30" ht="14.1" customHeight="1">
      <c r="A48" s="15">
        <v>48</v>
      </c>
      <c r="B48" s="64"/>
      <c r="E48" s="34" t="s">
        <v>77</v>
      </c>
      <c r="L48" s="97" t="str">
        <f>IF(O42="","TBD",IF(O42=1,"YES",IF(O42=3,"NA","")))</f>
        <v>TBD</v>
      </c>
      <c r="M48" s="98" t="str">
        <f t="shared" si="4"/>
        <v/>
      </c>
      <c r="O48" s="91"/>
      <c r="P48" s="19" t="s">
        <v>486</v>
      </c>
      <c r="Y48" s="30"/>
      <c r="AA48" s="33" t="s">
        <v>90</v>
      </c>
      <c r="AB48" s="62"/>
      <c r="AD48" s="63" t="str">
        <f>IF(R124="","",R124)</f>
        <v/>
      </c>
    </row>
    <row r="49" spans="1:30" ht="14.1" customHeight="1">
      <c r="A49" s="15">
        <v>49</v>
      </c>
      <c r="B49" s="64"/>
      <c r="E49" s="34" t="s">
        <v>78</v>
      </c>
      <c r="L49" s="97" t="str">
        <f>IF(O43="","TBD",IF(O43=1,"YES",IF(O43=3,"NA","")))</f>
        <v>TBD</v>
      </c>
      <c r="M49" s="98" t="str">
        <f t="shared" si="4"/>
        <v/>
      </c>
      <c r="O49" s="91"/>
      <c r="P49" s="19" t="s">
        <v>487</v>
      </c>
      <c r="Y49" s="30"/>
      <c r="AA49" s="33" t="s">
        <v>85</v>
      </c>
      <c r="AB49" s="62"/>
      <c r="AD49" s="63" t="str">
        <f>IF(P125="","",P125)</f>
        <v/>
      </c>
    </row>
    <row r="50" spans="1:30" ht="14.1" customHeight="1">
      <c r="A50" s="15">
        <v>50</v>
      </c>
      <c r="B50" s="64"/>
      <c r="E50" s="19" t="str">
        <f>P44</f>
        <v>Unit installed as shown on shielding plan</v>
      </c>
      <c r="L50" s="97" t="str">
        <f>IF(O35=2,"",IF(O44="","TBD",IF(O44=1,"YES",IF(O44=3,"NA",""))))</f>
        <v>TBD</v>
      </c>
      <c r="M50" s="98" t="str">
        <f t="shared" si="4"/>
        <v/>
      </c>
      <c r="O50" s="91"/>
      <c r="P50" s="19" t="s">
        <v>488</v>
      </c>
      <c r="Y50" s="30"/>
      <c r="AA50" s="33" t="s">
        <v>88</v>
      </c>
      <c r="AB50" s="62"/>
      <c r="AD50" s="63" t="str">
        <f>IF(Q125="","",Q125)</f>
        <v/>
      </c>
    </row>
    <row r="51" spans="1:30" ht="14.1" customHeight="1">
      <c r="A51" s="15">
        <v>51</v>
      </c>
      <c r="B51" s="64"/>
      <c r="H51" s="229" t="s">
        <v>83</v>
      </c>
      <c r="M51" s="65"/>
      <c r="O51" s="91"/>
      <c r="P51" s="19" t="s">
        <v>489</v>
      </c>
      <c r="Y51" s="30"/>
      <c r="AA51" s="33" t="s">
        <v>90</v>
      </c>
      <c r="AB51" s="62"/>
      <c r="AD51" s="63" t="str">
        <f>IF(R125="","",R125)</f>
        <v/>
      </c>
    </row>
    <row r="52" spans="1:30" ht="14.1" customHeight="1">
      <c r="A52" s="15">
        <v>52</v>
      </c>
      <c r="B52" s="64"/>
      <c r="E52" s="19" t="s">
        <v>84</v>
      </c>
      <c r="L52" s="97" t="str">
        <f t="shared" ref="L52:L64" si="5">IF(O64="","TBD",IF(O64=1,"YES",IF(O64=3,"NA","")))</f>
        <v>TBD</v>
      </c>
      <c r="M52" s="98" t="str">
        <f t="shared" ref="M52:M64" si="6">IF(O64=2,"NO","")</f>
        <v/>
      </c>
      <c r="O52" s="91"/>
      <c r="P52" s="19" t="s">
        <v>490</v>
      </c>
      <c r="Y52" s="30"/>
      <c r="AA52" s="33" t="s">
        <v>85</v>
      </c>
      <c r="AB52" s="62"/>
      <c r="AD52" s="63" t="str">
        <f>IF(P126="","",P126)</f>
        <v/>
      </c>
    </row>
    <row r="53" spans="1:30" ht="14.1" customHeight="1">
      <c r="A53" s="15">
        <v>53</v>
      </c>
      <c r="B53" s="64"/>
      <c r="E53" s="19" t="s">
        <v>87</v>
      </c>
      <c r="L53" s="97" t="str">
        <f t="shared" si="5"/>
        <v>TBD</v>
      </c>
      <c r="M53" s="98" t="str">
        <f t="shared" si="6"/>
        <v/>
      </c>
      <c r="O53" s="91"/>
      <c r="P53" s="19" t="s">
        <v>491</v>
      </c>
      <c r="Y53" s="30"/>
      <c r="AA53" s="33" t="s">
        <v>88</v>
      </c>
      <c r="AB53" s="62"/>
      <c r="AD53" s="63" t="str">
        <f>IF(Q126="","",Q126)</f>
        <v/>
      </c>
    </row>
    <row r="54" spans="1:30" ht="14.1" customHeight="1">
      <c r="A54" s="15">
        <v>54</v>
      </c>
      <c r="B54" s="64"/>
      <c r="E54" s="19" t="s">
        <v>89</v>
      </c>
      <c r="L54" s="97" t="str">
        <f t="shared" si="5"/>
        <v>TBD</v>
      </c>
      <c r="M54" s="98" t="str">
        <f t="shared" si="6"/>
        <v/>
      </c>
      <c r="O54" s="91"/>
      <c r="P54" s="19" t="s">
        <v>492</v>
      </c>
      <c r="Y54" s="30"/>
      <c r="AA54" s="33" t="s">
        <v>90</v>
      </c>
      <c r="AB54" s="62"/>
      <c r="AD54" s="63" t="str">
        <f>IF(R126="","",R126)</f>
        <v/>
      </c>
    </row>
    <row r="55" spans="1:30" ht="14.1" customHeight="1">
      <c r="A55" s="15">
        <v>55</v>
      </c>
      <c r="B55" s="64"/>
      <c r="E55" s="19" t="s">
        <v>91</v>
      </c>
      <c r="L55" s="97" t="str">
        <f t="shared" si="5"/>
        <v>TBD</v>
      </c>
      <c r="M55" s="98" t="str">
        <f t="shared" si="6"/>
        <v/>
      </c>
      <c r="O55" s="91"/>
      <c r="P55" s="19" t="s">
        <v>493</v>
      </c>
      <c r="Y55" s="30"/>
      <c r="AA55" s="33" t="s">
        <v>85</v>
      </c>
      <c r="AB55" s="62"/>
      <c r="AD55" s="63" t="str">
        <f>IF(P127="","",P127)</f>
        <v/>
      </c>
    </row>
    <row r="56" spans="1:30" ht="14.1" customHeight="1">
      <c r="A56" s="15">
        <v>56</v>
      </c>
      <c r="B56" s="64"/>
      <c r="E56" s="19" t="s">
        <v>92</v>
      </c>
      <c r="L56" s="97" t="str">
        <f t="shared" si="5"/>
        <v>TBD</v>
      </c>
      <c r="M56" s="98" t="str">
        <f t="shared" si="6"/>
        <v/>
      </c>
      <c r="O56" s="91"/>
      <c r="P56" s="19" t="s">
        <v>494</v>
      </c>
      <c r="Y56" s="30"/>
      <c r="AA56" s="33" t="s">
        <v>88</v>
      </c>
      <c r="AB56" s="62"/>
      <c r="AD56" s="63"/>
    </row>
    <row r="57" spans="1:30" ht="14.1" customHeight="1">
      <c r="A57" s="15">
        <v>57</v>
      </c>
      <c r="B57" s="64"/>
      <c r="E57" s="19" t="s">
        <v>93</v>
      </c>
      <c r="L57" s="97" t="str">
        <f t="shared" si="5"/>
        <v>TBD</v>
      </c>
      <c r="M57" s="98" t="str">
        <f t="shared" si="6"/>
        <v/>
      </c>
      <c r="O57" s="91"/>
      <c r="P57" s="19" t="s">
        <v>495</v>
      </c>
      <c r="Y57" s="30"/>
      <c r="AA57" s="33" t="s">
        <v>90</v>
      </c>
      <c r="AB57" s="62"/>
      <c r="AD57" s="63"/>
    </row>
    <row r="58" spans="1:30" ht="14.1" customHeight="1">
      <c r="A58" s="15">
        <v>58</v>
      </c>
      <c r="B58" s="64"/>
      <c r="E58" s="19" t="s">
        <v>99</v>
      </c>
      <c r="L58" s="97" t="str">
        <f t="shared" si="5"/>
        <v>TBD</v>
      </c>
      <c r="M58" s="98" t="str">
        <f t="shared" si="6"/>
        <v/>
      </c>
      <c r="O58" s="91"/>
      <c r="P58" s="19" t="s">
        <v>496</v>
      </c>
      <c r="Y58" s="30"/>
      <c r="AA58" s="41" t="s">
        <v>102</v>
      </c>
    </row>
    <row r="59" spans="1:30" ht="14.1" customHeight="1">
      <c r="A59" s="15">
        <v>59</v>
      </c>
      <c r="B59" s="64"/>
      <c r="E59" s="19" t="s">
        <v>95</v>
      </c>
      <c r="L59" s="97" t="str">
        <f t="shared" si="5"/>
        <v>TBD</v>
      </c>
      <c r="M59" s="98" t="str">
        <f t="shared" si="6"/>
        <v/>
      </c>
      <c r="O59" s="91"/>
      <c r="P59" s="19" t="s">
        <v>497</v>
      </c>
      <c r="Y59" s="30"/>
      <c r="AA59" s="33" t="s">
        <v>85</v>
      </c>
      <c r="AB59" s="62"/>
      <c r="AD59" s="63" t="str">
        <f>IF(S124="","",S124)</f>
        <v/>
      </c>
    </row>
    <row r="60" spans="1:30" ht="14.1" customHeight="1">
      <c r="A60" s="15">
        <v>60</v>
      </c>
      <c r="B60" s="64"/>
      <c r="E60" s="19" t="s">
        <v>96</v>
      </c>
      <c r="L60" s="97" t="str">
        <f t="shared" si="5"/>
        <v>TBD</v>
      </c>
      <c r="M60" s="98" t="str">
        <f t="shared" si="6"/>
        <v/>
      </c>
      <c r="O60" s="91"/>
      <c r="P60" s="19" t="s">
        <v>498</v>
      </c>
      <c r="Y60" s="30"/>
      <c r="AA60" s="33" t="s">
        <v>88</v>
      </c>
      <c r="AB60" s="62"/>
      <c r="AD60" s="63" t="str">
        <f>IF(T124="","",T124)</f>
        <v/>
      </c>
    </row>
    <row r="61" spans="1:30" ht="14.1" customHeight="1">
      <c r="A61" s="15">
        <v>61</v>
      </c>
      <c r="B61" s="64"/>
      <c r="E61" s="19" t="s">
        <v>97</v>
      </c>
      <c r="L61" s="97" t="str">
        <f t="shared" si="5"/>
        <v>TBD</v>
      </c>
      <c r="M61" s="98" t="str">
        <f t="shared" si="6"/>
        <v/>
      </c>
      <c r="O61" s="91"/>
      <c r="P61" s="19" t="s">
        <v>499</v>
      </c>
      <c r="Y61" s="30"/>
      <c r="AA61" s="33" t="s">
        <v>90</v>
      </c>
      <c r="AB61" s="62"/>
      <c r="AD61" s="63" t="str">
        <f>IF(U124="","",U124)</f>
        <v/>
      </c>
    </row>
    <row r="62" spans="1:30" ht="14.1" customHeight="1">
      <c r="A62" s="15">
        <v>62</v>
      </c>
      <c r="B62" s="64"/>
      <c r="E62" s="19" t="s">
        <v>98</v>
      </c>
      <c r="L62" s="97" t="str">
        <f t="shared" si="5"/>
        <v>TBD</v>
      </c>
      <c r="M62" s="98" t="str">
        <f t="shared" si="6"/>
        <v/>
      </c>
      <c r="O62" s="91"/>
      <c r="P62" s="19" t="s">
        <v>598</v>
      </c>
      <c r="Y62" s="30"/>
      <c r="AA62" s="33" t="s">
        <v>85</v>
      </c>
      <c r="AB62" s="62"/>
      <c r="AD62" s="63" t="str">
        <f>IF(S125="","",S125)</f>
        <v/>
      </c>
    </row>
    <row r="63" spans="1:30" ht="14.1" customHeight="1">
      <c r="A63" s="15">
        <v>63</v>
      </c>
      <c r="B63" s="64"/>
      <c r="E63" s="19" t="s">
        <v>105</v>
      </c>
      <c r="L63" s="97" t="str">
        <f t="shared" si="5"/>
        <v>TBD</v>
      </c>
      <c r="M63" s="98" t="str">
        <f t="shared" si="6"/>
        <v/>
      </c>
      <c r="O63" s="28"/>
      <c r="T63" s="229" t="s">
        <v>83</v>
      </c>
      <c r="Y63" s="30"/>
      <c r="AA63" s="33" t="s">
        <v>88</v>
      </c>
      <c r="AB63" s="62"/>
      <c r="AD63" s="63" t="str">
        <f>IF(T125="","",T125)</f>
        <v/>
      </c>
    </row>
    <row r="64" spans="1:30" ht="14.1" customHeight="1">
      <c r="A64" s="15">
        <v>64</v>
      </c>
      <c r="B64" s="64"/>
      <c r="E64" s="19" t="s">
        <v>107</v>
      </c>
      <c r="L64" s="97" t="str">
        <f t="shared" si="5"/>
        <v>TBD</v>
      </c>
      <c r="M64" s="98" t="str">
        <f t="shared" si="6"/>
        <v/>
      </c>
      <c r="O64" s="91"/>
      <c r="P64" s="19" t="s">
        <v>84</v>
      </c>
      <c r="Y64" s="30"/>
      <c r="AA64" s="33" t="s">
        <v>90</v>
      </c>
      <c r="AB64" s="62"/>
      <c r="AD64" s="63" t="str">
        <f>IF(U125="","",U125)</f>
        <v/>
      </c>
    </row>
    <row r="65" spans="1:30" ht="14.1" customHeight="1">
      <c r="A65" s="15">
        <v>65</v>
      </c>
      <c r="B65" s="64"/>
      <c r="M65" s="65"/>
      <c r="O65" s="91"/>
      <c r="P65" s="19" t="s">
        <v>87</v>
      </c>
      <c r="Y65" s="30"/>
      <c r="AA65" s="33" t="s">
        <v>85</v>
      </c>
      <c r="AB65" s="62"/>
      <c r="AD65" s="63" t="str">
        <f>IF(S126="","",S126)</f>
        <v/>
      </c>
    </row>
    <row r="66" spans="1:30" ht="14.1" customHeight="1">
      <c r="A66" s="15">
        <v>66</v>
      </c>
      <c r="B66" s="64"/>
      <c r="M66" s="65"/>
      <c r="O66" s="91"/>
      <c r="P66" s="19" t="s">
        <v>89</v>
      </c>
      <c r="Y66" s="30"/>
      <c r="AA66" s="33" t="s">
        <v>88</v>
      </c>
      <c r="AB66" s="62"/>
      <c r="AD66" s="63" t="str">
        <f>IF(T126="","",T126)</f>
        <v/>
      </c>
    </row>
    <row r="67" spans="1:30" ht="14.1" customHeight="1">
      <c r="A67" s="15">
        <v>67</v>
      </c>
      <c r="B67" s="64"/>
      <c r="M67" s="65"/>
      <c r="O67" s="91"/>
      <c r="P67" s="19" t="s">
        <v>91</v>
      </c>
      <c r="Y67" s="30"/>
      <c r="AA67" s="33" t="s">
        <v>90</v>
      </c>
      <c r="AB67" s="62"/>
      <c r="AD67" s="63" t="str">
        <f>IF(U126="","",U126)</f>
        <v/>
      </c>
    </row>
    <row r="68" spans="1:30" ht="14.1" customHeight="1">
      <c r="A68" s="15">
        <v>68</v>
      </c>
      <c r="B68" s="64"/>
      <c r="M68" s="65"/>
      <c r="O68" s="91"/>
      <c r="P68" s="19" t="s">
        <v>92</v>
      </c>
      <c r="Y68" s="30"/>
      <c r="AA68" s="33" t="s">
        <v>85</v>
      </c>
      <c r="AB68" s="62"/>
      <c r="AD68" s="63" t="str">
        <f>IF(S127="","",S127)</f>
        <v/>
      </c>
    </row>
    <row r="69" spans="1:30" ht="14.1" customHeight="1">
      <c r="A69" s="15">
        <v>69</v>
      </c>
      <c r="B69" s="64"/>
      <c r="M69" s="65"/>
      <c r="O69" s="91"/>
      <c r="P69" s="19" t="s">
        <v>93</v>
      </c>
      <c r="Y69" s="30"/>
      <c r="AA69" s="33" t="s">
        <v>88</v>
      </c>
      <c r="AB69" s="62"/>
      <c r="AD69" s="63" t="str">
        <f>IF(T127="","",T127)</f>
        <v/>
      </c>
    </row>
    <row r="70" spans="1:30" ht="14.1" customHeight="1" thickBot="1">
      <c r="A70" s="15">
        <v>70</v>
      </c>
      <c r="B70" s="75"/>
      <c r="C70" s="76"/>
      <c r="D70" s="76"/>
      <c r="E70" s="76"/>
      <c r="F70" s="76"/>
      <c r="G70" s="76"/>
      <c r="H70" s="76"/>
      <c r="I70" s="76"/>
      <c r="J70" s="76"/>
      <c r="K70" s="76"/>
      <c r="L70" s="76"/>
      <c r="M70" s="77"/>
      <c r="O70" s="91"/>
      <c r="P70" s="19" t="s">
        <v>94</v>
      </c>
      <c r="Y70" s="30"/>
      <c r="AA70" s="33" t="s">
        <v>90</v>
      </c>
      <c r="AB70" s="62"/>
      <c r="AD70" s="63" t="str">
        <f>IF(U127="","",U127)</f>
        <v/>
      </c>
    </row>
    <row r="71" spans="1:30" ht="14.1" customHeight="1" thickTop="1">
      <c r="A71" s="15">
        <v>71</v>
      </c>
      <c r="C71" s="102" t="s">
        <v>8</v>
      </c>
      <c r="D71" s="320" t="str">
        <f>IF($P$7="","",$P$7)</f>
        <v/>
      </c>
      <c r="E71" s="25"/>
      <c r="F71" s="25"/>
      <c r="G71" s="25"/>
      <c r="H71" s="25"/>
      <c r="I71" s="25"/>
      <c r="J71" s="25"/>
      <c r="K71" s="25"/>
      <c r="L71" s="102" t="s">
        <v>9</v>
      </c>
      <c r="M71" s="321" t="str">
        <f>IF($X$7="","",$X$7)</f>
        <v>Eugene Mah</v>
      </c>
      <c r="O71" s="91"/>
      <c r="P71" s="19" t="s">
        <v>95</v>
      </c>
      <c r="Y71" s="30"/>
      <c r="AA71" s="41" t="s">
        <v>58</v>
      </c>
    </row>
    <row r="72" spans="1:30" ht="14.1" customHeight="1">
      <c r="A72" s="15">
        <v>72</v>
      </c>
      <c r="C72" s="102" t="s">
        <v>111</v>
      </c>
      <c r="D72" s="321" t="str">
        <f>IF($R$14="","",$R$14)</f>
        <v/>
      </c>
      <c r="E72" s="25"/>
      <c r="F72" s="25"/>
      <c r="G72" s="25"/>
      <c r="H72" s="25"/>
      <c r="I72" s="25"/>
      <c r="J72" s="25"/>
      <c r="K72" s="25"/>
      <c r="L72" s="102" t="s">
        <v>29</v>
      </c>
      <c r="M72" s="321" t="str">
        <f>IF($R$13="","",$R$13)</f>
        <v/>
      </c>
      <c r="O72" s="91"/>
      <c r="P72" s="19" t="s">
        <v>96</v>
      </c>
      <c r="Y72" s="30"/>
      <c r="AA72" s="33" t="s">
        <v>85</v>
      </c>
      <c r="AB72" s="62"/>
      <c r="AD72" s="63" t="str">
        <f>IF(V124="","",V124)</f>
        <v/>
      </c>
    </row>
    <row r="73" spans="1:30" ht="14.1" customHeight="1">
      <c r="A73" s="15">
        <v>1</v>
      </c>
      <c r="M73" s="105" t="str">
        <f>$H$2</f>
        <v>Medical University of South Carolina</v>
      </c>
      <c r="O73" s="91"/>
      <c r="P73" s="19" t="s">
        <v>97</v>
      </c>
      <c r="Y73" s="30"/>
      <c r="AA73" s="33" t="s">
        <v>88</v>
      </c>
      <c r="AB73" s="62"/>
      <c r="AD73" s="63" t="str">
        <f>IF(W124="","",W124)</f>
        <v/>
      </c>
    </row>
    <row r="74" spans="1:30" ht="14.1" customHeight="1" thickBot="1">
      <c r="A74" s="15">
        <v>2</v>
      </c>
      <c r="H74" s="49" t="s">
        <v>64</v>
      </c>
      <c r="M74" s="3" t="str">
        <f>$H$5</f>
        <v>Mammography System Compliance Inspection</v>
      </c>
      <c r="O74" s="91"/>
      <c r="P74" s="19" t="s">
        <v>98</v>
      </c>
      <c r="Y74" s="30"/>
      <c r="AA74" s="33" t="s">
        <v>90</v>
      </c>
      <c r="AB74" s="62"/>
      <c r="AD74" s="63" t="str">
        <f>IF(X124="","",X124)</f>
        <v/>
      </c>
    </row>
    <row r="75" spans="1:30" ht="14.1" customHeight="1" thickTop="1">
      <c r="A75" s="15">
        <v>3</v>
      </c>
      <c r="B75" s="55"/>
      <c r="C75" s="106" t="s">
        <v>80</v>
      </c>
      <c r="D75" s="56"/>
      <c r="E75" s="56"/>
      <c r="F75" s="56"/>
      <c r="G75" s="56"/>
      <c r="H75" s="107" t="s">
        <v>103</v>
      </c>
      <c r="I75" s="56"/>
      <c r="J75" s="56"/>
      <c r="K75" s="56"/>
      <c r="L75" s="56"/>
      <c r="M75" s="58"/>
      <c r="O75" s="91"/>
      <c r="P75" s="19" t="s">
        <v>100</v>
      </c>
      <c r="Y75" s="30"/>
      <c r="AA75" s="33" t="s">
        <v>85</v>
      </c>
      <c r="AB75" s="62"/>
      <c r="AD75" s="63" t="str">
        <f>IF(V125="","",V125)</f>
        <v/>
      </c>
    </row>
    <row r="76" spans="1:30" ht="14.1" customHeight="1">
      <c r="A76" s="15">
        <v>4</v>
      </c>
      <c r="B76" s="64"/>
      <c r="C76" s="19" t="s">
        <v>116</v>
      </c>
      <c r="E76" s="19" t="s">
        <v>117</v>
      </c>
      <c r="L76" s="97" t="str">
        <f t="shared" ref="L76:L107" si="7">IF(O79="","TBD",IF(O79=1,"YES",IF(O79=3,"NA","")))</f>
        <v>TBD</v>
      </c>
      <c r="M76" s="98" t="str">
        <f t="shared" ref="M76:M107" si="8">IF(O79=2,"NO","")</f>
        <v/>
      </c>
      <c r="O76" s="91"/>
      <c r="P76" s="19" t="s">
        <v>101</v>
      </c>
      <c r="Y76" s="30"/>
      <c r="AA76" s="33" t="s">
        <v>88</v>
      </c>
      <c r="AB76" s="62"/>
      <c r="AD76" s="63" t="str">
        <f>IF(W125="","",W125)</f>
        <v/>
      </c>
    </row>
    <row r="77" spans="1:30" ht="14.1" customHeight="1">
      <c r="A77" s="15">
        <v>5</v>
      </c>
      <c r="B77" s="64"/>
      <c r="C77" s="19" t="s">
        <v>119</v>
      </c>
      <c r="E77" s="19" t="s">
        <v>120</v>
      </c>
      <c r="L77" s="97" t="str">
        <f t="shared" si="7"/>
        <v>TBD</v>
      </c>
      <c r="M77" s="98" t="str">
        <f t="shared" si="8"/>
        <v/>
      </c>
      <c r="O77" s="28"/>
      <c r="Y77" s="30"/>
      <c r="AA77" s="33" t="s">
        <v>90</v>
      </c>
      <c r="AB77" s="62"/>
      <c r="AD77" s="63" t="str">
        <f>IF(X125="","",X125)</f>
        <v/>
      </c>
    </row>
    <row r="78" spans="1:30" ht="14.1" customHeight="1">
      <c r="A78" s="15">
        <v>6</v>
      </c>
      <c r="B78" s="64"/>
      <c r="C78" s="19" t="s">
        <v>122</v>
      </c>
      <c r="E78" s="19" t="s">
        <v>108</v>
      </c>
      <c r="L78" s="97" t="str">
        <f t="shared" si="7"/>
        <v>TBD</v>
      </c>
      <c r="M78" s="98" t="str">
        <f t="shared" si="8"/>
        <v/>
      </c>
      <c r="O78" s="28"/>
      <c r="T78" s="229" t="s">
        <v>103</v>
      </c>
      <c r="Y78" s="30"/>
      <c r="AA78" s="33" t="s">
        <v>85</v>
      </c>
      <c r="AB78" s="62"/>
      <c r="AD78" s="63" t="str">
        <f>IF(V126="","",V126)</f>
        <v/>
      </c>
    </row>
    <row r="79" spans="1:30" ht="14.1" customHeight="1">
      <c r="A79" s="15">
        <v>7</v>
      </c>
      <c r="B79" s="64"/>
      <c r="C79" s="19" t="s">
        <v>124</v>
      </c>
      <c r="E79" s="19" t="s">
        <v>125</v>
      </c>
      <c r="L79" s="97" t="str">
        <f t="shared" si="7"/>
        <v>TBD</v>
      </c>
      <c r="M79" s="98" t="str">
        <f t="shared" si="8"/>
        <v/>
      </c>
      <c r="O79" s="91"/>
      <c r="P79" s="19" t="s">
        <v>104</v>
      </c>
      <c r="Y79" s="30"/>
      <c r="AA79" s="33" t="s">
        <v>88</v>
      </c>
      <c r="AB79" s="62"/>
      <c r="AD79" s="63" t="str">
        <f>IF(W126="","",W126)</f>
        <v/>
      </c>
    </row>
    <row r="80" spans="1:30" ht="14.1" customHeight="1">
      <c r="A80" s="15">
        <v>8</v>
      </c>
      <c r="B80" s="64"/>
      <c r="C80" s="19" t="s">
        <v>127</v>
      </c>
      <c r="E80" s="19" t="s">
        <v>110</v>
      </c>
      <c r="L80" s="97" t="str">
        <f t="shared" si="7"/>
        <v>TBD</v>
      </c>
      <c r="M80" s="98" t="str">
        <f t="shared" si="8"/>
        <v/>
      </c>
      <c r="O80" s="91"/>
      <c r="P80" s="19" t="s">
        <v>106</v>
      </c>
      <c r="Y80" s="30"/>
      <c r="AA80" s="33" t="s">
        <v>90</v>
      </c>
      <c r="AB80" s="62"/>
      <c r="AD80" s="63" t="str">
        <f>IF(X126="","",X126)</f>
        <v/>
      </c>
    </row>
    <row r="81" spans="1:30" ht="14.1" customHeight="1">
      <c r="A81" s="15">
        <v>9</v>
      </c>
      <c r="B81" s="64"/>
      <c r="C81" s="19" t="s">
        <v>129</v>
      </c>
      <c r="E81" s="19" t="s">
        <v>130</v>
      </c>
      <c r="L81" s="97" t="str">
        <f t="shared" si="7"/>
        <v>TBD</v>
      </c>
      <c r="M81" s="98" t="str">
        <f t="shared" si="8"/>
        <v/>
      </c>
      <c r="O81" s="91"/>
      <c r="P81" s="19" t="s">
        <v>108</v>
      </c>
      <c r="Y81" s="30"/>
      <c r="AA81" s="33" t="s">
        <v>85</v>
      </c>
      <c r="AB81" s="62"/>
      <c r="AD81" s="63" t="str">
        <f>IF(V127="","",V127)</f>
        <v/>
      </c>
    </row>
    <row r="82" spans="1:30" ht="14.1" customHeight="1">
      <c r="A82" s="15">
        <v>10</v>
      </c>
      <c r="B82" s="64"/>
      <c r="C82" s="19" t="s">
        <v>132</v>
      </c>
      <c r="E82" s="19" t="s">
        <v>113</v>
      </c>
      <c r="L82" s="97" t="str">
        <f t="shared" si="7"/>
        <v>YES</v>
      </c>
      <c r="M82" s="98" t="str">
        <f t="shared" si="8"/>
        <v/>
      </c>
      <c r="O82" s="91"/>
      <c r="P82" s="19" t="s">
        <v>109</v>
      </c>
      <c r="Y82" s="30"/>
      <c r="AA82" s="33" t="s">
        <v>88</v>
      </c>
      <c r="AB82" s="62"/>
      <c r="AD82" s="63" t="str">
        <f>IF(W127="","",W127)</f>
        <v/>
      </c>
    </row>
    <row r="83" spans="1:30" ht="14.1" customHeight="1">
      <c r="A83" s="15">
        <v>11</v>
      </c>
      <c r="B83" s="64"/>
      <c r="C83" s="19" t="s">
        <v>134</v>
      </c>
      <c r="E83" s="19" t="s">
        <v>135</v>
      </c>
      <c r="L83" s="97" t="str">
        <f t="shared" si="7"/>
        <v>TBD</v>
      </c>
      <c r="M83" s="98" t="str">
        <f t="shared" si="8"/>
        <v/>
      </c>
      <c r="O83" s="91"/>
      <c r="P83" s="19" t="s">
        <v>110</v>
      </c>
      <c r="Y83" s="30"/>
      <c r="AA83" s="33" t="s">
        <v>90</v>
      </c>
      <c r="AB83" s="62"/>
      <c r="AD83" s="63" t="str">
        <f>IF(X127="","",X127)</f>
        <v/>
      </c>
    </row>
    <row r="84" spans="1:30" ht="14.1" customHeight="1">
      <c r="A84" s="15">
        <v>12</v>
      </c>
      <c r="B84" s="64"/>
      <c r="C84" s="19" t="s">
        <v>137</v>
      </c>
      <c r="E84" s="19" t="s">
        <v>115</v>
      </c>
      <c r="L84" s="97" t="str">
        <f t="shared" si="7"/>
        <v>TBD</v>
      </c>
      <c r="M84" s="98" t="str">
        <f t="shared" si="8"/>
        <v/>
      </c>
      <c r="O84" s="91"/>
      <c r="P84" s="19" t="s">
        <v>112</v>
      </c>
      <c r="Y84" s="30"/>
    </row>
    <row r="85" spans="1:30" ht="14.1" customHeight="1">
      <c r="A85" s="15">
        <v>13</v>
      </c>
      <c r="B85" s="64"/>
      <c r="C85" s="19" t="s">
        <v>139</v>
      </c>
      <c r="E85" s="19" t="s">
        <v>118</v>
      </c>
      <c r="L85" s="97" t="str">
        <f t="shared" si="7"/>
        <v>TBD</v>
      </c>
      <c r="M85" s="98" t="str">
        <f t="shared" si="8"/>
        <v/>
      </c>
      <c r="O85" s="241">
        <f>IF(OR(R172="",R172=1),IF(U175&gt;=160,1,2),3)</f>
        <v>1</v>
      </c>
      <c r="P85" s="19" t="s">
        <v>113</v>
      </c>
      <c r="Y85" s="30"/>
      <c r="AA85" s="33" t="s">
        <v>151</v>
      </c>
      <c r="AB85" s="62"/>
      <c r="AD85" s="108" t="e">
        <f>IF(X265="","",X265)</f>
        <v>#N/A</v>
      </c>
    </row>
    <row r="86" spans="1:30" ht="14.1" customHeight="1">
      <c r="A86" s="15">
        <v>14</v>
      </c>
      <c r="B86" s="64"/>
      <c r="C86" s="19" t="s">
        <v>139</v>
      </c>
      <c r="E86" s="19" t="s">
        <v>121</v>
      </c>
      <c r="L86" s="97" t="str">
        <f t="shared" si="7"/>
        <v>TBD</v>
      </c>
      <c r="M86" s="98" t="str">
        <f t="shared" si="8"/>
        <v/>
      </c>
      <c r="O86" s="91"/>
      <c r="P86" s="19" t="s">
        <v>114</v>
      </c>
      <c r="Y86" s="30"/>
      <c r="AA86" s="33" t="s">
        <v>611</v>
      </c>
      <c r="AB86" s="62"/>
      <c r="AD86" s="108" t="str">
        <f>IF(X284="","",X284)</f>
        <v/>
      </c>
    </row>
    <row r="87" spans="1:30" ht="14.1" customHeight="1">
      <c r="A87" s="15">
        <v>15</v>
      </c>
      <c r="B87" s="64"/>
      <c r="C87" s="19" t="s">
        <v>142</v>
      </c>
      <c r="E87" s="19" t="s">
        <v>123</v>
      </c>
      <c r="L87" s="97" t="str">
        <f t="shared" si="7"/>
        <v>TBD</v>
      </c>
      <c r="M87" s="98" t="str">
        <f t="shared" si="8"/>
        <v/>
      </c>
      <c r="O87" s="91"/>
      <c r="P87" s="19" t="s">
        <v>115</v>
      </c>
      <c r="Y87" s="30"/>
      <c r="AA87" s="33" t="s">
        <v>612</v>
      </c>
      <c r="AB87" s="62"/>
      <c r="AD87" s="108" t="str">
        <f>IF(X295="","",X295)</f>
        <v/>
      </c>
    </row>
    <row r="88" spans="1:30" ht="14.1" customHeight="1">
      <c r="A88" s="15">
        <v>16</v>
      </c>
      <c r="B88" s="64"/>
      <c r="C88" s="19" t="s">
        <v>144</v>
      </c>
      <c r="E88" s="19" t="s">
        <v>126</v>
      </c>
      <c r="L88" s="97" t="str">
        <f t="shared" si="7"/>
        <v>TBD</v>
      </c>
      <c r="M88" s="98" t="str">
        <f t="shared" si="8"/>
        <v/>
      </c>
      <c r="O88" s="91"/>
      <c r="P88" s="19" t="s">
        <v>118</v>
      </c>
      <c r="Y88" s="30"/>
      <c r="AA88" s="33" t="str">
        <f>Q392&amp;" mGy/mAs:"</f>
        <v>/ mGy/mAs:</v>
      </c>
      <c r="AB88" s="62"/>
      <c r="AD88" s="109" t="str">
        <f>IF(S399="","",S399)</f>
        <v/>
      </c>
    </row>
    <row r="89" spans="1:30" ht="14.1" customHeight="1">
      <c r="A89" s="15">
        <v>17</v>
      </c>
      <c r="B89" s="64"/>
      <c r="C89" s="4"/>
      <c r="E89" s="19" t="s">
        <v>128</v>
      </c>
      <c r="L89" s="97" t="str">
        <f t="shared" si="7"/>
        <v>TBD</v>
      </c>
      <c r="M89" s="98" t="str">
        <f t="shared" si="8"/>
        <v/>
      </c>
      <c r="O89" s="91"/>
      <c r="P89" s="19" t="s">
        <v>121</v>
      </c>
      <c r="Y89" s="30"/>
      <c r="AA89" s="33" t="str">
        <f>Q392&amp;" mGy/s:"</f>
        <v>/ mGy/s:</v>
      </c>
      <c r="AB89" s="62"/>
      <c r="AD89" s="108" t="str">
        <f>IF(T399="","",T399)</f>
        <v/>
      </c>
    </row>
    <row r="90" spans="1:30" ht="14.1" customHeight="1">
      <c r="A90" s="15">
        <v>18</v>
      </c>
      <c r="B90" s="64"/>
      <c r="C90" s="19" t="s">
        <v>147</v>
      </c>
      <c r="E90" s="19" t="s">
        <v>131</v>
      </c>
      <c r="L90" s="97" t="str">
        <f t="shared" si="7"/>
        <v>TBD</v>
      </c>
      <c r="M90" s="98" t="str">
        <f t="shared" si="8"/>
        <v/>
      </c>
      <c r="O90" s="91"/>
      <c r="P90" s="19" t="s">
        <v>123</v>
      </c>
      <c r="Y90" s="30"/>
      <c r="AA90" s="33" t="str">
        <f>V392&amp;" mGy/mAs:"</f>
        <v>/ mGy/mAs:</v>
      </c>
      <c r="AB90" s="62"/>
      <c r="AD90" s="109" t="str">
        <f>IF(X399="","",X399)</f>
        <v/>
      </c>
    </row>
    <row r="91" spans="1:30" ht="14.1" customHeight="1">
      <c r="A91" s="15">
        <v>19</v>
      </c>
      <c r="B91" s="64"/>
      <c r="C91" s="19" t="s">
        <v>149</v>
      </c>
      <c r="E91" s="19" t="s">
        <v>133</v>
      </c>
      <c r="L91" s="97" t="str">
        <f t="shared" si="7"/>
        <v>TBD</v>
      </c>
      <c r="M91" s="98" t="str">
        <f t="shared" si="8"/>
        <v/>
      </c>
      <c r="O91" s="91"/>
      <c r="P91" s="19" t="s">
        <v>126</v>
      </c>
      <c r="Y91" s="30"/>
      <c r="AA91" s="33" t="str">
        <f>V392&amp;" mGy/s:"</f>
        <v>/ mGy/s:</v>
      </c>
      <c r="AB91" s="62"/>
      <c r="AD91" s="108" t="str">
        <f>IF(Y399="","",Y399)</f>
        <v/>
      </c>
    </row>
    <row r="92" spans="1:30" ht="14.1" customHeight="1">
      <c r="A92" s="15">
        <v>20</v>
      </c>
      <c r="B92" s="64"/>
      <c r="C92" s="19" t="s">
        <v>152</v>
      </c>
      <c r="E92" s="19" t="s">
        <v>136</v>
      </c>
      <c r="L92" s="97" t="str">
        <f t="shared" si="7"/>
        <v>TBD</v>
      </c>
      <c r="M92" s="98" t="str">
        <f t="shared" si="8"/>
        <v/>
      </c>
      <c r="O92" s="91"/>
      <c r="P92" s="19" t="s">
        <v>128</v>
      </c>
      <c r="Y92" s="30"/>
      <c r="AA92" s="70" t="s">
        <v>160</v>
      </c>
    </row>
    <row r="93" spans="1:30" ht="14.1" customHeight="1">
      <c r="A93" s="15">
        <v>21</v>
      </c>
      <c r="B93" s="64"/>
      <c r="C93" s="19" t="s">
        <v>154</v>
      </c>
      <c r="E93" s="19" t="s">
        <v>155</v>
      </c>
      <c r="L93" s="97" t="str">
        <f t="shared" si="7"/>
        <v>TBD</v>
      </c>
      <c r="M93" s="98" t="str">
        <f t="shared" si="8"/>
        <v/>
      </c>
      <c r="O93" s="91"/>
      <c r="P93" s="19" t="s">
        <v>131</v>
      </c>
      <c r="Y93" s="30"/>
      <c r="AA93" s="33" t="s">
        <v>163</v>
      </c>
      <c r="AB93" s="62"/>
      <c r="AD93" s="63" t="str">
        <f t="shared" ref="AD93:AD98" si="9">IF(Q432="","",Q432)</f>
        <v/>
      </c>
    </row>
    <row r="94" spans="1:30" ht="14.1" customHeight="1">
      <c r="A94" s="15">
        <v>22</v>
      </c>
      <c r="B94" s="64"/>
      <c r="C94" s="19" t="s">
        <v>157</v>
      </c>
      <c r="E94" s="19" t="s">
        <v>158</v>
      </c>
      <c r="L94" s="97" t="str">
        <f t="shared" si="7"/>
        <v>TBD</v>
      </c>
      <c r="M94" s="98" t="str">
        <f t="shared" si="8"/>
        <v/>
      </c>
      <c r="O94" s="91"/>
      <c r="P94" s="19" t="s">
        <v>133</v>
      </c>
      <c r="Y94" s="30"/>
      <c r="AA94" s="33" t="s">
        <v>166</v>
      </c>
      <c r="AB94" s="62"/>
      <c r="AD94" s="63" t="str">
        <f t="shared" si="9"/>
        <v/>
      </c>
    </row>
    <row r="95" spans="1:30" ht="14.1" customHeight="1">
      <c r="A95" s="15">
        <v>23</v>
      </c>
      <c r="B95" s="64"/>
      <c r="C95" s="19" t="s">
        <v>161</v>
      </c>
      <c r="E95" s="19" t="s">
        <v>141</v>
      </c>
      <c r="L95" s="97" t="str">
        <f t="shared" si="7"/>
        <v>TBD</v>
      </c>
      <c r="M95" s="98" t="str">
        <f t="shared" si="8"/>
        <v/>
      </c>
      <c r="O95" s="91"/>
      <c r="P95" s="19" t="s">
        <v>136</v>
      </c>
      <c r="Y95" s="30"/>
      <c r="AA95" s="33" t="s">
        <v>169</v>
      </c>
      <c r="AB95" s="62"/>
      <c r="AD95" s="63" t="str">
        <f t="shared" si="9"/>
        <v/>
      </c>
    </row>
    <row r="96" spans="1:30" ht="14.1" customHeight="1">
      <c r="A96" s="15">
        <v>24</v>
      </c>
      <c r="B96" s="64"/>
      <c r="C96" s="19" t="s">
        <v>164</v>
      </c>
      <c r="E96" s="19" t="s">
        <v>143</v>
      </c>
      <c r="L96" s="97" t="str">
        <f t="shared" si="7"/>
        <v>TBD</v>
      </c>
      <c r="M96" s="98" t="str">
        <f t="shared" si="8"/>
        <v/>
      </c>
      <c r="O96" s="91"/>
      <c r="P96" s="19" t="s">
        <v>138</v>
      </c>
      <c r="Y96" s="30"/>
      <c r="AA96" s="33" t="s">
        <v>172</v>
      </c>
      <c r="AB96" s="62"/>
      <c r="AD96" s="63" t="str">
        <f t="shared" si="9"/>
        <v/>
      </c>
    </row>
    <row r="97" spans="1:30" ht="14.1" customHeight="1">
      <c r="A97" s="15">
        <v>25</v>
      </c>
      <c r="B97" s="64"/>
      <c r="C97" s="19" t="s">
        <v>167</v>
      </c>
      <c r="E97" s="19" t="s">
        <v>145</v>
      </c>
      <c r="L97" s="97" t="str">
        <f t="shared" si="7"/>
        <v>TBD</v>
      </c>
      <c r="M97" s="98" t="str">
        <f t="shared" si="8"/>
        <v/>
      </c>
      <c r="O97" s="91"/>
      <c r="P97" s="19" t="s">
        <v>140</v>
      </c>
      <c r="Y97" s="30"/>
      <c r="AA97" s="33" t="s">
        <v>174</v>
      </c>
      <c r="AB97" s="62"/>
      <c r="AD97" s="63" t="str">
        <f t="shared" si="9"/>
        <v/>
      </c>
    </row>
    <row r="98" spans="1:30" ht="14.1" customHeight="1">
      <c r="A98" s="15">
        <v>26</v>
      </c>
      <c r="B98" s="64"/>
      <c r="C98" s="19" t="s">
        <v>170</v>
      </c>
      <c r="E98" s="19" t="s">
        <v>146</v>
      </c>
      <c r="L98" s="97" t="str">
        <f t="shared" si="7"/>
        <v>TBD</v>
      </c>
      <c r="M98" s="98" t="str">
        <f t="shared" si="8"/>
        <v/>
      </c>
      <c r="O98" s="91"/>
      <c r="P98" s="19" t="s">
        <v>141</v>
      </c>
      <c r="Y98" s="30"/>
      <c r="AA98" s="33" t="s">
        <v>175</v>
      </c>
      <c r="AB98" s="62"/>
      <c r="AD98" s="63" t="str">
        <f t="shared" si="9"/>
        <v/>
      </c>
    </row>
    <row r="99" spans="1:30" ht="14.1" customHeight="1">
      <c r="A99" s="15">
        <v>27</v>
      </c>
      <c r="B99" s="64"/>
      <c r="C99" s="19" t="s">
        <v>173</v>
      </c>
      <c r="E99" s="19" t="s">
        <v>148</v>
      </c>
      <c r="L99" s="97" t="str">
        <f t="shared" si="7"/>
        <v>NA</v>
      </c>
      <c r="M99" s="98" t="str">
        <f t="shared" si="8"/>
        <v/>
      </c>
      <c r="O99" s="91"/>
      <c r="P99" s="19" t="s">
        <v>143</v>
      </c>
      <c r="Y99" s="30"/>
      <c r="AA99" s="33" t="s">
        <v>177</v>
      </c>
      <c r="AB99" s="62"/>
      <c r="AD99" s="63" t="str">
        <f>IF(U432="","",U432)</f>
        <v/>
      </c>
    </row>
    <row r="100" spans="1:30" ht="14.1" customHeight="1">
      <c r="A100" s="15">
        <v>28</v>
      </c>
      <c r="B100" s="64"/>
      <c r="C100" s="4"/>
      <c r="E100" s="19" t="s">
        <v>150</v>
      </c>
      <c r="L100" s="97" t="str">
        <f t="shared" si="7"/>
        <v>NA</v>
      </c>
      <c r="M100" s="98" t="str">
        <f t="shared" si="8"/>
        <v/>
      </c>
      <c r="O100" s="91"/>
      <c r="P100" s="19" t="s">
        <v>145</v>
      </c>
      <c r="Y100" s="30"/>
      <c r="AA100" s="33" t="s">
        <v>179</v>
      </c>
      <c r="AB100" s="62"/>
      <c r="AD100" s="63" t="str">
        <f>IF(U433="","",U433)</f>
        <v/>
      </c>
    </row>
    <row r="101" spans="1:30" ht="14.1" customHeight="1">
      <c r="A101" s="15">
        <v>29</v>
      </c>
      <c r="B101" s="64"/>
      <c r="E101" s="19" t="s">
        <v>153</v>
      </c>
      <c r="L101" s="97" t="str">
        <f t="shared" si="7"/>
        <v>NA</v>
      </c>
      <c r="M101" s="98" t="str">
        <f t="shared" si="8"/>
        <v/>
      </c>
      <c r="O101" s="91"/>
      <c r="P101" s="19" t="s">
        <v>146</v>
      </c>
      <c r="Y101" s="30"/>
      <c r="AA101" s="33" t="s">
        <v>181</v>
      </c>
      <c r="AB101" s="62"/>
      <c r="AD101" s="63" t="str">
        <f>IF(U434="","",U434)</f>
        <v/>
      </c>
    </row>
    <row r="102" spans="1:30" ht="14.1" customHeight="1">
      <c r="A102" s="15">
        <v>30</v>
      </c>
      <c r="B102" s="64"/>
      <c r="C102" s="19" t="s">
        <v>178</v>
      </c>
      <c r="E102" s="19" t="s">
        <v>156</v>
      </c>
      <c r="L102" s="97" t="str">
        <f t="shared" si="7"/>
        <v>NA</v>
      </c>
      <c r="M102" s="98" t="str">
        <f t="shared" si="8"/>
        <v/>
      </c>
      <c r="O102" s="91">
        <v>3</v>
      </c>
      <c r="P102" s="19" t="s">
        <v>148</v>
      </c>
      <c r="Y102" s="30"/>
      <c r="AA102" s="70" t="s">
        <v>184</v>
      </c>
    </row>
    <row r="103" spans="1:30" ht="14.1" customHeight="1">
      <c r="A103" s="15">
        <v>31</v>
      </c>
      <c r="B103" s="64"/>
      <c r="C103" s="19" t="s">
        <v>180</v>
      </c>
      <c r="E103" s="19" t="s">
        <v>159</v>
      </c>
      <c r="L103" s="97" t="str">
        <f t="shared" si="7"/>
        <v>NA</v>
      </c>
      <c r="M103" s="98" t="str">
        <f t="shared" si="8"/>
        <v/>
      </c>
      <c r="O103" s="91">
        <v>3</v>
      </c>
      <c r="P103" s="19" t="s">
        <v>150</v>
      </c>
      <c r="Y103" s="30"/>
      <c r="AA103" s="33" t="s">
        <v>85</v>
      </c>
      <c r="AB103" s="62"/>
      <c r="AD103" s="63" t="str">
        <f t="shared" ref="AD103:AD108" si="10">IF(Q448="","",Q448)</f>
        <v/>
      </c>
    </row>
    <row r="104" spans="1:30" ht="14.1" customHeight="1">
      <c r="A104" s="15">
        <v>32</v>
      </c>
      <c r="B104" s="64"/>
      <c r="C104" s="19" t="s">
        <v>182</v>
      </c>
      <c r="E104" s="19" t="s">
        <v>183</v>
      </c>
      <c r="L104" s="97" t="str">
        <f t="shared" si="7"/>
        <v>NA</v>
      </c>
      <c r="M104" s="98" t="str">
        <f t="shared" si="8"/>
        <v/>
      </c>
      <c r="O104" s="91">
        <v>3</v>
      </c>
      <c r="P104" s="19" t="s">
        <v>153</v>
      </c>
      <c r="Y104" s="30"/>
      <c r="AA104" s="33" t="s">
        <v>163</v>
      </c>
      <c r="AB104" s="62"/>
      <c r="AD104" s="63" t="str">
        <f t="shared" si="10"/>
        <v/>
      </c>
    </row>
    <row r="105" spans="1:30" ht="14.1" customHeight="1">
      <c r="A105" s="15">
        <v>33</v>
      </c>
      <c r="B105" s="64"/>
      <c r="C105" s="19" t="s">
        <v>185</v>
      </c>
      <c r="E105" s="19" t="s">
        <v>165</v>
      </c>
      <c r="L105" s="97" t="str">
        <f t="shared" si="7"/>
        <v>NA</v>
      </c>
      <c r="M105" s="98" t="str">
        <f t="shared" si="8"/>
        <v/>
      </c>
      <c r="O105" s="91">
        <v>3</v>
      </c>
      <c r="P105" s="19" t="s">
        <v>156</v>
      </c>
      <c r="Y105" s="30"/>
      <c r="AA105" s="33" t="s">
        <v>166</v>
      </c>
      <c r="AB105" s="62"/>
      <c r="AD105" s="63" t="str">
        <f t="shared" si="10"/>
        <v/>
      </c>
    </row>
    <row r="106" spans="1:30" ht="14.1" customHeight="1">
      <c r="A106" s="15">
        <v>34</v>
      </c>
      <c r="B106" s="64"/>
      <c r="C106" s="19" t="s">
        <v>186</v>
      </c>
      <c r="E106" s="19" t="s">
        <v>168</v>
      </c>
      <c r="L106" s="97" t="str">
        <f t="shared" si="7"/>
        <v>TBD</v>
      </c>
      <c r="M106" s="98" t="str">
        <f t="shared" si="8"/>
        <v/>
      </c>
      <c r="O106" s="91">
        <v>3</v>
      </c>
      <c r="P106" s="19" t="s">
        <v>159</v>
      </c>
      <c r="Y106" s="30"/>
      <c r="AA106" s="33" t="s">
        <v>177</v>
      </c>
      <c r="AB106" s="62"/>
      <c r="AD106" s="63" t="str">
        <f t="shared" si="10"/>
        <v/>
      </c>
    </row>
    <row r="107" spans="1:30" ht="14.1" customHeight="1">
      <c r="A107" s="15">
        <v>35</v>
      </c>
      <c r="B107" s="64"/>
      <c r="C107" s="19" t="s">
        <v>187</v>
      </c>
      <c r="E107" s="19" t="s">
        <v>171</v>
      </c>
      <c r="L107" s="97" t="str">
        <f t="shared" si="7"/>
        <v>TBD</v>
      </c>
      <c r="M107" s="98" t="str">
        <f t="shared" si="8"/>
        <v/>
      </c>
      <c r="O107" s="91">
        <v>3</v>
      </c>
      <c r="P107" s="19" t="s">
        <v>162</v>
      </c>
      <c r="Y107" s="30"/>
      <c r="AA107" s="33" t="s">
        <v>179</v>
      </c>
      <c r="AB107" s="62"/>
      <c r="AD107" s="63" t="str">
        <f t="shared" si="10"/>
        <v/>
      </c>
    </row>
    <row r="108" spans="1:30" ht="14.1" customHeight="1">
      <c r="A108" s="15">
        <v>36</v>
      </c>
      <c r="B108" s="64"/>
      <c r="M108" s="65"/>
      <c r="O108" s="91">
        <v>3</v>
      </c>
      <c r="P108" s="19" t="s">
        <v>165</v>
      </c>
      <c r="Y108" s="30"/>
      <c r="AA108" s="33" t="s">
        <v>181</v>
      </c>
      <c r="AB108" s="62"/>
      <c r="AD108" s="63" t="str">
        <f t="shared" si="10"/>
        <v/>
      </c>
    </row>
    <row r="109" spans="1:30" ht="14.1" customHeight="1">
      <c r="A109" s="15">
        <v>37</v>
      </c>
      <c r="B109" s="64"/>
      <c r="E109" s="19" t="s">
        <v>484</v>
      </c>
      <c r="L109" s="97" t="str">
        <f t="shared" ref="L109:L125" si="11">IF(O46="","TBD",IF(O46=1,"YES",IF(O46=3,"NA","")))</f>
        <v>NA</v>
      </c>
      <c r="M109" s="98" t="str">
        <f t="shared" ref="M109:M125" si="12">IF(O46=2,"NO","")</f>
        <v/>
      </c>
      <c r="O109" s="91"/>
      <c r="P109" s="19" t="s">
        <v>168</v>
      </c>
      <c r="Y109" s="30"/>
      <c r="AA109" s="33" t="s">
        <v>85</v>
      </c>
      <c r="AB109" s="62"/>
      <c r="AD109" s="63" t="str">
        <f t="shared" ref="AD109:AD114" si="13">IF(R448="","",R448)</f>
        <v/>
      </c>
    </row>
    <row r="110" spans="1:30" ht="14.1" customHeight="1">
      <c r="A110" s="15">
        <v>38</v>
      </c>
      <c r="B110" s="64"/>
      <c r="E110" s="19" t="s">
        <v>485</v>
      </c>
      <c r="L110" s="97" t="str">
        <f t="shared" si="11"/>
        <v>TBD</v>
      </c>
      <c r="M110" s="98" t="str">
        <f t="shared" si="12"/>
        <v/>
      </c>
      <c r="O110" s="91"/>
      <c r="P110" s="19" t="s">
        <v>171</v>
      </c>
      <c r="Y110" s="30"/>
      <c r="AA110" s="33" t="s">
        <v>163</v>
      </c>
      <c r="AB110" s="62"/>
      <c r="AD110" s="63" t="str">
        <f t="shared" si="13"/>
        <v/>
      </c>
    </row>
    <row r="111" spans="1:30" ht="14.1" customHeight="1">
      <c r="A111" s="15">
        <v>39</v>
      </c>
      <c r="B111" s="64"/>
      <c r="E111" s="19" t="s">
        <v>486</v>
      </c>
      <c r="L111" s="97" t="str">
        <f t="shared" si="11"/>
        <v>TBD</v>
      </c>
      <c r="M111" s="98" t="str">
        <f t="shared" si="12"/>
        <v/>
      </c>
      <c r="O111" s="409"/>
      <c r="T111" s="70" t="s">
        <v>508</v>
      </c>
      <c r="Y111" s="30"/>
      <c r="AA111" s="33" t="s">
        <v>166</v>
      </c>
      <c r="AB111" s="62"/>
      <c r="AD111" s="63" t="str">
        <f t="shared" si="13"/>
        <v/>
      </c>
    </row>
    <row r="112" spans="1:30" ht="14.1" customHeight="1">
      <c r="A112" s="15">
        <v>40</v>
      </c>
      <c r="B112" s="64"/>
      <c r="E112" s="19" t="s">
        <v>487</v>
      </c>
      <c r="L112" s="97" t="str">
        <f t="shared" si="11"/>
        <v>TBD</v>
      </c>
      <c r="M112" s="98" t="str">
        <f t="shared" si="12"/>
        <v/>
      </c>
      <c r="O112" s="91"/>
      <c r="P112" s="19" t="s">
        <v>509</v>
      </c>
      <c r="Y112" s="30"/>
      <c r="AA112" s="33" t="s">
        <v>177</v>
      </c>
      <c r="AB112" s="62"/>
      <c r="AD112" s="63" t="str">
        <f t="shared" si="13"/>
        <v/>
      </c>
    </row>
    <row r="113" spans="1:30" ht="14.1" customHeight="1">
      <c r="A113" s="15">
        <v>41</v>
      </c>
      <c r="B113" s="64"/>
      <c r="E113" s="19" t="s">
        <v>488</v>
      </c>
      <c r="L113" s="97" t="str">
        <f t="shared" si="11"/>
        <v>TBD</v>
      </c>
      <c r="M113" s="98" t="str">
        <f t="shared" si="12"/>
        <v/>
      </c>
      <c r="O113" s="91"/>
      <c r="P113" s="19" t="s">
        <v>510</v>
      </c>
      <c r="Y113" s="30"/>
      <c r="AA113" s="33" t="s">
        <v>179</v>
      </c>
      <c r="AB113" s="62"/>
      <c r="AD113" s="63" t="str">
        <f t="shared" si="13"/>
        <v/>
      </c>
    </row>
    <row r="114" spans="1:30" ht="14.1" customHeight="1">
      <c r="A114" s="15">
        <v>42</v>
      </c>
      <c r="B114" s="64"/>
      <c r="E114" s="19" t="s">
        <v>489</v>
      </c>
      <c r="L114" s="97" t="str">
        <f t="shared" si="11"/>
        <v>TBD</v>
      </c>
      <c r="M114" s="98" t="str">
        <f t="shared" si="12"/>
        <v/>
      </c>
      <c r="O114" s="91"/>
      <c r="P114" s="19" t="s">
        <v>511</v>
      </c>
      <c r="Y114" s="30"/>
      <c r="AA114" s="33" t="s">
        <v>181</v>
      </c>
      <c r="AB114" s="62"/>
      <c r="AD114" s="63" t="str">
        <f t="shared" si="13"/>
        <v/>
      </c>
    </row>
    <row r="115" spans="1:30" ht="14.1" customHeight="1">
      <c r="A115" s="15">
        <v>43</v>
      </c>
      <c r="B115" s="64"/>
      <c r="E115" s="19" t="s">
        <v>490</v>
      </c>
      <c r="L115" s="97" t="str">
        <f t="shared" si="11"/>
        <v>TBD</v>
      </c>
      <c r="M115" s="98" t="str">
        <f t="shared" si="12"/>
        <v/>
      </c>
      <c r="O115" s="91"/>
      <c r="P115" s="19" t="s">
        <v>512</v>
      </c>
      <c r="Y115" s="30"/>
      <c r="AA115" s="33" t="s">
        <v>85</v>
      </c>
      <c r="AB115" s="62"/>
      <c r="AD115" s="63" t="str">
        <f t="shared" ref="AD115:AD120" si="14">IF(S448="","",S448)</f>
        <v/>
      </c>
    </row>
    <row r="116" spans="1:30" ht="14.1" customHeight="1">
      <c r="A116" s="15">
        <v>44</v>
      </c>
      <c r="B116" s="64"/>
      <c r="E116" s="19" t="s">
        <v>491</v>
      </c>
      <c r="L116" s="97" t="str">
        <f t="shared" si="11"/>
        <v>TBD</v>
      </c>
      <c r="M116" s="98" t="str">
        <f t="shared" si="12"/>
        <v/>
      </c>
      <c r="O116" s="91"/>
      <c r="P116" s="19" t="s">
        <v>513</v>
      </c>
      <c r="Y116" s="30"/>
      <c r="AA116" s="33" t="s">
        <v>163</v>
      </c>
      <c r="AB116" s="62"/>
      <c r="AD116" s="63" t="str">
        <f t="shared" si="14"/>
        <v/>
      </c>
    </row>
    <row r="117" spans="1:30" ht="14.1" customHeight="1" thickBot="1">
      <c r="A117" s="15">
        <v>45</v>
      </c>
      <c r="B117" s="64"/>
      <c r="E117" s="19" t="s">
        <v>492</v>
      </c>
      <c r="L117" s="97" t="str">
        <f t="shared" si="11"/>
        <v>TBD</v>
      </c>
      <c r="M117" s="98" t="str">
        <f t="shared" si="12"/>
        <v/>
      </c>
      <c r="O117" s="38"/>
      <c r="P117" s="39"/>
      <c r="Q117" s="39"/>
      <c r="R117" s="39"/>
      <c r="S117" s="39"/>
      <c r="T117" s="39"/>
      <c r="U117" s="39"/>
      <c r="V117" s="39"/>
      <c r="W117" s="39"/>
      <c r="X117" s="39"/>
      <c r="Y117" s="40"/>
      <c r="AA117" s="33" t="s">
        <v>166</v>
      </c>
      <c r="AB117" s="62"/>
      <c r="AD117" s="63" t="str">
        <f t="shared" si="14"/>
        <v/>
      </c>
    </row>
    <row r="118" spans="1:30" ht="14.1" customHeight="1">
      <c r="A118" s="15">
        <v>46</v>
      </c>
      <c r="B118" s="64"/>
      <c r="E118" s="19" t="s">
        <v>493</v>
      </c>
      <c r="L118" s="97" t="str">
        <f t="shared" si="11"/>
        <v>TBD</v>
      </c>
      <c r="M118" s="98" t="str">
        <f t="shared" si="12"/>
        <v/>
      </c>
      <c r="AA118" s="33" t="s">
        <v>177</v>
      </c>
      <c r="AB118" s="62"/>
      <c r="AD118" s="63" t="str">
        <f t="shared" si="14"/>
        <v/>
      </c>
    </row>
    <row r="119" spans="1:30" ht="14.1" customHeight="1" thickBot="1">
      <c r="A119" s="15">
        <v>47</v>
      </c>
      <c r="B119" s="64"/>
      <c r="E119" s="19" t="s">
        <v>494</v>
      </c>
      <c r="L119" s="97" t="str">
        <f t="shared" si="11"/>
        <v>TBD</v>
      </c>
      <c r="M119" s="98" t="str">
        <f t="shared" si="12"/>
        <v/>
      </c>
      <c r="T119" s="229" t="s">
        <v>176</v>
      </c>
      <c r="AA119" s="33" t="s">
        <v>179</v>
      </c>
      <c r="AB119" s="62"/>
      <c r="AD119" s="63" t="str">
        <f t="shared" si="14"/>
        <v/>
      </c>
    </row>
    <row r="120" spans="1:30" ht="14.1" customHeight="1" thickBot="1">
      <c r="A120" s="15">
        <v>48</v>
      </c>
      <c r="B120" s="64"/>
      <c r="E120" s="19" t="s">
        <v>495</v>
      </c>
      <c r="L120" s="97" t="str">
        <f t="shared" si="11"/>
        <v>TBD</v>
      </c>
      <c r="M120" s="98" t="str">
        <f t="shared" si="12"/>
        <v/>
      </c>
      <c r="O120" s="59"/>
      <c r="P120" s="21"/>
      <c r="Q120" s="21"/>
      <c r="R120" s="21"/>
      <c r="S120" s="21"/>
      <c r="T120" s="21"/>
      <c r="U120" s="21"/>
      <c r="V120" s="21"/>
      <c r="W120" s="21"/>
      <c r="X120" s="21"/>
      <c r="Y120" s="22"/>
      <c r="AA120" s="33" t="s">
        <v>181</v>
      </c>
      <c r="AB120" s="62"/>
      <c r="AD120" s="63" t="str">
        <f t="shared" si="14"/>
        <v/>
      </c>
    </row>
    <row r="121" spans="1:30" ht="14.1" customHeight="1">
      <c r="A121" s="15">
        <v>49</v>
      </c>
      <c r="B121" s="64"/>
      <c r="E121" s="19" t="s">
        <v>496</v>
      </c>
      <c r="L121" s="97" t="str">
        <f t="shared" si="11"/>
        <v>TBD</v>
      </c>
      <c r="M121" s="98" t="str">
        <f t="shared" si="12"/>
        <v/>
      </c>
      <c r="O121" s="78" t="s">
        <v>55</v>
      </c>
      <c r="P121" s="773" t="s">
        <v>56</v>
      </c>
      <c r="Q121" s="774"/>
      <c r="R121" s="775"/>
      <c r="S121" s="773" t="s">
        <v>501</v>
      </c>
      <c r="T121" s="774"/>
      <c r="U121" s="775"/>
      <c r="V121" s="773" t="s">
        <v>58</v>
      </c>
      <c r="W121" s="774"/>
      <c r="X121" s="779"/>
      <c r="Y121" s="30"/>
      <c r="AA121" s="33" t="s">
        <v>188</v>
      </c>
      <c r="AB121" s="62"/>
      <c r="AD121" s="63" t="str">
        <f>IF(T463="","",T463)</f>
        <v/>
      </c>
    </row>
    <row r="122" spans="1:30" ht="14.1" customHeight="1">
      <c r="A122" s="15">
        <v>50</v>
      </c>
      <c r="B122" s="64"/>
      <c r="E122" s="19" t="s">
        <v>497</v>
      </c>
      <c r="L122" s="97" t="str">
        <f t="shared" si="11"/>
        <v>TBD</v>
      </c>
      <c r="M122" s="98" t="str">
        <f t="shared" si="12"/>
        <v/>
      </c>
      <c r="O122" s="79" t="s">
        <v>59</v>
      </c>
      <c r="P122" s="776"/>
      <c r="Q122" s="777"/>
      <c r="R122" s="778"/>
      <c r="S122" s="776"/>
      <c r="T122" s="777"/>
      <c r="U122" s="778"/>
      <c r="V122" s="776"/>
      <c r="W122" s="777"/>
      <c r="X122" s="780"/>
      <c r="Y122" s="30"/>
      <c r="AA122" s="33" t="s">
        <v>189</v>
      </c>
      <c r="AB122" s="62"/>
      <c r="AD122" s="63" t="str">
        <f>IF(T464="","",T464)</f>
        <v/>
      </c>
    </row>
    <row r="123" spans="1:30" ht="14.1" customHeight="1" thickBot="1">
      <c r="A123" s="15">
        <v>51</v>
      </c>
      <c r="B123" s="64"/>
      <c r="E123" s="19" t="s">
        <v>498</v>
      </c>
      <c r="L123" s="97" t="str">
        <f t="shared" si="11"/>
        <v>TBD</v>
      </c>
      <c r="M123" s="98" t="str">
        <f t="shared" si="12"/>
        <v/>
      </c>
      <c r="O123" s="79" t="s">
        <v>61</v>
      </c>
      <c r="P123" s="80" t="s">
        <v>62</v>
      </c>
      <c r="Q123" s="81" t="s">
        <v>19</v>
      </c>
      <c r="R123" s="82" t="s">
        <v>63</v>
      </c>
      <c r="S123" s="80" t="s">
        <v>62</v>
      </c>
      <c r="T123" s="81" t="s">
        <v>19</v>
      </c>
      <c r="U123" s="82" t="s">
        <v>63</v>
      </c>
      <c r="V123" s="80" t="s">
        <v>62</v>
      </c>
      <c r="W123" s="81" t="s">
        <v>19</v>
      </c>
      <c r="X123" s="82" t="s">
        <v>63</v>
      </c>
      <c r="Y123" s="30"/>
      <c r="AA123" s="70" t="s">
        <v>573</v>
      </c>
    </row>
    <row r="124" spans="1:30" ht="14.1" customHeight="1" thickTop="1">
      <c r="A124" s="15">
        <v>52</v>
      </c>
      <c r="B124" s="64"/>
      <c r="E124" s="19" t="s">
        <v>499</v>
      </c>
      <c r="L124" s="97" t="str">
        <f t="shared" si="11"/>
        <v>TBD</v>
      </c>
      <c r="M124" s="98" t="str">
        <f t="shared" si="12"/>
        <v/>
      </c>
      <c r="O124" s="83" t="s">
        <v>65</v>
      </c>
      <c r="P124" s="110" t="str">
        <f>IF(P132&lt;&gt;"",P132,IF(AB46="","",AB46))</f>
        <v/>
      </c>
      <c r="Q124" s="111" t="str">
        <f>IF(Q132&lt;&gt;"",Q132,IF(AB47="","",AB47))</f>
        <v/>
      </c>
      <c r="R124" s="112" t="str">
        <f>IF(R132&lt;&gt;"",R132,IF(AB48="","",AB48))</f>
        <v/>
      </c>
      <c r="S124" s="110" t="str">
        <f>IF(S132&lt;&gt;"",S132,IF(AB59="","",AB59))</f>
        <v/>
      </c>
      <c r="T124" s="111" t="str">
        <f>IF(T132&lt;&gt;"",T132,IF(AB60="","",AB60))</f>
        <v/>
      </c>
      <c r="U124" s="112" t="str">
        <f>IF(U132&lt;&gt;"",U132,IF(AB61="","",AB61))</f>
        <v/>
      </c>
      <c r="V124" s="110" t="str">
        <f>IF(V132&lt;&gt;"",V132,IF(AB72="","",AB72))</f>
        <v/>
      </c>
      <c r="W124" s="111" t="str">
        <f>IF(W132&lt;&gt;"",W132,IF(AB73="","",AB73))</f>
        <v/>
      </c>
      <c r="X124" s="112" t="str">
        <f>IF(X132&lt;&gt;"",X132,IF(AB74="","",AB74))</f>
        <v/>
      </c>
      <c r="Y124" s="30"/>
      <c r="AA124" s="33" t="s">
        <v>575</v>
      </c>
      <c r="AB124" s="62"/>
      <c r="AD124" s="63" t="str">
        <f>IF(S274="","",S274)</f>
        <v/>
      </c>
    </row>
    <row r="125" spans="1:30" ht="14.1" customHeight="1">
      <c r="A125" s="15">
        <v>53</v>
      </c>
      <c r="B125" s="64"/>
      <c r="E125" s="19" t="s">
        <v>500</v>
      </c>
      <c r="L125" s="97" t="str">
        <f t="shared" si="11"/>
        <v>TBD</v>
      </c>
      <c r="M125" s="98" t="str">
        <f t="shared" si="12"/>
        <v/>
      </c>
      <c r="O125" s="88" t="s">
        <v>68</v>
      </c>
      <c r="P125" s="113" t="str">
        <f>IF(P133&lt;&gt;"",P133,IF(AB49="","",AB49))</f>
        <v/>
      </c>
      <c r="Q125" s="114" t="str">
        <f>IF(Q133&lt;&gt;"",Q133,IF(AB50="","",AB50))</f>
        <v/>
      </c>
      <c r="R125" s="115" t="str">
        <f>IF(R133&lt;&gt;"",R133,IF(AB51="","",AB51))</f>
        <v/>
      </c>
      <c r="S125" s="113" t="str">
        <f>IF(S133&lt;&gt;"",S133,IF(AB60="","",AB60))</f>
        <v/>
      </c>
      <c r="T125" s="114" t="str">
        <f>IF(T133&lt;&gt;"",T133,IF(AB63="","",AB63))</f>
        <v/>
      </c>
      <c r="U125" s="115" t="str">
        <f>IF(U133&lt;&gt;"",U133,IF(AB64="","",AB64))</f>
        <v/>
      </c>
      <c r="V125" s="113" t="str">
        <f>IF(V133&lt;&gt;"",V133,IF(AB75="","",AB75))</f>
        <v/>
      </c>
      <c r="W125" s="114" t="str">
        <f>IF(W133&lt;&gt;"",W133,IF(AB76="","",AB76))</f>
        <v/>
      </c>
      <c r="X125" s="115" t="str">
        <f>IF(X133&lt;&gt;"",X133,IF(AB77="","",AB77))</f>
        <v/>
      </c>
      <c r="Y125" s="30"/>
      <c r="AA125" s="33" t="s">
        <v>576</v>
      </c>
      <c r="AB125" s="62"/>
      <c r="AD125" s="63" t="str">
        <f>IF(S275="","",S275)</f>
        <v/>
      </c>
    </row>
    <row r="126" spans="1:30" ht="14.1" customHeight="1">
      <c r="A126" s="15">
        <v>54</v>
      </c>
      <c r="B126" s="64"/>
      <c r="M126" s="65"/>
      <c r="O126" s="88" t="s">
        <v>71</v>
      </c>
      <c r="P126" s="113" t="str">
        <f>IF(P134&lt;&gt;"",P134,IF(AB52="","",AB52))</f>
        <v/>
      </c>
      <c r="Q126" s="114" t="str">
        <f>IF(Q134&lt;&gt;"",Q134,IF(AB53="","",AB53))</f>
        <v/>
      </c>
      <c r="R126" s="115" t="str">
        <f>IF(R134&lt;&gt;"",R134,IF(AB54="","",AB54))</f>
        <v/>
      </c>
      <c r="S126" s="113" t="str">
        <f>IF(S134&lt;&gt;"",S134,IF(AB61="","",AB61))</f>
        <v/>
      </c>
      <c r="T126" s="114" t="str">
        <f>IF(T134&lt;&gt;"",T134,IF(AB66="","",AB66))</f>
        <v/>
      </c>
      <c r="U126" s="115" t="str">
        <f>IF(U134&lt;&gt;"",U134,IF(AB67="","",AB67))</f>
        <v/>
      </c>
      <c r="V126" s="113" t="str">
        <f>IF(V134&lt;&gt;"",V134,IF(AB78="","",AB78))</f>
        <v/>
      </c>
      <c r="W126" s="114" t="str">
        <f>IF(W134&lt;&gt;"",W134,IF(AB79="","",AB79))</f>
        <v/>
      </c>
      <c r="X126" s="115" t="str">
        <f>IF(X134&lt;&gt;"",X134,IF(AB80="","",AB80))</f>
        <v/>
      </c>
      <c r="Y126" s="30"/>
      <c r="AA126" s="33" t="s">
        <v>577</v>
      </c>
      <c r="AB126" s="62"/>
      <c r="AD126" s="63" t="str">
        <f>IF(S276="","",S276)</f>
        <v/>
      </c>
    </row>
    <row r="127" spans="1:30" ht="14.1" customHeight="1" thickBot="1">
      <c r="A127" s="15">
        <v>55</v>
      </c>
      <c r="B127" s="64"/>
      <c r="E127" s="4"/>
      <c r="H127" s="229" t="s">
        <v>508</v>
      </c>
      <c r="M127" s="65"/>
      <c r="O127" s="92" t="s">
        <v>74</v>
      </c>
      <c r="P127" s="116" t="str">
        <f>IF(P135&lt;&gt;"",P135,IF(AB55="","",AB55))</f>
        <v/>
      </c>
      <c r="Q127" s="117" t="str">
        <f>IF(Q135&lt;&gt;"",Q135,IF(AB56="","",AB56))</f>
        <v/>
      </c>
      <c r="R127" s="118" t="str">
        <f>IF(R135&lt;&gt;"",R135,IF(AB57="","",AB57))</f>
        <v/>
      </c>
      <c r="S127" s="116" t="str">
        <f>IF(S135&lt;&gt;"",S135,IF(AB62="","",AB62))</f>
        <v/>
      </c>
      <c r="T127" s="117" t="str">
        <f>IF(T135&lt;&gt;"",T135,IF(AB69="","",AB69))</f>
        <v/>
      </c>
      <c r="U127" s="118" t="str">
        <f>IF(U135&lt;&gt;"",U135,IF(AB70="","",AB70))</f>
        <v/>
      </c>
      <c r="V127" s="116" t="str">
        <f>IF(V135&lt;&gt;"",V135,IF(AB81="","",AB81))</f>
        <v/>
      </c>
      <c r="W127" s="117" t="str">
        <f>IF(W135&lt;&gt;"",W135,IF(AB82="","",AB82))</f>
        <v/>
      </c>
      <c r="X127" s="118" t="str">
        <f>IF(X135&lt;&gt;"",X135,IF(AB83="","",AB83))</f>
        <v/>
      </c>
      <c r="Y127" s="30"/>
      <c r="AA127" s="33" t="s">
        <v>578</v>
      </c>
      <c r="AB127" s="62"/>
      <c r="AD127" s="63" t="str">
        <f>IF(P313="","",P313)</f>
        <v/>
      </c>
    </row>
    <row r="128" spans="1:30" ht="14.1" customHeight="1" thickBot="1">
      <c r="A128" s="15">
        <v>56</v>
      </c>
      <c r="B128" s="64"/>
      <c r="E128" s="19" t="s">
        <v>509</v>
      </c>
      <c r="L128" s="97" t="str">
        <f>IF(O112="","TBD",IF(O112=1,"YES",IF(O112=3,"NA","")))</f>
        <v>TBD</v>
      </c>
      <c r="M128" s="98" t="str">
        <f>IF(O112=2,"NO","")</f>
        <v/>
      </c>
      <c r="O128" s="28"/>
      <c r="Y128" s="30"/>
      <c r="AA128" s="33" t="s">
        <v>579</v>
      </c>
      <c r="AB128" s="62"/>
      <c r="AD128" s="63" t="str">
        <f>IF(Q313="","",Q313)</f>
        <v/>
      </c>
    </row>
    <row r="129" spans="1:30" ht="14.1" customHeight="1">
      <c r="A129" s="15">
        <v>57</v>
      </c>
      <c r="B129" s="64"/>
      <c r="E129" s="19" t="s">
        <v>510</v>
      </c>
      <c r="L129" s="97" t="str">
        <f>IF(O113="","TBD",IF(O113=1,"YES",IF(O113=3,"NA","")))</f>
        <v>TBD</v>
      </c>
      <c r="M129" s="98" t="str">
        <f>IF(O113=2,"NO","")</f>
        <v/>
      </c>
      <c r="O129" s="78" t="s">
        <v>55</v>
      </c>
      <c r="P129" s="773" t="s">
        <v>56</v>
      </c>
      <c r="Q129" s="774"/>
      <c r="R129" s="775"/>
      <c r="S129" s="773" t="s">
        <v>501</v>
      </c>
      <c r="T129" s="774"/>
      <c r="U129" s="775"/>
      <c r="V129" s="781" t="s">
        <v>58</v>
      </c>
      <c r="W129" s="782"/>
      <c r="X129" s="783"/>
      <c r="Y129" s="30"/>
      <c r="AA129" s="33" t="s">
        <v>580</v>
      </c>
      <c r="AB129" s="62"/>
      <c r="AD129" s="63" t="str">
        <f>IF(P314="","",P314)</f>
        <v/>
      </c>
    </row>
    <row r="130" spans="1:30" ht="14.1" customHeight="1">
      <c r="A130" s="15">
        <v>58</v>
      </c>
      <c r="B130" s="64"/>
      <c r="E130" s="19" t="s">
        <v>511</v>
      </c>
      <c r="L130" s="97" t="str">
        <f>IF(O114="","TBD",IF(O114=1,"YES",IF(O114=3,"NA","")))</f>
        <v>TBD</v>
      </c>
      <c r="M130" s="98" t="str">
        <f>IF(O114=2,"NO","")</f>
        <v/>
      </c>
      <c r="O130" s="79" t="s">
        <v>59</v>
      </c>
      <c r="P130" s="776"/>
      <c r="Q130" s="777"/>
      <c r="R130" s="778"/>
      <c r="S130" s="776"/>
      <c r="T130" s="777"/>
      <c r="U130" s="778"/>
      <c r="V130" s="784"/>
      <c r="W130" s="762"/>
      <c r="X130" s="785"/>
      <c r="Y130" s="30"/>
      <c r="AA130" s="33" t="s">
        <v>581</v>
      </c>
      <c r="AB130" s="62"/>
      <c r="AD130" s="63" t="str">
        <f>IF(Q314="","",Q314)</f>
        <v/>
      </c>
    </row>
    <row r="131" spans="1:30" ht="14.1" customHeight="1" thickBot="1">
      <c r="A131" s="15">
        <v>59</v>
      </c>
      <c r="B131" s="64"/>
      <c r="E131" s="19" t="s">
        <v>512</v>
      </c>
      <c r="L131" s="97" t="str">
        <f>IF(O115="","TBD",IF(O115=1,"YES",IF(O115=3,"NA","")))</f>
        <v>TBD</v>
      </c>
      <c r="M131" s="98" t="str">
        <f>IF(O115=2,"NO","")</f>
        <v/>
      </c>
      <c r="O131" s="79" t="s">
        <v>61</v>
      </c>
      <c r="P131" s="80" t="s">
        <v>62</v>
      </c>
      <c r="Q131" s="81" t="s">
        <v>19</v>
      </c>
      <c r="R131" s="82" t="s">
        <v>63</v>
      </c>
      <c r="S131" s="80" t="s">
        <v>62</v>
      </c>
      <c r="T131" s="81" t="s">
        <v>19</v>
      </c>
      <c r="U131" s="82" t="s">
        <v>63</v>
      </c>
      <c r="V131" s="80" t="s">
        <v>62</v>
      </c>
      <c r="W131" s="81" t="s">
        <v>19</v>
      </c>
      <c r="X131" s="82" t="s">
        <v>63</v>
      </c>
      <c r="Y131" s="30"/>
      <c r="AA131" s="33" t="s">
        <v>582</v>
      </c>
      <c r="AB131" s="62"/>
      <c r="AD131" s="63" t="str">
        <f>IF(P315="","",P315)</f>
        <v/>
      </c>
    </row>
    <row r="132" spans="1:30" ht="14.1" customHeight="1" thickTop="1">
      <c r="A132" s="15">
        <v>60</v>
      </c>
      <c r="B132" s="64"/>
      <c r="E132" s="19" t="s">
        <v>513</v>
      </c>
      <c r="L132" s="97" t="str">
        <f>IF(O116="","TBD",IF(O116=1,"YES",IF(O116=3,"NA","")))</f>
        <v>TBD</v>
      </c>
      <c r="M132" s="98" t="str">
        <f>IF(O116=2,"NO","")</f>
        <v/>
      </c>
      <c r="O132" s="83" t="s">
        <v>65</v>
      </c>
      <c r="P132" s="119"/>
      <c r="Q132" s="120"/>
      <c r="R132" s="121"/>
      <c r="S132" s="119"/>
      <c r="T132" s="120"/>
      <c r="U132" s="121"/>
      <c r="V132" s="119"/>
      <c r="W132" s="120"/>
      <c r="X132" s="121"/>
      <c r="Y132" s="30"/>
      <c r="AA132" s="33" t="s">
        <v>583</v>
      </c>
      <c r="AB132" s="62"/>
      <c r="AD132" s="63" t="str">
        <f>IF(Q315="","",Q315)</f>
        <v/>
      </c>
    </row>
    <row r="133" spans="1:30" ht="14.1" customHeight="1">
      <c r="A133" s="15">
        <v>61</v>
      </c>
      <c r="B133" s="64"/>
      <c r="M133" s="65"/>
      <c r="O133" s="88" t="s">
        <v>68</v>
      </c>
      <c r="P133" s="122"/>
      <c r="Q133" s="123"/>
      <c r="R133" s="124"/>
      <c r="S133" s="122"/>
      <c r="T133" s="123"/>
      <c r="U133" s="124"/>
      <c r="V133" s="122"/>
      <c r="W133" s="123"/>
      <c r="X133" s="124"/>
      <c r="Y133" s="30"/>
      <c r="AA133" s="19" t="s">
        <v>584</v>
      </c>
      <c r="AB133" s="62"/>
      <c r="AD133" s="63" t="str">
        <f>IF(Q349="","",Q349)</f>
        <v/>
      </c>
    </row>
    <row r="134" spans="1:30" ht="14.1" customHeight="1">
      <c r="A134" s="15">
        <v>62</v>
      </c>
      <c r="B134" s="64"/>
      <c r="H134" s="229" t="s">
        <v>591</v>
      </c>
      <c r="M134" s="65"/>
      <c r="O134" s="88" t="s">
        <v>71</v>
      </c>
      <c r="P134" s="122"/>
      <c r="Q134" s="123"/>
      <c r="R134" s="124"/>
      <c r="S134" s="122"/>
      <c r="T134" s="123"/>
      <c r="U134" s="124"/>
      <c r="V134" s="122"/>
      <c r="W134" s="123"/>
      <c r="X134" s="124"/>
      <c r="Y134" s="30"/>
      <c r="AA134" s="19" t="s">
        <v>585</v>
      </c>
      <c r="AB134" s="62"/>
      <c r="AD134" s="63" t="str">
        <f>IF(Q350="","",Q350)</f>
        <v/>
      </c>
    </row>
    <row r="135" spans="1:30" ht="14.1" customHeight="1" thickBot="1">
      <c r="A135" s="15">
        <v>63</v>
      </c>
      <c r="B135" s="64"/>
      <c r="E135" s="19" t="s">
        <v>604</v>
      </c>
      <c r="L135" s="97" t="str">
        <f>IF(O33=2,"NA",IF(V274="","TBD",IF(AND(V274="Pass",V275="Pass",V276="Pass"),"YES","")))</f>
        <v>TBD</v>
      </c>
      <c r="M135" s="98" t="str">
        <f>IF(OR(V274="Fail",V275="Fail",V276="Fail"),"NO","")</f>
        <v/>
      </c>
      <c r="O135" s="92" t="s">
        <v>74</v>
      </c>
      <c r="P135" s="125"/>
      <c r="Q135" s="126"/>
      <c r="R135" s="127"/>
      <c r="S135" s="125"/>
      <c r="T135" s="126"/>
      <c r="U135" s="127"/>
      <c r="V135" s="125"/>
      <c r="W135" s="126"/>
      <c r="X135" s="127"/>
      <c r="Y135" s="40"/>
      <c r="AA135" s="19" t="s">
        <v>586</v>
      </c>
      <c r="AB135" s="62"/>
      <c r="AD135" s="63" t="str">
        <f>IF(T349="","",T349)</f>
        <v/>
      </c>
    </row>
    <row r="136" spans="1:30" ht="14.1" customHeight="1">
      <c r="A136" s="15">
        <v>64</v>
      </c>
      <c r="B136" s="64"/>
      <c r="E136" s="19" t="s">
        <v>605</v>
      </c>
      <c r="L136" s="97" t="str">
        <f>IF(O33=2,"NA",IF(V304="","TBD",IF(V304="Pass","YES","")))</f>
        <v>TBD</v>
      </c>
      <c r="M136" s="98" t="str">
        <f>IF(V304="Fail","NO","")</f>
        <v/>
      </c>
      <c r="O136" s="4"/>
      <c r="P136" s="4"/>
      <c r="Q136" s="4"/>
      <c r="R136" s="4"/>
      <c r="S136" s="4"/>
      <c r="T136" s="4"/>
      <c r="U136" s="4"/>
      <c r="V136" s="4"/>
      <c r="W136" s="4"/>
      <c r="X136" s="4"/>
      <c r="AA136" s="19" t="s">
        <v>587</v>
      </c>
      <c r="AB136" s="62"/>
      <c r="AD136" s="63" t="str">
        <f>IF(T350="","",T350)</f>
        <v/>
      </c>
    </row>
    <row r="137" spans="1:30" ht="14.1" customHeight="1" thickBot="1">
      <c r="A137" s="15">
        <v>65</v>
      </c>
      <c r="B137" s="64"/>
      <c r="E137" s="19" t="s">
        <v>592</v>
      </c>
      <c r="L137" s="97" t="str">
        <f>IF(O33=2,"NA",IF(R313="","TBD",IF(AND(R313="Pass",R314="Pass",R315="Pass"),"YES","")))</f>
        <v>TBD</v>
      </c>
      <c r="M137" s="98" t="str">
        <f>IF(OR(R313="Fail",R314="Fail",R315="Fail"),"NO","")</f>
        <v/>
      </c>
      <c r="T137" s="229" t="s">
        <v>64</v>
      </c>
      <c r="AA137" s="19" t="s">
        <v>588</v>
      </c>
      <c r="AB137" s="62"/>
      <c r="AD137" s="63" t="str">
        <f>IF(W349="","",W349)</f>
        <v/>
      </c>
    </row>
    <row r="138" spans="1:30" ht="14.1" customHeight="1">
      <c r="A138" s="15">
        <v>66</v>
      </c>
      <c r="B138" s="64"/>
      <c r="E138" s="19" t="s">
        <v>593</v>
      </c>
      <c r="L138" s="97" t="str">
        <f>IF(O33=2,"NA",IF(G414="","TBD",IF(AND(G414="Pass",G415="Pass",G416="Pass"),"YES","")))</f>
        <v>TBD</v>
      </c>
      <c r="M138" s="98" t="str">
        <f>IF(OR(G414="Fail",G415="Fail",G416="Fail"),"NO","")</f>
        <v/>
      </c>
      <c r="O138" s="128" t="s">
        <v>190</v>
      </c>
      <c r="P138" s="21"/>
      <c r="Q138" s="21"/>
      <c r="R138" s="21" t="s">
        <v>197</v>
      </c>
      <c r="S138" s="21" t="s">
        <v>699</v>
      </c>
      <c r="T138" s="21"/>
      <c r="U138" s="21"/>
      <c r="V138" s="21"/>
      <c r="W138" s="21"/>
      <c r="X138" s="21"/>
      <c r="Y138" s="22"/>
      <c r="AA138" s="19" t="s">
        <v>589</v>
      </c>
      <c r="AB138" s="62"/>
      <c r="AD138" s="63" t="str">
        <f>IF(W350="","",W350)</f>
        <v/>
      </c>
    </row>
    <row r="139" spans="1:30" ht="14.1" customHeight="1">
      <c r="A139" s="15">
        <v>67</v>
      </c>
      <c r="B139" s="64"/>
      <c r="E139" s="19" t="s">
        <v>594</v>
      </c>
      <c r="L139" s="97" t="str">
        <f>IF(O362="","TBD",IF(O362=1,"YES",IF(O362=3,"NA","")))</f>
        <v>TBD</v>
      </c>
      <c r="M139" s="98" t="str">
        <f>IF(O362=2,"NO","")</f>
        <v/>
      </c>
      <c r="O139" s="28"/>
      <c r="P139" s="4"/>
      <c r="Q139" s="33" t="s">
        <v>191</v>
      </c>
      <c r="R139" s="129"/>
      <c r="S139" s="638"/>
      <c r="T139" s="4"/>
      <c r="Y139" s="30"/>
      <c r="AA139" s="33" t="s">
        <v>568</v>
      </c>
    </row>
    <row r="140" spans="1:30" ht="14.1" customHeight="1">
      <c r="A140" s="15">
        <v>68</v>
      </c>
      <c r="B140" s="64"/>
      <c r="E140" s="19" t="s">
        <v>566</v>
      </c>
      <c r="L140" s="97" t="str">
        <f>IF(O363="","TBD",IF(O363=1,"YES",IF(O363=3,"NA","")))</f>
        <v>TBD</v>
      </c>
      <c r="M140" s="98" t="str">
        <f>IF(O363=2,"NO","")</f>
        <v/>
      </c>
      <c r="O140" s="28"/>
      <c r="P140" s="4"/>
      <c r="Q140" s="33" t="s">
        <v>192</v>
      </c>
      <c r="R140" s="129"/>
      <c r="S140" s="4" t="s">
        <v>66</v>
      </c>
      <c r="T140" s="4"/>
      <c r="Y140" s="30"/>
      <c r="AA140" s="33" t="s">
        <v>177</v>
      </c>
      <c r="AB140" s="62"/>
      <c r="AD140" s="63" t="str">
        <f>IF(P357="","",P357)</f>
        <v/>
      </c>
    </row>
    <row r="141" spans="1:30" ht="14.1" customHeight="1">
      <c r="A141" s="15">
        <v>69</v>
      </c>
      <c r="B141" s="64"/>
      <c r="E141" s="19" t="s">
        <v>572</v>
      </c>
      <c r="L141" s="97" t="str">
        <f>IF(O364="","TBD",IF(O364=1,"YES",IF(O364=3,"NA","")))</f>
        <v>TBD</v>
      </c>
      <c r="M141" s="98" t="str">
        <f>IF(O364=2,"NO","")</f>
        <v/>
      </c>
      <c r="O141" s="28"/>
      <c r="P141" s="4"/>
      <c r="Q141" s="4"/>
      <c r="R141" s="2" t="str">
        <f>IF(R139="","",IF(AND(R139&gt;=120,R139&lt;=200),"Pass","Fail"))</f>
        <v/>
      </c>
      <c r="T141" s="4"/>
      <c r="Y141" s="30"/>
      <c r="AA141" s="33" t="s">
        <v>179</v>
      </c>
      <c r="AB141" s="62"/>
      <c r="AD141" s="63" t="str">
        <f>IF(P358="","",P358)</f>
        <v/>
      </c>
    </row>
    <row r="142" spans="1:30" ht="14.1" customHeight="1" thickBot="1">
      <c r="A142" s="15">
        <v>70</v>
      </c>
      <c r="B142" s="75"/>
      <c r="C142" s="76"/>
      <c r="D142" s="76"/>
      <c r="E142" s="289"/>
      <c r="F142" s="76"/>
      <c r="G142" s="76"/>
      <c r="H142" s="76"/>
      <c r="I142" s="76"/>
      <c r="J142" s="76"/>
      <c r="K142" s="76"/>
      <c r="L142" s="76"/>
      <c r="M142" s="77"/>
      <c r="O142" s="28"/>
      <c r="P142" s="3" t="s">
        <v>193</v>
      </c>
      <c r="Q142" s="25" t="s">
        <v>194</v>
      </c>
      <c r="Y142" s="30"/>
      <c r="AA142" s="33" t="s">
        <v>181</v>
      </c>
      <c r="AB142" s="62"/>
      <c r="AD142" s="63" t="str">
        <f>IF(P359="","",P359)</f>
        <v/>
      </c>
    </row>
    <row r="143" spans="1:30" ht="14.1" customHeight="1" thickTop="1">
      <c r="A143" s="15">
        <v>71</v>
      </c>
      <c r="C143" s="102" t="s">
        <v>8</v>
      </c>
      <c r="D143" s="320" t="str">
        <f>IF($P$7="","",$P$7)</f>
        <v/>
      </c>
      <c r="E143" s="25"/>
      <c r="F143" s="25"/>
      <c r="G143" s="25"/>
      <c r="H143" s="25"/>
      <c r="I143" s="25"/>
      <c r="J143" s="25"/>
      <c r="K143" s="25"/>
      <c r="L143" s="102" t="s">
        <v>9</v>
      </c>
      <c r="M143" s="321" t="str">
        <f>IF($X$7="","",$X$7)</f>
        <v>Eugene Mah</v>
      </c>
      <c r="O143" s="28"/>
      <c r="Q143" s="25" t="s">
        <v>753</v>
      </c>
      <c r="Y143" s="30"/>
      <c r="AA143" s="33" t="s">
        <v>569</v>
      </c>
    </row>
    <row r="144" spans="1:30" ht="14.1" customHeight="1">
      <c r="A144" s="15">
        <v>72</v>
      </c>
      <c r="C144" s="102" t="s">
        <v>111</v>
      </c>
      <c r="D144" s="321" t="str">
        <f>IF($R$14="","",$R$14)</f>
        <v/>
      </c>
      <c r="E144" s="25"/>
      <c r="F144" s="25"/>
      <c r="G144" s="25"/>
      <c r="H144" s="25"/>
      <c r="I144" s="25"/>
      <c r="J144" s="25"/>
      <c r="K144" s="25"/>
      <c r="L144" s="102" t="s">
        <v>29</v>
      </c>
      <c r="M144" s="321" t="str">
        <f>IF($R$13="","",$R$13)</f>
        <v/>
      </c>
      <c r="O144" s="28"/>
      <c r="Y144" s="30"/>
      <c r="AA144" s="33" t="s">
        <v>177</v>
      </c>
      <c r="AB144" s="62"/>
      <c r="AD144" s="63" t="str">
        <f>IF(Q357="","",Q357)</f>
        <v/>
      </c>
    </row>
    <row r="145" spans="1:30" ht="14.1" customHeight="1">
      <c r="A145" s="15">
        <v>1</v>
      </c>
      <c r="M145" s="105" t="str">
        <f>$H$2</f>
        <v>Medical University of South Carolina</v>
      </c>
      <c r="O145" s="130" t="s">
        <v>195</v>
      </c>
      <c r="Y145" s="30"/>
      <c r="AA145" s="33" t="s">
        <v>179</v>
      </c>
      <c r="AB145" s="62"/>
      <c r="AD145" s="63" t="str">
        <f>IF(Q358="","",Q358)</f>
        <v/>
      </c>
    </row>
    <row r="146" spans="1:30" ht="14.1" customHeight="1" thickBot="1">
      <c r="A146" s="15">
        <v>2</v>
      </c>
      <c r="H146" s="49" t="s">
        <v>64</v>
      </c>
      <c r="M146" s="3" t="str">
        <f>$H$5</f>
        <v>Mammography System Compliance Inspection</v>
      </c>
      <c r="O146" s="28"/>
      <c r="P146" s="19" t="s">
        <v>196</v>
      </c>
      <c r="Q146" s="100" t="s">
        <v>197</v>
      </c>
      <c r="R146" s="100" t="s">
        <v>198</v>
      </c>
      <c r="Y146" s="30"/>
      <c r="AA146" s="33" t="s">
        <v>181</v>
      </c>
      <c r="AB146" s="62"/>
      <c r="AD146" s="63" t="str">
        <f>IF(Q359="","",Q359)</f>
        <v/>
      </c>
    </row>
    <row r="147" spans="1:30" ht="14.1" customHeight="1" thickTop="1" thickBot="1">
      <c r="A147" s="15">
        <v>3</v>
      </c>
      <c r="B147" s="55"/>
      <c r="C147" s="57" t="s">
        <v>190</v>
      </c>
      <c r="D147" s="56"/>
      <c r="E147" s="56"/>
      <c r="F147" s="56"/>
      <c r="G147" s="56"/>
      <c r="H147" s="56"/>
      <c r="I147" s="56"/>
      <c r="J147" s="56"/>
      <c r="K147" s="56"/>
      <c r="L147" s="56"/>
      <c r="M147" s="58"/>
      <c r="O147" s="28"/>
      <c r="P147" s="100">
        <v>1</v>
      </c>
      <c r="Q147" s="129"/>
      <c r="R147" s="131" t="str">
        <f t="shared" ref="R147:R154" si="15">IF(Q147="","",ABS(Q147-P147))</f>
        <v/>
      </c>
      <c r="Y147" s="30"/>
    </row>
    <row r="148" spans="1:30" ht="14.1" customHeight="1" thickBot="1">
      <c r="A148" s="15">
        <v>4</v>
      </c>
      <c r="B148" s="64"/>
      <c r="E148" s="33" t="s">
        <v>191</v>
      </c>
      <c r="F148" s="362" t="str">
        <f>IF(R139="","",R139)</f>
        <v/>
      </c>
      <c r="H148" s="33" t="s">
        <v>207</v>
      </c>
      <c r="I148" s="135" t="str">
        <f>IF(R141="","",R141)</f>
        <v/>
      </c>
      <c r="M148" s="65"/>
      <c r="O148" s="28"/>
      <c r="P148" s="100">
        <v>2</v>
      </c>
      <c r="Q148" s="129"/>
      <c r="R148" s="131" t="str">
        <f t="shared" si="15"/>
        <v/>
      </c>
      <c r="Y148" s="30"/>
    </row>
    <row r="149" spans="1:30" ht="14.1" customHeight="1" thickBot="1">
      <c r="A149" s="15">
        <v>5</v>
      </c>
      <c r="B149" s="64"/>
      <c r="E149" s="33" t="s">
        <v>192</v>
      </c>
      <c r="F149" s="322" t="str">
        <f>IF(R140="","",IF(R140=1,"Pass","Fail"))</f>
        <v/>
      </c>
      <c r="G149" s="100"/>
      <c r="H149" s="100"/>
      <c r="M149" s="65"/>
      <c r="O149" s="28"/>
      <c r="P149" s="100">
        <v>4</v>
      </c>
      <c r="Q149" s="129"/>
      <c r="R149" s="131" t="str">
        <f t="shared" si="15"/>
        <v/>
      </c>
      <c r="S149" s="33" t="s">
        <v>199</v>
      </c>
      <c r="T149" s="132" t="str">
        <f>IF(OR(Q149="",Q150="",Q151="",Q152=""),"",AVERAGE(Q149:Q152))</f>
        <v/>
      </c>
      <c r="Y149" s="30"/>
    </row>
    <row r="150" spans="1:30" ht="14.1" customHeight="1">
      <c r="A150" s="15">
        <v>6</v>
      </c>
      <c r="B150" s="64"/>
      <c r="D150" s="3" t="s">
        <v>193</v>
      </c>
      <c r="E150" s="25" t="s">
        <v>194</v>
      </c>
      <c r="G150" s="100"/>
      <c r="M150" s="65"/>
      <c r="O150" s="28"/>
      <c r="P150" s="100">
        <v>4</v>
      </c>
      <c r="Q150" s="129"/>
      <c r="R150" s="131" t="str">
        <f t="shared" si="15"/>
        <v/>
      </c>
      <c r="S150" s="33" t="s">
        <v>200</v>
      </c>
      <c r="T150" s="133" t="str">
        <f>IF(OR(Q149="",Q150="",Q151="",Q152=""),"",_xlfn.STDEV.S(Q149:Q152))</f>
        <v/>
      </c>
      <c r="Y150" s="30"/>
    </row>
    <row r="151" spans="1:30" ht="14.1" customHeight="1">
      <c r="A151" s="15">
        <v>7</v>
      </c>
      <c r="B151" s="64"/>
      <c r="E151" s="25" t="s">
        <v>753</v>
      </c>
      <c r="M151" s="65"/>
      <c r="O151" s="28"/>
      <c r="P151" s="100">
        <v>4</v>
      </c>
      <c r="Q151" s="129"/>
      <c r="R151" s="131" t="str">
        <f t="shared" si="15"/>
        <v/>
      </c>
      <c r="Y151" s="30"/>
      <c r="AA151"/>
      <c r="AB151"/>
      <c r="AC151"/>
      <c r="AD151"/>
    </row>
    <row r="152" spans="1:30" ht="14.1" customHeight="1">
      <c r="A152" s="15">
        <v>8</v>
      </c>
      <c r="B152" s="64"/>
      <c r="D152" s="25"/>
      <c r="E152" s="25"/>
      <c r="M152" s="65"/>
      <c r="O152" s="28"/>
      <c r="P152" s="100">
        <v>4</v>
      </c>
      <c r="Q152" s="129"/>
      <c r="R152" s="131" t="str">
        <f t="shared" si="15"/>
        <v/>
      </c>
      <c r="T152" s="3" t="s">
        <v>193</v>
      </c>
      <c r="U152" s="25" t="s">
        <v>201</v>
      </c>
      <c r="Y152" s="30"/>
      <c r="AA152"/>
      <c r="AB152"/>
      <c r="AC152"/>
      <c r="AD152"/>
    </row>
    <row r="153" spans="1:30" ht="14.1" customHeight="1" thickBot="1">
      <c r="A153" s="15">
        <v>9</v>
      </c>
      <c r="B153" s="64"/>
      <c r="C153" s="70" t="s">
        <v>195</v>
      </c>
      <c r="M153" s="65"/>
      <c r="O153" s="28"/>
      <c r="P153" s="100">
        <v>6</v>
      </c>
      <c r="Q153" s="129"/>
      <c r="R153" s="131" t="str">
        <f t="shared" si="15"/>
        <v/>
      </c>
      <c r="U153" s="25" t="s">
        <v>202</v>
      </c>
      <c r="Y153" s="30"/>
      <c r="AA153"/>
      <c r="AB153"/>
      <c r="AC153"/>
      <c r="AD153"/>
    </row>
    <row r="154" spans="1:30" ht="14.1" customHeight="1">
      <c r="A154" s="15">
        <v>10</v>
      </c>
      <c r="B154" s="64"/>
      <c r="C154" s="331" t="s">
        <v>196</v>
      </c>
      <c r="D154" s="305" t="s">
        <v>197</v>
      </c>
      <c r="E154" s="306" t="s">
        <v>198</v>
      </c>
      <c r="H154" s="4"/>
      <c r="I154" s="33" t="s">
        <v>211</v>
      </c>
      <c r="J154" s="97" t="str">
        <f>IF(O156="","TBD",IF(O156=1,"YES",IF(O156=3,"NA","")))</f>
        <v>TBD</v>
      </c>
      <c r="K154" s="97" t="str">
        <f>IF(O156=2,"NO","")</f>
        <v/>
      </c>
      <c r="M154" s="65"/>
      <c r="O154" s="28"/>
      <c r="P154" s="100">
        <v>8</v>
      </c>
      <c r="Q154" s="129"/>
      <c r="R154" s="131" t="str">
        <f t="shared" si="15"/>
        <v/>
      </c>
      <c r="Y154" s="30"/>
      <c r="AA154"/>
      <c r="AB154"/>
      <c r="AC154"/>
      <c r="AD154"/>
    </row>
    <row r="155" spans="1:30" ht="14.1" customHeight="1">
      <c r="A155" s="15">
        <v>11</v>
      </c>
      <c r="B155" s="64"/>
      <c r="C155" s="293">
        <v>1</v>
      </c>
      <c r="D155" s="260" t="str">
        <f t="shared" ref="D155:E162" si="16">IF(Q147="","",Q147)</f>
        <v/>
      </c>
      <c r="E155" s="294" t="str">
        <f t="shared" si="16"/>
        <v/>
      </c>
      <c r="H155" s="4"/>
      <c r="I155" s="33" t="s">
        <v>212</v>
      </c>
      <c r="J155" s="97" t="str">
        <f>IF(O157="","TBD",IF(O157=1,"YES",IF(O157=3,"NA","")))</f>
        <v>TBD</v>
      </c>
      <c r="K155" s="97" t="str">
        <f>IF(O157=2,"NO","")</f>
        <v/>
      </c>
      <c r="M155" s="65"/>
      <c r="O155" s="28" t="s">
        <v>66</v>
      </c>
      <c r="Y155" s="30"/>
    </row>
    <row r="156" spans="1:30" ht="14.1" customHeight="1">
      <c r="A156" s="15">
        <v>12</v>
      </c>
      <c r="B156" s="64"/>
      <c r="C156" s="293">
        <v>2</v>
      </c>
      <c r="D156" s="260" t="str">
        <f t="shared" si="16"/>
        <v/>
      </c>
      <c r="E156" s="294" t="str">
        <f t="shared" si="16"/>
        <v/>
      </c>
      <c r="I156" s="33" t="s">
        <v>204</v>
      </c>
      <c r="J156" s="97" t="str">
        <f>IF(S156="","TBD",S156)</f>
        <v>TBD</v>
      </c>
      <c r="M156" s="65"/>
      <c r="O156" s="91"/>
      <c r="P156" s="19" t="s">
        <v>203</v>
      </c>
      <c r="S156" s="131" t="str">
        <f>IF(R147="","",IF(OR(R147&gt;0.5,R148&gt;0.5,R149&gt;0.5,R150&gt;0.5,R151&gt;0.5,R152&gt;0.5,R153&gt;0.5,R154&gt;0.5),"Fail","Pass"))</f>
        <v/>
      </c>
      <c r="T156" s="34" t="s">
        <v>204</v>
      </c>
      <c r="Y156" s="30"/>
    </row>
    <row r="157" spans="1:30" ht="14.1" customHeight="1">
      <c r="A157" s="15">
        <v>13</v>
      </c>
      <c r="B157" s="64"/>
      <c r="C157" s="293">
        <v>4</v>
      </c>
      <c r="D157" s="260" t="str">
        <f t="shared" si="16"/>
        <v/>
      </c>
      <c r="E157" s="294" t="str">
        <f t="shared" si="16"/>
        <v/>
      </c>
      <c r="I157" s="33" t="s">
        <v>199</v>
      </c>
      <c r="J157" s="132" t="str">
        <f>IF(T149="","",T149)</f>
        <v/>
      </c>
      <c r="M157" s="65"/>
      <c r="O157" s="91"/>
      <c r="P157" s="19" t="s">
        <v>205</v>
      </c>
      <c r="Y157" s="30"/>
    </row>
    <row r="158" spans="1:30" ht="14.1" customHeight="1">
      <c r="A158" s="15">
        <v>14</v>
      </c>
      <c r="B158" s="64"/>
      <c r="C158" s="293">
        <v>4</v>
      </c>
      <c r="D158" s="260" t="str">
        <f t="shared" si="16"/>
        <v/>
      </c>
      <c r="E158" s="294" t="str">
        <f t="shared" si="16"/>
        <v/>
      </c>
      <c r="I158" s="33" t="s">
        <v>200</v>
      </c>
      <c r="J158" s="133" t="str">
        <f>IF(T150="","",T150)</f>
        <v/>
      </c>
      <c r="M158" s="65"/>
      <c r="O158" s="28"/>
      <c r="Y158" s="30"/>
    </row>
    <row r="159" spans="1:30" ht="14.1" customHeight="1">
      <c r="A159" s="15">
        <v>15</v>
      </c>
      <c r="B159" s="64"/>
      <c r="C159" s="293">
        <v>4</v>
      </c>
      <c r="D159" s="260" t="str">
        <f t="shared" si="16"/>
        <v/>
      </c>
      <c r="E159" s="294" t="str">
        <f t="shared" si="16"/>
        <v/>
      </c>
      <c r="M159" s="65"/>
      <c r="O159" s="130" t="s">
        <v>206</v>
      </c>
      <c r="Y159" s="30"/>
    </row>
    <row r="160" spans="1:30" ht="14.1" customHeight="1">
      <c r="A160" s="15">
        <v>16</v>
      </c>
      <c r="B160" s="64"/>
      <c r="C160" s="293">
        <v>4</v>
      </c>
      <c r="D160" s="260" t="str">
        <f t="shared" si="16"/>
        <v/>
      </c>
      <c r="E160" s="294" t="str">
        <f t="shared" si="16"/>
        <v/>
      </c>
      <c r="F160" s="3" t="s">
        <v>193</v>
      </c>
      <c r="G160" s="25" t="s">
        <v>201</v>
      </c>
      <c r="M160" s="65"/>
      <c r="O160" s="28"/>
      <c r="P160" s="33" t="s">
        <v>43</v>
      </c>
      <c r="Q160" s="136"/>
      <c r="R160" s="136"/>
      <c r="S160" s="136"/>
      <c r="T160" s="134"/>
      <c r="Y160" s="30"/>
    </row>
    <row r="161" spans="1:25" ht="14.1" customHeight="1">
      <c r="A161" s="15">
        <v>17</v>
      </c>
      <c r="B161" s="64"/>
      <c r="C161" s="293">
        <v>6</v>
      </c>
      <c r="D161" s="260" t="str">
        <f t="shared" si="16"/>
        <v/>
      </c>
      <c r="E161" s="294" t="str">
        <f t="shared" si="16"/>
        <v/>
      </c>
      <c r="F161" s="70"/>
      <c r="G161" s="25" t="s">
        <v>202</v>
      </c>
      <c r="M161" s="65"/>
      <c r="O161" s="28"/>
      <c r="P161" s="33" t="s">
        <v>45</v>
      </c>
      <c r="Q161" s="136"/>
      <c r="R161" s="136"/>
      <c r="S161" s="136"/>
      <c r="T161" s="134"/>
      <c r="Y161" s="30"/>
    </row>
    <row r="162" spans="1:25" ht="14.1" customHeight="1" thickBot="1">
      <c r="A162" s="15">
        <v>18</v>
      </c>
      <c r="B162" s="64"/>
      <c r="C162" s="300">
        <v>8</v>
      </c>
      <c r="D162" s="301" t="str">
        <f t="shared" si="16"/>
        <v/>
      </c>
      <c r="E162" s="303" t="str">
        <f t="shared" si="16"/>
        <v/>
      </c>
      <c r="M162" s="65"/>
      <c r="O162" s="28"/>
      <c r="P162" s="33" t="s">
        <v>760</v>
      </c>
      <c r="Q162" s="136"/>
      <c r="R162" s="136"/>
      <c r="S162" s="136"/>
      <c r="T162" s="134"/>
      <c r="Y162" s="30"/>
    </row>
    <row r="163" spans="1:25" ht="14.1" customHeight="1" thickBot="1">
      <c r="A163" s="15">
        <v>19</v>
      </c>
      <c r="B163" s="147"/>
      <c r="C163" s="39"/>
      <c r="D163" s="39"/>
      <c r="E163" s="39"/>
      <c r="F163" s="39"/>
      <c r="G163" s="39"/>
      <c r="H163" s="39"/>
      <c r="I163" s="39"/>
      <c r="J163" s="39"/>
      <c r="K163" s="39"/>
      <c r="L163" s="39"/>
      <c r="M163" s="148"/>
      <c r="O163" s="28"/>
      <c r="P163" s="33" t="s">
        <v>163</v>
      </c>
      <c r="Q163" s="136"/>
      <c r="R163" s="136"/>
      <c r="S163" s="136"/>
      <c r="T163" s="134"/>
      <c r="Y163" s="30"/>
    </row>
    <row r="164" spans="1:25" ht="14.1" customHeight="1" thickBot="1">
      <c r="A164" s="15">
        <v>20</v>
      </c>
      <c r="B164" s="64"/>
      <c r="C164" s="70" t="s">
        <v>206</v>
      </c>
      <c r="M164" s="65"/>
      <c r="O164" s="28"/>
      <c r="P164" s="33" t="s">
        <v>208</v>
      </c>
      <c r="Q164" s="136"/>
      <c r="R164" s="136"/>
      <c r="S164" s="136"/>
      <c r="T164" s="134"/>
      <c r="Y164" s="30"/>
    </row>
    <row r="165" spans="1:25" ht="14.1" customHeight="1">
      <c r="A165" s="15">
        <v>21</v>
      </c>
      <c r="B165" s="64"/>
      <c r="C165" s="33" t="s">
        <v>43</v>
      </c>
      <c r="D165" s="323" t="str">
        <f t="shared" ref="D165:F167" si="17">IF(Q160="","",Q160)</f>
        <v/>
      </c>
      <c r="E165" s="324" t="str">
        <f t="shared" si="17"/>
        <v/>
      </c>
      <c r="F165" s="325" t="str">
        <f t="shared" si="17"/>
        <v/>
      </c>
      <c r="H165" s="100" t="str">
        <f>IF(T160="","",T160)</f>
        <v/>
      </c>
      <c r="M165" s="65"/>
      <c r="O165" s="28"/>
      <c r="P165" s="33" t="s">
        <v>209</v>
      </c>
      <c r="Q165" s="136"/>
      <c r="R165" s="136"/>
      <c r="S165" s="136"/>
      <c r="T165" s="134"/>
      <c r="Y165" s="30"/>
    </row>
    <row r="166" spans="1:25" ht="14.1" customHeight="1">
      <c r="A166" s="15">
        <v>22</v>
      </c>
      <c r="B166" s="64"/>
      <c r="C166" s="33" t="s">
        <v>45</v>
      </c>
      <c r="D166" s="326" t="str">
        <f t="shared" si="17"/>
        <v/>
      </c>
      <c r="E166" s="10" t="str">
        <f t="shared" si="17"/>
        <v/>
      </c>
      <c r="F166" s="327" t="str">
        <f t="shared" si="17"/>
        <v/>
      </c>
      <c r="H166" s="100" t="str">
        <f>IF(T160="","",T160)</f>
        <v/>
      </c>
      <c r="M166" s="65"/>
      <c r="O166" s="28"/>
      <c r="P166" s="33" t="s">
        <v>207</v>
      </c>
      <c r="Q166" s="136"/>
      <c r="R166" s="136"/>
      <c r="S166" s="136"/>
      <c r="T166" s="4"/>
      <c r="Y166" s="30"/>
    </row>
    <row r="167" spans="1:25" ht="14.1" customHeight="1">
      <c r="A167" s="15">
        <v>23</v>
      </c>
      <c r="B167" s="64"/>
      <c r="C167" s="33" t="s">
        <v>760</v>
      </c>
      <c r="D167" s="326" t="str">
        <f t="shared" si="17"/>
        <v/>
      </c>
      <c r="E167" s="10" t="str">
        <f t="shared" si="17"/>
        <v/>
      </c>
      <c r="F167" s="327" t="str">
        <f t="shared" si="17"/>
        <v/>
      </c>
      <c r="H167" s="100" t="str">
        <f>IF(T161="","",T161)</f>
        <v/>
      </c>
      <c r="M167" s="65"/>
      <c r="O167" s="28"/>
      <c r="P167" s="3" t="s">
        <v>193</v>
      </c>
      <c r="Q167" s="671" t="s">
        <v>210</v>
      </c>
      <c r="R167" s="4"/>
      <c r="S167" s="4"/>
      <c r="T167" s="4"/>
      <c r="Y167" s="30"/>
    </row>
    <row r="168" spans="1:25" ht="14.1" customHeight="1">
      <c r="A168" s="15">
        <v>24</v>
      </c>
      <c r="B168" s="64"/>
      <c r="C168" s="33" t="s">
        <v>228</v>
      </c>
      <c r="D168" s="326" t="str">
        <f>IF(Q163="","",Q163)</f>
        <v/>
      </c>
      <c r="E168" s="10" t="str">
        <f>IF(R163="","",R163)</f>
        <v/>
      </c>
      <c r="F168" s="327" t="str">
        <f>IF(S163="","",S163)</f>
        <v/>
      </c>
      <c r="H168" s="100" t="str">
        <f>IF(T162="","",T162)</f>
        <v/>
      </c>
      <c r="M168" s="65"/>
      <c r="O168" s="28"/>
      <c r="P168" s="102" t="s">
        <v>213</v>
      </c>
      <c r="Q168" s="137" t="str">
        <f>IF(Q170&lt;&gt;"",Q170,IF(AB190="","",AB190))</f>
        <v/>
      </c>
      <c r="R168" s="138"/>
      <c r="S168" s="138"/>
      <c r="T168" s="138"/>
      <c r="U168" s="138"/>
      <c r="V168" s="138"/>
      <c r="W168" s="138"/>
      <c r="X168" s="138"/>
      <c r="Y168" s="30"/>
    </row>
    <row r="169" spans="1:25" ht="14.1" customHeight="1">
      <c r="A169" s="15">
        <v>25</v>
      </c>
      <c r="B169" s="64"/>
      <c r="C169" s="33" t="s">
        <v>163</v>
      </c>
      <c r="D169" s="326" t="str">
        <f t="shared" ref="D169:F172" si="18">IF(Q163="","",Q163)</f>
        <v/>
      </c>
      <c r="E169" s="10" t="str">
        <f t="shared" si="18"/>
        <v/>
      </c>
      <c r="F169" s="327" t="str">
        <f t="shared" si="18"/>
        <v/>
      </c>
      <c r="H169" s="100" t="str">
        <f>IF(T162="","",T162)</f>
        <v/>
      </c>
      <c r="M169" s="65"/>
      <c r="O169" s="28"/>
      <c r="P169" s="139" t="s">
        <v>214</v>
      </c>
      <c r="Q169" s="140"/>
      <c r="R169" s="141"/>
      <c r="S169" s="141"/>
      <c r="T169" s="141"/>
      <c r="U169" s="141"/>
      <c r="V169" s="141"/>
      <c r="W169" s="141"/>
      <c r="X169" s="141"/>
      <c r="Y169" s="30"/>
    </row>
    <row r="170" spans="1:25" ht="14.1" customHeight="1">
      <c r="A170" s="15">
        <v>26</v>
      </c>
      <c r="B170" s="64"/>
      <c r="C170" s="33" t="s">
        <v>208</v>
      </c>
      <c r="D170" s="326" t="str">
        <f t="shared" si="18"/>
        <v/>
      </c>
      <c r="E170" s="10" t="str">
        <f t="shared" si="18"/>
        <v/>
      </c>
      <c r="F170" s="327" t="str">
        <f t="shared" si="18"/>
        <v/>
      </c>
      <c r="H170" s="100" t="str">
        <f>IF(T163="","",T163)</f>
        <v/>
      </c>
      <c r="M170" s="65"/>
      <c r="O170" s="28"/>
      <c r="P170" s="102" t="s">
        <v>215</v>
      </c>
      <c r="Q170" s="142"/>
      <c r="R170" s="141"/>
      <c r="S170" s="141"/>
      <c r="T170" s="141"/>
      <c r="U170" s="141"/>
      <c r="V170" s="141"/>
      <c r="W170" s="141"/>
      <c r="X170" s="141"/>
      <c r="Y170" s="30"/>
    </row>
    <row r="171" spans="1:25" ht="14.1" customHeight="1" thickBot="1">
      <c r="A171" s="15">
        <v>27</v>
      </c>
      <c r="B171" s="64"/>
      <c r="C171" s="33" t="s">
        <v>209</v>
      </c>
      <c r="D171" s="326" t="str">
        <f t="shared" si="18"/>
        <v/>
      </c>
      <c r="E171" s="10" t="str">
        <f t="shared" si="18"/>
        <v/>
      </c>
      <c r="F171" s="327" t="str">
        <f t="shared" si="18"/>
        <v/>
      </c>
      <c r="H171" s="100" t="str">
        <f>IF(T164="","",T164)</f>
        <v/>
      </c>
      <c r="M171" s="65"/>
      <c r="O171" s="38"/>
      <c r="P171" s="39"/>
      <c r="Q171" s="39"/>
      <c r="R171" s="39"/>
      <c r="S171" s="39"/>
      <c r="T171" s="39"/>
      <c r="U171" s="39"/>
      <c r="V171" s="39"/>
      <c r="W171" s="39"/>
      <c r="X171" s="39"/>
      <c r="Y171" s="40"/>
    </row>
    <row r="172" spans="1:25" ht="14.1" customHeight="1" thickBot="1">
      <c r="A172" s="15">
        <v>28</v>
      </c>
      <c r="B172" s="64"/>
      <c r="C172" s="33" t="s">
        <v>207</v>
      </c>
      <c r="D172" s="328" t="str">
        <f t="shared" si="18"/>
        <v/>
      </c>
      <c r="E172" s="329" t="str">
        <f t="shared" si="18"/>
        <v/>
      </c>
      <c r="F172" s="330" t="str">
        <f t="shared" si="18"/>
        <v/>
      </c>
      <c r="H172" s="100" t="str">
        <f>IF(T165="","",T165)</f>
        <v/>
      </c>
      <c r="M172" s="65"/>
      <c r="O172" s="130" t="s">
        <v>216</v>
      </c>
      <c r="R172" s="129">
        <v>1</v>
      </c>
      <c r="S172" s="19" t="s">
        <v>66</v>
      </c>
      <c r="Y172" s="30"/>
    </row>
    <row r="173" spans="1:25" ht="14.1" customHeight="1">
      <c r="A173" s="15">
        <v>29</v>
      </c>
      <c r="B173" s="64"/>
      <c r="C173" s="3" t="s">
        <v>193</v>
      </c>
      <c r="D173" s="671" t="s">
        <v>210</v>
      </c>
      <c r="M173" s="65"/>
      <c r="O173" s="28"/>
      <c r="P173" s="759" t="s">
        <v>217</v>
      </c>
      <c r="Q173" s="759"/>
      <c r="R173" s="759"/>
      <c r="S173" s="759"/>
      <c r="U173" s="100" t="s">
        <v>218</v>
      </c>
      <c r="V173" s="100"/>
      <c r="Y173" s="30"/>
    </row>
    <row r="174" spans="1:25" ht="14.1" customHeight="1">
      <c r="A174" s="15">
        <v>30</v>
      </c>
      <c r="B174" s="64"/>
      <c r="D174" s="102" t="str">
        <f>P168</f>
        <v>Comments:</v>
      </c>
      <c r="E174" s="104" t="str">
        <f>IF(Q168="","",IF(LEN(Q168)&lt;=135,Q168,IF(LEN(Q168)&lt;=260,LEFT(Q168,SEARCH(" ",Q168,125)),LEFT(Q168,SEARCH(" ",Q168,130)))))</f>
        <v/>
      </c>
      <c r="F174" s="103"/>
      <c r="G174" s="103"/>
      <c r="H174" s="103"/>
      <c r="I174" s="103"/>
      <c r="J174" s="103"/>
      <c r="K174" s="103"/>
      <c r="L174" s="103"/>
      <c r="M174" s="156"/>
      <c r="O174" s="28"/>
      <c r="P174" s="143" t="s">
        <v>219</v>
      </c>
      <c r="Q174" s="143" t="s">
        <v>220</v>
      </c>
      <c r="R174" s="143" t="s">
        <v>221</v>
      </c>
      <c r="S174" s="144" t="s">
        <v>222</v>
      </c>
      <c r="U174" s="272" t="s">
        <v>223</v>
      </c>
      <c r="V174" s="100"/>
      <c r="Y174" s="30"/>
    </row>
    <row r="175" spans="1:25" ht="14.1" customHeight="1">
      <c r="A175" s="15">
        <v>31</v>
      </c>
      <c r="B175" s="64"/>
      <c r="D175" s="25"/>
      <c r="E175" s="160" t="str">
        <f>IF(LEN(Q168)&lt;=135,"",IF(LEN(Q168)&lt;=260,RIGHT(Q168,LEN(Q168)-SEARCH(" ",Q168,125)),MID(Q168,SEARCH(" ",Q168,130),IF(LEN(Q168)&lt;=265,LEN(Q168),SEARCH(" ",Q168,255)-SEARCH(" ",Q168,130)))))</f>
        <v/>
      </c>
      <c r="F175" s="161"/>
      <c r="G175" s="161"/>
      <c r="H175" s="161"/>
      <c r="I175" s="161"/>
      <c r="J175" s="161"/>
      <c r="K175" s="161"/>
      <c r="L175" s="161"/>
      <c r="M175" s="162"/>
      <c r="O175" s="28"/>
      <c r="P175" s="145" t="str">
        <f>IF(Sheet2!M4="","",Sheet2!M4-Sheet2!$M$8)</f>
        <v/>
      </c>
      <c r="Q175" s="145" t="str">
        <f>IF(Sheet2!M5="","",Sheet2!M5-Sheet2!$M$8)</f>
        <v/>
      </c>
      <c r="R175" s="145" t="str">
        <f>IF(Sheet2!M6="","",Sheet2!M6-Sheet2!$M$8)</f>
        <v/>
      </c>
      <c r="S175" s="146" t="str">
        <f>IF(Sheet2!M7="","",Sheet2!M7-Sheet2!$M$8)</f>
        <v/>
      </c>
      <c r="U175" s="271" t="str">
        <f>IF(OR(R172=2,R172=3),"NA",IF(OR(P175="",Q175="",R175="",S175=""),"",AVERAGE(P175:S175)))</f>
        <v/>
      </c>
      <c r="V175" s="101"/>
      <c r="W175" s="33" t="s">
        <v>207</v>
      </c>
      <c r="X175" s="260" t="str">
        <f>IF($R$172=1,IF(U175="","",IF(U175&gt;=160,"YES","NO")),"NA")</f>
        <v/>
      </c>
      <c r="Y175" s="30"/>
    </row>
    <row r="176" spans="1:25" ht="14.1" customHeight="1">
      <c r="A176" s="15">
        <v>32</v>
      </c>
      <c r="B176" s="64"/>
      <c r="D176" s="25"/>
      <c r="E176" s="160" t="str">
        <f>IF(LEN(Q168)&lt;=265,"",RIGHT(Q168,LEN(Q168)-SEARCH(" ",Q168,255)))</f>
        <v/>
      </c>
      <c r="F176" s="161"/>
      <c r="G176" s="161"/>
      <c r="H176" s="161"/>
      <c r="I176" s="161"/>
      <c r="J176" s="161"/>
      <c r="K176" s="161"/>
      <c r="L176" s="161"/>
      <c r="M176" s="162"/>
      <c r="O176" s="28"/>
      <c r="P176" s="3" t="s">
        <v>193</v>
      </c>
      <c r="Q176" s="25" t="s">
        <v>224</v>
      </c>
      <c r="Y176" s="30"/>
    </row>
    <row r="177" spans="1:25" ht="14.1" customHeight="1" thickBot="1">
      <c r="A177" s="15">
        <v>33</v>
      </c>
      <c r="B177" s="147"/>
      <c r="C177" s="39"/>
      <c r="D177" s="39"/>
      <c r="E177" s="39"/>
      <c r="F177" s="39"/>
      <c r="G177" s="39"/>
      <c r="H177" s="39"/>
      <c r="I177" s="39"/>
      <c r="J177" s="39"/>
      <c r="K177" s="39"/>
      <c r="L177" s="39"/>
      <c r="M177" s="148"/>
      <c r="O177" s="28"/>
      <c r="P177" s="4"/>
      <c r="Q177" s="4"/>
      <c r="R177" s="4"/>
      <c r="S177" s="4"/>
      <c r="T177" s="4"/>
      <c r="U177" s="4"/>
      <c r="V177" s="4"/>
      <c r="W177" s="4"/>
      <c r="Y177" s="30"/>
    </row>
    <row r="178" spans="1:25" ht="14.1" customHeight="1">
      <c r="A178" s="15">
        <v>34</v>
      </c>
      <c r="B178" s="64"/>
      <c r="C178" s="70" t="s">
        <v>216</v>
      </c>
      <c r="M178" s="65"/>
      <c r="O178" s="130" t="s">
        <v>225</v>
      </c>
      <c r="Y178" s="30"/>
    </row>
    <row r="179" spans="1:25" ht="14.1" customHeight="1">
      <c r="A179" s="15">
        <v>35</v>
      </c>
      <c r="B179" s="64"/>
      <c r="D179" s="759" t="s">
        <v>217</v>
      </c>
      <c r="E179" s="759"/>
      <c r="F179" s="759"/>
      <c r="G179" s="759"/>
      <c r="I179" s="100" t="s">
        <v>218</v>
      </c>
      <c r="J179" s="100"/>
      <c r="M179" s="65"/>
      <c r="O179" s="149"/>
      <c r="P179" s="33" t="s">
        <v>85</v>
      </c>
      <c r="Q179" s="129"/>
      <c r="T179" s="33" t="s">
        <v>85</v>
      </c>
      <c r="U179" s="129"/>
      <c r="V179" s="4"/>
      <c r="X179" s="4"/>
      <c r="Y179" s="30"/>
    </row>
    <row r="180" spans="1:25" ht="14.1" customHeight="1" thickBot="1">
      <c r="A180" s="15">
        <v>36</v>
      </c>
      <c r="B180" s="64"/>
      <c r="D180" s="143" t="s">
        <v>219</v>
      </c>
      <c r="E180" s="143" t="s">
        <v>220</v>
      </c>
      <c r="F180" s="143" t="s">
        <v>221</v>
      </c>
      <c r="G180" s="144" t="s">
        <v>222</v>
      </c>
      <c r="I180" s="144" t="s">
        <v>223</v>
      </c>
      <c r="J180" s="134"/>
      <c r="M180" s="65"/>
      <c r="O180" s="149"/>
      <c r="P180" s="33" t="s">
        <v>163</v>
      </c>
      <c r="Q180" s="129"/>
      <c r="R180" s="4"/>
      <c r="S180" s="4"/>
      <c r="T180" s="33" t="s">
        <v>163</v>
      </c>
      <c r="U180" s="129"/>
      <c r="V180" s="4"/>
      <c r="W180" s="4"/>
      <c r="X180" s="4"/>
      <c r="Y180" s="30"/>
    </row>
    <row r="181" spans="1:25" ht="14.1" customHeight="1" thickBot="1">
      <c r="A181" s="15">
        <v>37</v>
      </c>
      <c r="B181" s="64"/>
      <c r="D181" s="164" t="str">
        <f>IF(P175="","",P175)</f>
        <v/>
      </c>
      <c r="E181" s="164" t="str">
        <f>IF(Q175="","",Q175)</f>
        <v/>
      </c>
      <c r="F181" s="164" t="str">
        <f>IF(R175="","",R175)</f>
        <v/>
      </c>
      <c r="G181" s="165" t="str">
        <f>IF(S175="","",S175)</f>
        <v/>
      </c>
      <c r="I181" s="66" t="str">
        <f>IF(U175="","",U175)</f>
        <v/>
      </c>
      <c r="J181" s="315"/>
      <c r="K181" s="33" t="s">
        <v>207</v>
      </c>
      <c r="L181" s="135" t="str">
        <f>IF(X175="","",X175)</f>
        <v/>
      </c>
      <c r="M181" s="65"/>
      <c r="O181" s="149"/>
      <c r="P181" s="33" t="s">
        <v>208</v>
      </c>
      <c r="Q181" s="129"/>
      <c r="R181" s="4"/>
      <c r="S181" s="4"/>
      <c r="T181" s="33" t="s">
        <v>208</v>
      </c>
      <c r="U181" s="129"/>
      <c r="V181" s="4"/>
      <c r="W181" s="4"/>
      <c r="X181" s="4"/>
      <c r="Y181" s="30"/>
    </row>
    <row r="182" spans="1:25" ht="14.1" customHeight="1">
      <c r="A182" s="15">
        <v>38</v>
      </c>
      <c r="B182" s="64"/>
      <c r="D182" s="3" t="s">
        <v>193</v>
      </c>
      <c r="E182" s="96" t="s">
        <v>242</v>
      </c>
      <c r="M182" s="65"/>
      <c r="O182" s="28"/>
      <c r="Q182" s="759" t="s">
        <v>229</v>
      </c>
      <c r="R182" s="759"/>
      <c r="S182" s="759"/>
      <c r="T182" s="4"/>
      <c r="U182" s="759" t="s">
        <v>229</v>
      </c>
      <c r="V182" s="759"/>
      <c r="W182" s="759"/>
      <c r="X182" s="4"/>
      <c r="Y182" s="30"/>
    </row>
    <row r="183" spans="1:25" ht="14.1" customHeight="1" thickBot="1">
      <c r="A183" s="15">
        <v>39</v>
      </c>
      <c r="B183" s="147"/>
      <c r="C183" s="39"/>
      <c r="D183" s="39"/>
      <c r="E183" s="39"/>
      <c r="F183" s="39"/>
      <c r="G183" s="39"/>
      <c r="H183" s="39"/>
      <c r="I183" s="39"/>
      <c r="J183" s="39"/>
      <c r="K183" s="39"/>
      <c r="L183" s="39"/>
      <c r="M183" s="148"/>
      <c r="O183" s="28"/>
      <c r="Q183" s="100" t="s">
        <v>230</v>
      </c>
      <c r="R183" s="100" t="s">
        <v>231</v>
      </c>
      <c r="S183" s="100" t="s">
        <v>232</v>
      </c>
      <c r="T183" s="4"/>
      <c r="U183" s="100" t="s">
        <v>230</v>
      </c>
      <c r="V183" s="100" t="s">
        <v>231</v>
      </c>
      <c r="W183" s="100" t="s">
        <v>232</v>
      </c>
      <c r="X183" s="4"/>
      <c r="Y183" s="30"/>
    </row>
    <row r="184" spans="1:25" ht="14.1" customHeight="1">
      <c r="A184" s="15">
        <v>40</v>
      </c>
      <c r="B184" s="411"/>
      <c r="C184" s="60" t="s">
        <v>225</v>
      </c>
      <c r="D184" s="21"/>
      <c r="E184" s="21"/>
      <c r="F184" s="21"/>
      <c r="G184" s="60"/>
      <c r="H184" s="60" t="s">
        <v>241</v>
      </c>
      <c r="I184" s="21"/>
      <c r="J184" s="21"/>
      <c r="K184" s="21"/>
      <c r="L184" s="21"/>
      <c r="M184" s="393"/>
      <c r="O184" s="149"/>
      <c r="P184" s="33" t="s">
        <v>233</v>
      </c>
      <c r="Q184" s="150"/>
      <c r="R184" s="151"/>
      <c r="S184" s="152"/>
      <c r="T184" s="4"/>
      <c r="U184" s="150"/>
      <c r="V184" s="151"/>
      <c r="W184" s="152"/>
      <c r="X184" s="4"/>
      <c r="Y184" s="30"/>
    </row>
    <row r="185" spans="1:25" ht="14.1" customHeight="1" thickBot="1">
      <c r="A185" s="15">
        <v>41</v>
      </c>
      <c r="B185" s="64"/>
      <c r="C185" s="33" t="s">
        <v>85</v>
      </c>
      <c r="D185" s="100" t="str">
        <f>IF(Q179="","",Q179)</f>
        <v/>
      </c>
      <c r="H185" s="33" t="s">
        <v>85</v>
      </c>
      <c r="I185" s="100" t="str">
        <f>IF(Q179="","",Q179)</f>
        <v/>
      </c>
      <c r="K185" s="33" t="s">
        <v>85</v>
      </c>
      <c r="L185" s="100" t="str">
        <f>IF(U179="","",U179)</f>
        <v/>
      </c>
      <c r="M185" s="65"/>
      <c r="O185" s="149"/>
      <c r="P185" s="33" t="s">
        <v>234</v>
      </c>
      <c r="Q185" s="153"/>
      <c r="R185" s="154"/>
      <c r="S185" s="155"/>
      <c r="T185" s="4"/>
      <c r="U185" s="153"/>
      <c r="V185" s="154"/>
      <c r="W185" s="155"/>
      <c r="X185" s="4"/>
      <c r="Y185" s="30"/>
    </row>
    <row r="186" spans="1:25" ht="14.1" customHeight="1">
      <c r="A186" s="15">
        <v>42</v>
      </c>
      <c r="B186" s="64"/>
      <c r="C186" s="100"/>
      <c r="D186" s="763" t="s">
        <v>229</v>
      </c>
      <c r="E186" s="764"/>
      <c r="F186" s="765"/>
      <c r="G186" s="33"/>
      <c r="H186" s="763" t="s">
        <v>229</v>
      </c>
      <c r="I186" s="764"/>
      <c r="J186" s="765"/>
      <c r="K186" s="763" t="s">
        <v>229</v>
      </c>
      <c r="L186" s="764"/>
      <c r="M186" s="766"/>
      <c r="O186" s="149"/>
      <c r="P186" s="33" t="s">
        <v>235</v>
      </c>
      <c r="Q186" s="153"/>
      <c r="R186" s="154"/>
      <c r="S186" s="155"/>
      <c r="T186" s="4"/>
      <c r="U186" s="153"/>
      <c r="V186" s="154"/>
      <c r="W186" s="155"/>
      <c r="X186" s="4"/>
      <c r="Y186" s="30"/>
    </row>
    <row r="187" spans="1:25" ht="14.1" customHeight="1" thickBot="1">
      <c r="A187" s="15">
        <v>43</v>
      </c>
      <c r="B187" s="64"/>
      <c r="C187" s="4"/>
      <c r="D187" s="293" t="s">
        <v>230</v>
      </c>
      <c r="E187" s="260" t="s">
        <v>231</v>
      </c>
      <c r="F187" s="294" t="s">
        <v>232</v>
      </c>
      <c r="G187" s="100"/>
      <c r="H187" s="293" t="s">
        <v>230</v>
      </c>
      <c r="I187" s="260" t="s">
        <v>231</v>
      </c>
      <c r="J187" s="294" t="s">
        <v>232</v>
      </c>
      <c r="K187" s="293" t="s">
        <v>230</v>
      </c>
      <c r="L187" s="260" t="s">
        <v>231</v>
      </c>
      <c r="M187" s="412" t="s">
        <v>232</v>
      </c>
      <c r="O187" s="149"/>
      <c r="P187" s="33" t="s">
        <v>236</v>
      </c>
      <c r="Q187" s="157"/>
      <c r="R187" s="158"/>
      <c r="S187" s="159"/>
      <c r="T187" s="4"/>
      <c r="U187" s="157"/>
      <c r="V187" s="158"/>
      <c r="W187" s="159"/>
      <c r="Y187" s="30"/>
    </row>
    <row r="188" spans="1:25" ht="14.1" customHeight="1">
      <c r="A188" s="15">
        <v>44</v>
      </c>
      <c r="B188" s="64"/>
      <c r="C188" s="33" t="s">
        <v>233</v>
      </c>
      <c r="D188" s="293" t="str">
        <f>IF(Q184="","",Q184)</f>
        <v/>
      </c>
      <c r="E188" s="260" t="str">
        <f t="shared" ref="E188:F188" si="19">IF(R184="","",R184)</f>
        <v/>
      </c>
      <c r="F188" s="294" t="str">
        <f t="shared" si="19"/>
        <v/>
      </c>
      <c r="G188" s="302" t="s">
        <v>233</v>
      </c>
      <c r="H188" s="295" t="str">
        <f t="shared" ref="H188:J193" si="20">IF(Q196="","",Q196)</f>
        <v/>
      </c>
      <c r="I188" s="292" t="str">
        <f t="shared" si="20"/>
        <v/>
      </c>
      <c r="J188" s="296" t="str">
        <f t="shared" si="20"/>
        <v/>
      </c>
      <c r="K188" s="293" t="str">
        <f t="shared" ref="K188:M193" si="21">IF(U196="","",U196)</f>
        <v/>
      </c>
      <c r="L188" s="260" t="str">
        <f t="shared" si="21"/>
        <v/>
      </c>
      <c r="M188" s="412" t="str">
        <f t="shared" si="21"/>
        <v/>
      </c>
      <c r="O188" s="149"/>
      <c r="P188" s="33" t="s">
        <v>237</v>
      </c>
      <c r="Q188" s="187" t="str">
        <f>IF(OR(Q184="",Q185=""),"",ABS(Q184)+ABS(Q185))</f>
        <v/>
      </c>
      <c r="R188" s="188" t="str">
        <f>IF(OR(R184="",R185=""),"",ABS(R184)+ABS(R185))</f>
        <v/>
      </c>
      <c r="S188" s="163" t="str">
        <f>IF(OR(S184="",S185=""),"",ABS(S184)+ABS(S185))</f>
        <v/>
      </c>
      <c r="U188" s="187" t="str">
        <f>IF(OR(U184="",U185=""),"",ABS(U184)+ABS(U185))</f>
        <v/>
      </c>
      <c r="V188" s="188" t="str">
        <f>IF(OR(V184="",V185=""),"",ABS(V184)+ABS(V185))</f>
        <v/>
      </c>
      <c r="W188" s="163" t="str">
        <f>IF(OR(W184="",W185=""),"",ABS(W184)+ABS(W185))</f>
        <v/>
      </c>
      <c r="Y188" s="30"/>
    </row>
    <row r="189" spans="1:25" ht="14.1" customHeight="1" thickBot="1">
      <c r="A189" s="15">
        <v>45</v>
      </c>
      <c r="B189" s="64"/>
      <c r="C189" s="33" t="s">
        <v>234</v>
      </c>
      <c r="D189" s="293" t="str">
        <f t="shared" ref="D189:F193" si="22">IF(Q185="","",Q185)</f>
        <v/>
      </c>
      <c r="E189" s="260" t="str">
        <f t="shared" si="22"/>
        <v/>
      </c>
      <c r="F189" s="294" t="str">
        <f t="shared" si="22"/>
        <v/>
      </c>
      <c r="G189" s="302" t="s">
        <v>234</v>
      </c>
      <c r="H189" s="295" t="str">
        <f t="shared" si="20"/>
        <v/>
      </c>
      <c r="I189" s="292" t="str">
        <f t="shared" si="20"/>
        <v/>
      </c>
      <c r="J189" s="296" t="str">
        <f t="shared" si="20"/>
        <v/>
      </c>
      <c r="K189" s="293" t="str">
        <f t="shared" si="21"/>
        <v/>
      </c>
      <c r="L189" s="260" t="str">
        <f t="shared" si="21"/>
        <v/>
      </c>
      <c r="M189" s="412" t="str">
        <f t="shared" si="21"/>
        <v/>
      </c>
      <c r="O189" s="149"/>
      <c r="P189" s="33" t="s">
        <v>238</v>
      </c>
      <c r="Q189" s="190" t="str">
        <f>IF(OR(Q186="",Q187=""),"",ABS(Q186)+ABS(Q187))</f>
        <v/>
      </c>
      <c r="R189" s="94" t="str">
        <f>IF(OR(R186="",R187=""),"",ABS(R186)+ABS(R187))</f>
        <v/>
      </c>
      <c r="S189" s="95" t="str">
        <f>IF(OR(S186="",S187=""),"",ABS(S186)+ABS(S187))</f>
        <v/>
      </c>
      <c r="U189" s="190" t="str">
        <f>IF(OR(U186="",U187=""),"",ABS(U186)+ABS(U187))</f>
        <v/>
      </c>
      <c r="V189" s="94" t="str">
        <f>IF(OR(V186="",V187=""),"",ABS(V186)+ABS(V187))</f>
        <v/>
      </c>
      <c r="W189" s="95" t="str">
        <f>IF(OR(W186="",W187=""),"",ABS(W186)+ABS(W187))</f>
        <v/>
      </c>
      <c r="Y189" s="30"/>
    </row>
    <row r="190" spans="1:25" ht="14.1" customHeight="1">
      <c r="A190" s="15">
        <v>46</v>
      </c>
      <c r="B190" s="64"/>
      <c r="C190" s="33" t="s">
        <v>235</v>
      </c>
      <c r="D190" s="293" t="str">
        <f t="shared" si="22"/>
        <v/>
      </c>
      <c r="E190" s="260" t="str">
        <f t="shared" si="22"/>
        <v/>
      </c>
      <c r="F190" s="294" t="str">
        <f t="shared" si="22"/>
        <v/>
      </c>
      <c r="G190" s="302" t="s">
        <v>235</v>
      </c>
      <c r="H190" s="295" t="str">
        <f t="shared" si="20"/>
        <v/>
      </c>
      <c r="I190" s="292" t="str">
        <f t="shared" si="20"/>
        <v/>
      </c>
      <c r="J190" s="296" t="str">
        <f t="shared" si="20"/>
        <v/>
      </c>
      <c r="K190" s="293" t="str">
        <f t="shared" si="21"/>
        <v/>
      </c>
      <c r="L190" s="260" t="str">
        <f t="shared" si="21"/>
        <v/>
      </c>
      <c r="M190" s="412" t="str">
        <f t="shared" si="21"/>
        <v/>
      </c>
      <c r="O190" s="28"/>
      <c r="P190" s="3" t="s">
        <v>193</v>
      </c>
      <c r="Q190" s="25" t="s">
        <v>606</v>
      </c>
      <c r="R190" s="4"/>
      <c r="X190" s="4"/>
      <c r="Y190" s="30"/>
    </row>
    <row r="191" spans="1:25" ht="14.1" customHeight="1" thickBot="1">
      <c r="A191" s="15">
        <v>47</v>
      </c>
      <c r="B191" s="64"/>
      <c r="C191" s="33" t="s">
        <v>236</v>
      </c>
      <c r="D191" s="300" t="str">
        <f t="shared" si="22"/>
        <v/>
      </c>
      <c r="E191" s="301" t="str">
        <f t="shared" si="22"/>
        <v/>
      </c>
      <c r="F191" s="303" t="str">
        <f t="shared" si="22"/>
        <v/>
      </c>
      <c r="G191" s="302" t="s">
        <v>236</v>
      </c>
      <c r="H191" s="297" t="str">
        <f t="shared" si="20"/>
        <v/>
      </c>
      <c r="I191" s="298" t="str">
        <f t="shared" si="20"/>
        <v/>
      </c>
      <c r="J191" s="299" t="str">
        <f t="shared" si="20"/>
        <v/>
      </c>
      <c r="K191" s="300" t="str">
        <f t="shared" si="21"/>
        <v/>
      </c>
      <c r="L191" s="301" t="str">
        <f t="shared" si="21"/>
        <v/>
      </c>
      <c r="M191" s="413" t="str">
        <f t="shared" si="21"/>
        <v/>
      </c>
      <c r="O191" s="28"/>
      <c r="P191" s="25"/>
      <c r="Q191" s="25" t="s">
        <v>607</v>
      </c>
      <c r="R191" s="4"/>
      <c r="S191" s="4"/>
      <c r="T191" s="4"/>
      <c r="U191" s="4"/>
      <c r="V191" s="4"/>
      <c r="W191" s="4"/>
      <c r="X191" s="4"/>
      <c r="Y191" s="30"/>
    </row>
    <row r="192" spans="1:25" ht="14.1" customHeight="1">
      <c r="A192" s="15">
        <v>48</v>
      </c>
      <c r="B192" s="64"/>
      <c r="C192" s="33" t="s">
        <v>237</v>
      </c>
      <c r="D192" s="307" t="str">
        <f t="shared" si="22"/>
        <v/>
      </c>
      <c r="E192" s="308" t="str">
        <f t="shared" si="22"/>
        <v/>
      </c>
      <c r="F192" s="309" t="str">
        <f t="shared" si="22"/>
        <v/>
      </c>
      <c r="G192" s="302" t="s">
        <v>246</v>
      </c>
      <c r="H192" s="310" t="str">
        <f t="shared" si="20"/>
        <v/>
      </c>
      <c r="I192" s="311" t="str">
        <f t="shared" si="20"/>
        <v/>
      </c>
      <c r="J192" s="312" t="str">
        <f t="shared" si="20"/>
        <v/>
      </c>
      <c r="K192" s="307" t="str">
        <f t="shared" si="21"/>
        <v/>
      </c>
      <c r="L192" s="308" t="str">
        <f t="shared" si="21"/>
        <v/>
      </c>
      <c r="M192" s="414" t="str">
        <f t="shared" si="21"/>
        <v/>
      </c>
      <c r="O192" s="28"/>
      <c r="P192" s="4"/>
      <c r="Q192" s="4"/>
      <c r="R192" s="4"/>
      <c r="S192" s="4"/>
      <c r="T192" s="4"/>
      <c r="U192" s="4"/>
      <c r="V192" s="4"/>
      <c r="W192" s="4"/>
      <c r="Y192" s="30"/>
    </row>
    <row r="193" spans="1:29" ht="14.1" customHeight="1" thickBot="1">
      <c r="A193" s="15">
        <v>49</v>
      </c>
      <c r="B193" s="64"/>
      <c r="C193" s="33" t="s">
        <v>238</v>
      </c>
      <c r="D193" s="300" t="str">
        <f t="shared" si="22"/>
        <v/>
      </c>
      <c r="E193" s="301" t="str">
        <f t="shared" si="22"/>
        <v/>
      </c>
      <c r="F193" s="303" t="str">
        <f t="shared" si="22"/>
        <v/>
      </c>
      <c r="G193" s="302" t="s">
        <v>247</v>
      </c>
      <c r="H193" s="297" t="str">
        <f t="shared" si="20"/>
        <v/>
      </c>
      <c r="I193" s="298" t="str">
        <f t="shared" si="20"/>
        <v/>
      </c>
      <c r="J193" s="299" t="str">
        <f t="shared" si="20"/>
        <v/>
      </c>
      <c r="K193" s="300" t="str">
        <f t="shared" si="21"/>
        <v/>
      </c>
      <c r="L193" s="301" t="str">
        <f t="shared" si="21"/>
        <v/>
      </c>
      <c r="M193" s="413" t="str">
        <f t="shared" si="21"/>
        <v/>
      </c>
      <c r="O193" s="130" t="s">
        <v>241</v>
      </c>
      <c r="Y193" s="30"/>
    </row>
    <row r="194" spans="1:29" ht="14.1" customHeight="1" thickBot="1">
      <c r="A194" s="15">
        <v>50</v>
      </c>
      <c r="B194" s="64"/>
      <c r="C194" s="33" t="s">
        <v>85</v>
      </c>
      <c r="D194" s="100" t="str">
        <f>IF(U179="","",U179)</f>
        <v/>
      </c>
      <c r="H194" s="291" t="str">
        <f>IF(D192="","",IF(MAX(D192:F193,D199:F200)&gt;13,"Fail","Pass"))</f>
        <v/>
      </c>
      <c r="I194" s="19" t="s">
        <v>502</v>
      </c>
      <c r="M194" s="65"/>
      <c r="O194" s="149"/>
      <c r="Q194" s="759" t="s">
        <v>229</v>
      </c>
      <c r="R194" s="759"/>
      <c r="S194" s="759"/>
      <c r="T194" s="4"/>
      <c r="U194" s="759" t="s">
        <v>229</v>
      </c>
      <c r="V194" s="759"/>
      <c r="W194" s="759"/>
      <c r="X194" s="4"/>
      <c r="Y194" s="30"/>
    </row>
    <row r="195" spans="1:29" ht="14.1" customHeight="1" thickBot="1">
      <c r="A195" s="15">
        <v>51</v>
      </c>
      <c r="B195" s="64"/>
      <c r="C195" s="33" t="s">
        <v>233</v>
      </c>
      <c r="D195" s="304" t="str">
        <f>IF(U184="","",U184)</f>
        <v/>
      </c>
      <c r="E195" s="305" t="str">
        <f t="shared" ref="E195:F200" si="23">IF(V184="","",V184)</f>
        <v/>
      </c>
      <c r="F195" s="306" t="str">
        <f t="shared" si="23"/>
        <v/>
      </c>
      <c r="H195" s="291" t="str">
        <f>IF(H188="","",IF(MAX(H188:M191)&gt;13,"Fail","Pass"))</f>
        <v/>
      </c>
      <c r="I195" s="19" t="s">
        <v>503</v>
      </c>
      <c r="M195" s="65"/>
      <c r="O195" s="149"/>
      <c r="Q195" s="100" t="s">
        <v>230</v>
      </c>
      <c r="R195" s="100" t="s">
        <v>231</v>
      </c>
      <c r="S195" s="100" t="s">
        <v>232</v>
      </c>
      <c r="T195" s="4"/>
      <c r="U195" s="100" t="s">
        <v>230</v>
      </c>
      <c r="V195" s="100" t="s">
        <v>231</v>
      </c>
      <c r="W195" s="100" t="s">
        <v>232</v>
      </c>
      <c r="X195" s="4"/>
      <c r="Y195" s="30"/>
    </row>
    <row r="196" spans="1:29" ht="14.1" customHeight="1">
      <c r="A196" s="15">
        <v>52</v>
      </c>
      <c r="B196" s="64"/>
      <c r="C196" s="33" t="s">
        <v>234</v>
      </c>
      <c r="D196" s="293" t="str">
        <f t="shared" ref="D196:D200" si="24">IF(U185="","",U185)</f>
        <v/>
      </c>
      <c r="E196" s="260" t="str">
        <f t="shared" si="23"/>
        <v/>
      </c>
      <c r="F196" s="294" t="str">
        <f t="shared" si="23"/>
        <v/>
      </c>
      <c r="H196" s="291" t="str">
        <f>IF(H192="","",IF(OR(MAX(H192:M192)&gt;6.5,MAX(H193:M193)&gt;5),"Fail","Pass"))</f>
        <v/>
      </c>
      <c r="I196" s="19" t="s">
        <v>504</v>
      </c>
      <c r="M196" s="65"/>
      <c r="O196" s="149"/>
      <c r="P196" s="33" t="s">
        <v>233</v>
      </c>
      <c r="Q196" s="150"/>
      <c r="R196" s="151"/>
      <c r="S196" s="152"/>
      <c r="T196" s="4"/>
      <c r="U196" s="150"/>
      <c r="V196" s="151"/>
      <c r="W196" s="152"/>
      <c r="X196" s="4"/>
      <c r="Y196" s="30"/>
    </row>
    <row r="197" spans="1:29" ht="14.1" customHeight="1">
      <c r="A197" s="15">
        <v>53</v>
      </c>
      <c r="B197" s="64"/>
      <c r="C197" s="33" t="s">
        <v>235</v>
      </c>
      <c r="D197" s="293" t="str">
        <f t="shared" si="24"/>
        <v/>
      </c>
      <c r="E197" s="260" t="str">
        <f t="shared" si="23"/>
        <v/>
      </c>
      <c r="F197" s="294" t="str">
        <f t="shared" si="23"/>
        <v/>
      </c>
      <c r="G197" s="3" t="s">
        <v>193</v>
      </c>
      <c r="H197" s="25" t="s">
        <v>239</v>
      </c>
      <c r="M197" s="65"/>
      <c r="O197" s="28"/>
      <c r="P197" s="33" t="s">
        <v>234</v>
      </c>
      <c r="Q197" s="153"/>
      <c r="R197" s="154"/>
      <c r="S197" s="155"/>
      <c r="T197" s="4"/>
      <c r="U197" s="153"/>
      <c r="V197" s="154"/>
      <c r="W197" s="155"/>
      <c r="X197" s="4"/>
      <c r="Y197" s="30"/>
    </row>
    <row r="198" spans="1:29" ht="14.1" customHeight="1" thickBot="1">
      <c r="A198" s="15">
        <v>54</v>
      </c>
      <c r="B198" s="64"/>
      <c r="C198" s="33" t="s">
        <v>236</v>
      </c>
      <c r="D198" s="300" t="str">
        <f t="shared" si="24"/>
        <v/>
      </c>
      <c r="E198" s="301" t="str">
        <f t="shared" si="23"/>
        <v/>
      </c>
      <c r="F198" s="303" t="str">
        <f t="shared" si="23"/>
        <v/>
      </c>
      <c r="H198" s="25" t="s">
        <v>240</v>
      </c>
      <c r="M198" s="65"/>
      <c r="O198" s="28"/>
      <c r="P198" s="33" t="s">
        <v>235</v>
      </c>
      <c r="Q198" s="153"/>
      <c r="R198" s="154"/>
      <c r="S198" s="155"/>
      <c r="T198" s="4"/>
      <c r="U198" s="153"/>
      <c r="V198" s="154"/>
      <c r="W198" s="155"/>
      <c r="X198" s="4"/>
      <c r="Y198" s="30"/>
    </row>
    <row r="199" spans="1:29" ht="14.1" customHeight="1" thickBot="1">
      <c r="A199" s="15">
        <v>55</v>
      </c>
      <c r="B199" s="64"/>
      <c r="C199" s="33" t="s">
        <v>237</v>
      </c>
      <c r="D199" s="307" t="str">
        <f t="shared" si="24"/>
        <v/>
      </c>
      <c r="E199" s="308" t="str">
        <f t="shared" si="23"/>
        <v/>
      </c>
      <c r="F199" s="309" t="str">
        <f t="shared" si="23"/>
        <v/>
      </c>
      <c r="G199" s="316"/>
      <c r="H199" s="25" t="s">
        <v>248</v>
      </c>
      <c r="M199" s="65"/>
      <c r="O199" s="149"/>
      <c r="P199" s="33" t="s">
        <v>236</v>
      </c>
      <c r="Q199" s="157"/>
      <c r="R199" s="158"/>
      <c r="S199" s="159"/>
      <c r="T199" s="4"/>
      <c r="U199" s="157"/>
      <c r="V199" s="158"/>
      <c r="W199" s="159"/>
      <c r="X199" s="4"/>
      <c r="Y199" s="30"/>
    </row>
    <row r="200" spans="1:29" ht="14.1" customHeight="1" thickBot="1">
      <c r="A200" s="15">
        <v>56</v>
      </c>
      <c r="B200" s="64"/>
      <c r="C200" s="33" t="s">
        <v>238</v>
      </c>
      <c r="D200" s="300" t="str">
        <f t="shared" si="24"/>
        <v/>
      </c>
      <c r="E200" s="301" t="str">
        <f t="shared" si="23"/>
        <v/>
      </c>
      <c r="F200" s="303" t="str">
        <f t="shared" si="23"/>
        <v/>
      </c>
      <c r="G200" s="3"/>
      <c r="H200" s="25" t="s">
        <v>249</v>
      </c>
      <c r="M200" s="65"/>
      <c r="O200" s="149"/>
      <c r="P200" s="33" t="s">
        <v>245</v>
      </c>
      <c r="Q200" s="150"/>
      <c r="R200" s="151"/>
      <c r="S200" s="152"/>
      <c r="U200" s="150"/>
      <c r="V200" s="151"/>
      <c r="W200" s="152"/>
      <c r="X200" s="4"/>
      <c r="Y200" s="30"/>
    </row>
    <row r="201" spans="1:29" ht="14.1" customHeight="1" thickBot="1">
      <c r="A201" s="15">
        <v>57</v>
      </c>
      <c r="B201" s="64"/>
      <c r="E201" s="25"/>
      <c r="H201" s="25" t="s">
        <v>610</v>
      </c>
      <c r="M201" s="65"/>
      <c r="O201" s="149"/>
      <c r="P201" s="33" t="s">
        <v>247</v>
      </c>
      <c r="Q201" s="172"/>
      <c r="R201" s="173"/>
      <c r="S201" s="174"/>
      <c r="U201" s="172"/>
      <c r="V201" s="173"/>
      <c r="W201" s="174"/>
      <c r="Y201" s="30"/>
    </row>
    <row r="202" spans="1:29" ht="14.1" customHeight="1" thickBot="1">
      <c r="A202" s="15">
        <v>58</v>
      </c>
      <c r="B202" s="317"/>
      <c r="C202" s="318"/>
      <c r="D202" s="318"/>
      <c r="E202" s="318"/>
      <c r="F202" s="318"/>
      <c r="G202" s="313"/>
      <c r="H202" s="672" t="s">
        <v>759</v>
      </c>
      <c r="I202" s="318"/>
      <c r="J202" s="318"/>
      <c r="K202" s="318"/>
      <c r="L202" s="318"/>
      <c r="M202" s="319"/>
      <c r="O202" s="149"/>
      <c r="P202" s="3" t="s">
        <v>193</v>
      </c>
      <c r="Q202" s="25" t="s">
        <v>610</v>
      </c>
      <c r="R202" s="4"/>
      <c r="Y202" s="30"/>
    </row>
    <row r="203" spans="1:29" ht="14.1" customHeight="1" thickBot="1">
      <c r="A203" s="15">
        <v>59</v>
      </c>
      <c r="B203" s="64"/>
      <c r="C203" s="70" t="s">
        <v>250</v>
      </c>
      <c r="M203" s="65"/>
      <c r="O203" s="149"/>
      <c r="P203" s="25"/>
      <c r="Q203" s="25" t="s">
        <v>608</v>
      </c>
      <c r="R203" s="4"/>
      <c r="Y203" s="30"/>
    </row>
    <row r="204" spans="1:29" ht="14.1" customHeight="1" thickBot="1">
      <c r="A204" s="15">
        <v>60</v>
      </c>
      <c r="B204" s="64"/>
      <c r="C204" s="33" t="s">
        <v>43</v>
      </c>
      <c r="D204" s="323" t="str">
        <f t="shared" ref="D204:E207" si="25">IF(Q207="","",Q207)</f>
        <v/>
      </c>
      <c r="E204" s="325" t="str">
        <f t="shared" si="25"/>
        <v/>
      </c>
      <c r="M204" s="65"/>
      <c r="O204" s="149"/>
      <c r="P204" s="4"/>
      <c r="Q204" s="25" t="s">
        <v>249</v>
      </c>
      <c r="R204" s="4"/>
      <c r="Y204" s="30"/>
    </row>
    <row r="205" spans="1:29" ht="14.1" customHeight="1" thickBot="1">
      <c r="A205" s="15">
        <v>61</v>
      </c>
      <c r="B205" s="64"/>
      <c r="C205" s="33" t="s">
        <v>163</v>
      </c>
      <c r="D205" s="326" t="str">
        <f t="shared" si="25"/>
        <v/>
      </c>
      <c r="E205" s="327" t="str">
        <f t="shared" si="25"/>
        <v/>
      </c>
      <c r="G205" s="33" t="s">
        <v>207</v>
      </c>
      <c r="H205" s="135" t="str">
        <f>IF(AND(Q211="",R211=""),"",IF(OR(Q211="Fail",R211="Fail"),"Fail","Pass"))</f>
        <v/>
      </c>
      <c r="M205" s="65"/>
      <c r="O205" s="38"/>
      <c r="P205" s="176"/>
      <c r="Q205" s="176"/>
      <c r="R205" s="39"/>
      <c r="S205" s="39"/>
      <c r="T205" s="39"/>
      <c r="U205" s="39"/>
      <c r="V205" s="39"/>
      <c r="W205" s="39"/>
      <c r="X205" s="39"/>
      <c r="Y205" s="40"/>
    </row>
    <row r="206" spans="1:29" ht="14.1" customHeight="1">
      <c r="A206" s="15">
        <v>62</v>
      </c>
      <c r="B206" s="64"/>
      <c r="C206" s="33" t="s">
        <v>208</v>
      </c>
      <c r="D206" s="326" t="str">
        <f t="shared" si="25"/>
        <v/>
      </c>
      <c r="E206" s="327" t="str">
        <f t="shared" si="25"/>
        <v/>
      </c>
      <c r="G206" s="3"/>
      <c r="H206" s="25"/>
      <c r="M206" s="65"/>
      <c r="O206" s="130" t="s">
        <v>250</v>
      </c>
      <c r="Y206" s="30"/>
    </row>
    <row r="207" spans="1:29" ht="14.1" customHeight="1" thickBot="1">
      <c r="A207" s="15">
        <v>63</v>
      </c>
      <c r="B207" s="64"/>
      <c r="C207" s="33" t="s">
        <v>252</v>
      </c>
      <c r="D207" s="328" t="str">
        <f t="shared" si="25"/>
        <v/>
      </c>
      <c r="E207" s="330" t="str">
        <f t="shared" si="25"/>
        <v/>
      </c>
      <c r="M207" s="65"/>
      <c r="O207" s="28"/>
      <c r="P207" s="33" t="s">
        <v>85</v>
      </c>
      <c r="Q207" s="136"/>
      <c r="R207" s="136"/>
      <c r="Y207" s="30"/>
    </row>
    <row r="208" spans="1:29" ht="14.1" customHeight="1">
      <c r="A208" s="15">
        <v>64</v>
      </c>
      <c r="B208" s="64"/>
      <c r="C208" s="3" t="s">
        <v>193</v>
      </c>
      <c r="D208" s="25" t="str">
        <f>Q212</f>
        <v>Limiting system resolution must be 6 lp/mm or higher</v>
      </c>
      <c r="M208" s="65"/>
      <c r="O208" s="28"/>
      <c r="P208" s="33" t="s">
        <v>163</v>
      </c>
      <c r="Q208" s="136"/>
      <c r="R208" s="136"/>
      <c r="Y208" s="30"/>
      <c r="AA208" s="100"/>
      <c r="AB208" s="100"/>
      <c r="AC208" s="100"/>
    </row>
    <row r="209" spans="1:29" ht="14.1" customHeight="1">
      <c r="A209" s="15">
        <v>65</v>
      </c>
      <c r="B209" s="64"/>
      <c r="M209" s="65"/>
      <c r="O209" s="28"/>
      <c r="P209" s="33" t="s">
        <v>208</v>
      </c>
      <c r="Q209" s="136"/>
      <c r="R209" s="136"/>
      <c r="Y209" s="30"/>
      <c r="AA209" s="100"/>
      <c r="AB209" s="100"/>
      <c r="AC209" s="100"/>
    </row>
    <row r="210" spans="1:29" ht="14.1" customHeight="1">
      <c r="A210" s="15">
        <v>66</v>
      </c>
      <c r="B210" s="64"/>
      <c r="M210" s="65"/>
      <c r="O210" s="28"/>
      <c r="P210" s="33" t="s">
        <v>252</v>
      </c>
      <c r="Q210" s="136"/>
      <c r="R210" s="136"/>
      <c r="Y210" s="30"/>
      <c r="AA210" s="100"/>
      <c r="AB210" s="100"/>
      <c r="AC210" s="100"/>
    </row>
    <row r="211" spans="1:29" ht="14.1" customHeight="1">
      <c r="A211" s="15">
        <v>67</v>
      </c>
      <c r="B211" s="64"/>
      <c r="M211" s="65"/>
      <c r="O211" s="28"/>
      <c r="P211" s="33" t="s">
        <v>207</v>
      </c>
      <c r="Q211" s="10" t="str">
        <f>IF(Q210="","",IF(Q210&gt;=7,"Pass","Fail"))</f>
        <v/>
      </c>
      <c r="R211" s="10" t="str">
        <f>IF(R210="","",IF(R210&gt;=7,"Pass","Fail"))</f>
        <v/>
      </c>
      <c r="Y211" s="30"/>
      <c r="AA211" s="100"/>
      <c r="AB211" s="100"/>
      <c r="AC211" s="100"/>
    </row>
    <row r="212" spans="1:29" ht="14.1" customHeight="1">
      <c r="A212" s="15">
        <v>68</v>
      </c>
      <c r="B212" s="64"/>
      <c r="M212" s="65"/>
      <c r="O212" s="28"/>
      <c r="P212" s="3" t="s">
        <v>193</v>
      </c>
      <c r="Q212" s="25" t="s">
        <v>253</v>
      </c>
      <c r="Y212" s="30"/>
      <c r="AA212" s="100"/>
      <c r="AB212" s="100"/>
      <c r="AC212" s="100"/>
    </row>
    <row r="213" spans="1:29" ht="14.1" customHeight="1" thickBot="1">
      <c r="A213" s="15">
        <v>69</v>
      </c>
      <c r="B213" s="64"/>
      <c r="M213" s="65"/>
      <c r="O213" s="38"/>
      <c r="P213" s="39"/>
      <c r="Q213" s="39"/>
      <c r="R213" s="39"/>
      <c r="S213" s="39"/>
      <c r="T213" s="39"/>
      <c r="U213" s="39"/>
      <c r="V213" s="39"/>
      <c r="W213" s="39"/>
      <c r="X213" s="39"/>
      <c r="Y213" s="40"/>
      <c r="AA213" s="100"/>
      <c r="AB213" s="100"/>
      <c r="AC213" s="100"/>
    </row>
    <row r="214" spans="1:29" ht="14.1" customHeight="1" thickBot="1">
      <c r="A214" s="15">
        <v>70</v>
      </c>
      <c r="B214" s="75"/>
      <c r="C214" s="76"/>
      <c r="D214" s="76"/>
      <c r="E214" s="76"/>
      <c r="F214" s="76"/>
      <c r="G214" s="76"/>
      <c r="H214" s="76"/>
      <c r="I214" s="76"/>
      <c r="J214" s="76"/>
      <c r="K214" s="76"/>
      <c r="L214" s="76"/>
      <c r="M214" s="77"/>
      <c r="O214" s="130" t="s">
        <v>254</v>
      </c>
      <c r="Y214" s="30"/>
      <c r="AA214" s="100"/>
      <c r="AB214" s="100"/>
      <c r="AC214" s="100"/>
    </row>
    <row r="215" spans="1:29" ht="14.1" customHeight="1" thickTop="1">
      <c r="A215" s="15">
        <v>71</v>
      </c>
      <c r="C215" s="102" t="s">
        <v>8</v>
      </c>
      <c r="D215" s="320" t="str">
        <f>IF($P$7="","",$P$7)</f>
        <v/>
      </c>
      <c r="E215" s="25"/>
      <c r="F215" s="25"/>
      <c r="G215" s="25"/>
      <c r="H215" s="25"/>
      <c r="I215" s="25"/>
      <c r="J215" s="25"/>
      <c r="K215" s="25"/>
      <c r="L215" s="102" t="s">
        <v>9</v>
      </c>
      <c r="M215" s="321" t="str">
        <f>IF($X$7="","",$X$7)</f>
        <v>Eugene Mah</v>
      </c>
      <c r="O215" s="28" t="s">
        <v>255</v>
      </c>
      <c r="P215" s="129"/>
      <c r="R215" s="33" t="s">
        <v>256</v>
      </c>
      <c r="S215" s="129"/>
      <c r="U215" s="19" t="s">
        <v>85</v>
      </c>
      <c r="V215" s="129" t="s">
        <v>227</v>
      </c>
      <c r="Y215" s="30"/>
      <c r="AA215" s="100"/>
      <c r="AB215" s="100"/>
      <c r="AC215" s="100"/>
    </row>
    <row r="216" spans="1:29" ht="14.1" customHeight="1">
      <c r="A216" s="15">
        <v>72</v>
      </c>
      <c r="C216" s="102" t="s">
        <v>111</v>
      </c>
      <c r="D216" s="321" t="str">
        <f>IF($R$14="","",$R$14)</f>
        <v/>
      </c>
      <c r="E216" s="25"/>
      <c r="F216" s="25"/>
      <c r="G216" s="25"/>
      <c r="H216" s="25"/>
      <c r="I216" s="25"/>
      <c r="J216" s="25"/>
      <c r="K216" s="25"/>
      <c r="L216" s="102" t="s">
        <v>29</v>
      </c>
      <c r="M216" s="321" t="str">
        <f>IF($R$13="","",$R$13)</f>
        <v/>
      </c>
      <c r="O216" s="28"/>
      <c r="P216" s="100" t="s">
        <v>61</v>
      </c>
      <c r="U216" s="100"/>
      <c r="W216" s="4"/>
      <c r="Y216" s="30"/>
      <c r="AA216" s="100"/>
      <c r="AB216" s="100"/>
      <c r="AC216" s="100"/>
    </row>
    <row r="217" spans="1:29" ht="14.1" customHeight="1" thickBot="1">
      <c r="A217" s="15">
        <v>1</v>
      </c>
      <c r="M217" s="105" t="str">
        <f>$H$2</f>
        <v>Medical University of South Carolina</v>
      </c>
      <c r="O217" s="28"/>
      <c r="P217" s="100" t="s">
        <v>257</v>
      </c>
      <c r="Q217" s="100" t="s">
        <v>480</v>
      </c>
      <c r="R217" s="100" t="s">
        <v>258</v>
      </c>
      <c r="S217" s="100" t="s">
        <v>63</v>
      </c>
      <c r="T217" s="100" t="s">
        <v>259</v>
      </c>
      <c r="U217" s="100" t="s">
        <v>260</v>
      </c>
      <c r="V217" s="4"/>
      <c r="W217" s="4"/>
      <c r="Y217" s="30"/>
    </row>
    <row r="218" spans="1:29" ht="14.1" customHeight="1" thickBot="1">
      <c r="A218" s="15">
        <v>2</v>
      </c>
      <c r="H218" s="49" t="s">
        <v>64</v>
      </c>
      <c r="M218" s="3" t="str">
        <f>$H$5</f>
        <v>Mammography System Compliance Inspection</v>
      </c>
      <c r="O218" s="28"/>
      <c r="P218" s="177">
        <v>2</v>
      </c>
      <c r="Q218" s="178"/>
      <c r="R218" s="179"/>
      <c r="S218" s="179"/>
      <c r="T218" s="179"/>
      <c r="U218" s="168" t="str">
        <f>IF(OR(T218="",$X$218=""),"",ABS(T218-$X$218)/$X$218)</f>
        <v/>
      </c>
      <c r="V218" s="4"/>
      <c r="W218" s="33" t="s">
        <v>261</v>
      </c>
      <c r="X218" s="180" t="str">
        <f>IF(T218="","",AVERAGE(T218:T220))</f>
        <v/>
      </c>
      <c r="Y218" s="30"/>
    </row>
    <row r="219" spans="1:29" ht="14.1" customHeight="1" thickTop="1" thickBot="1">
      <c r="A219" s="15">
        <v>3</v>
      </c>
      <c r="B219" s="55"/>
      <c r="C219" s="57" t="s">
        <v>254</v>
      </c>
      <c r="D219" s="56"/>
      <c r="E219" s="56"/>
      <c r="F219" s="56"/>
      <c r="G219" s="56"/>
      <c r="H219" s="56"/>
      <c r="I219" s="56"/>
      <c r="J219" s="56"/>
      <c r="K219" s="56"/>
      <c r="L219" s="56"/>
      <c r="M219" s="58"/>
      <c r="O219" s="28"/>
      <c r="P219" s="181">
        <v>4</v>
      </c>
      <c r="Q219" s="182"/>
      <c r="R219" s="136"/>
      <c r="S219" s="136"/>
      <c r="T219" s="136"/>
      <c r="U219" s="167" t="str">
        <f>IF(OR(T219="",$X$218=""),"",ABS(T219-$X$218)/$X$218)</f>
        <v/>
      </c>
      <c r="V219" s="4"/>
      <c r="W219" s="33" t="s">
        <v>262</v>
      </c>
      <c r="X219" s="180" t="str">
        <f>IF(T218="","",_xlfn.STDEV.S(T218:T220))</f>
        <v/>
      </c>
      <c r="Y219" s="30"/>
    </row>
    <row r="220" spans="1:29" ht="14.1" customHeight="1" thickBot="1">
      <c r="A220" s="15">
        <v>4</v>
      </c>
      <c r="B220" s="64"/>
      <c r="C220" s="33" t="s">
        <v>255</v>
      </c>
      <c r="D220" s="131" t="str">
        <f>IF(P215="","",P215)</f>
        <v/>
      </c>
      <c r="F220" s="33" t="s">
        <v>256</v>
      </c>
      <c r="G220" s="131" t="str">
        <f>IF(S215="","",S215)</f>
        <v/>
      </c>
      <c r="I220" s="19" t="s">
        <v>85</v>
      </c>
      <c r="J220" s="131" t="str">
        <f>IF(V215="","",V215)</f>
        <v>W/Rh</v>
      </c>
      <c r="M220" s="65"/>
      <c r="O220" s="28"/>
      <c r="P220" s="184">
        <v>6</v>
      </c>
      <c r="Q220" s="185"/>
      <c r="R220" s="186"/>
      <c r="S220" s="186"/>
      <c r="T220" s="186"/>
      <c r="U220" s="170" t="str">
        <f>IF(OR(T220="",$X$218=""),"",ABS(T220-$X$218)/$X$218)</f>
        <v/>
      </c>
      <c r="V220" s="4"/>
      <c r="W220" s="33" t="s">
        <v>263</v>
      </c>
      <c r="X220" s="183" t="str">
        <f>IF(OR(X218="",X219=""),"",X219/X218)</f>
        <v/>
      </c>
      <c r="Y220" s="30"/>
    </row>
    <row r="221" spans="1:29" ht="14.1" customHeight="1" thickBot="1">
      <c r="A221" s="15">
        <v>5</v>
      </c>
      <c r="B221" s="64"/>
      <c r="C221" s="100" t="s">
        <v>61</v>
      </c>
      <c r="H221" s="100"/>
      <c r="J221" s="4"/>
      <c r="M221" s="65"/>
      <c r="O221" s="28"/>
      <c r="P221" s="3" t="s">
        <v>193</v>
      </c>
      <c r="Q221" s="25" t="s">
        <v>266</v>
      </c>
      <c r="R221"/>
      <c r="S221"/>
      <c r="T221"/>
      <c r="U221"/>
      <c r="V221" s="4"/>
      <c r="W221" s="19" t="s">
        <v>207</v>
      </c>
      <c r="X221" s="322" t="str">
        <f>IF(U218="","",IF(AND(ABS(U218)&lt;0.1,ABS(U219)&lt;0.1,ABS(U220)&lt;0.1,X220&lt;0.05),"Pass","Fail"))</f>
        <v/>
      </c>
      <c r="Y221" s="30"/>
    </row>
    <row r="222" spans="1:29" ht="14.1" customHeight="1" thickBot="1">
      <c r="A222" s="15">
        <v>6</v>
      </c>
      <c r="B222" s="64"/>
      <c r="C222" s="100" t="s">
        <v>257</v>
      </c>
      <c r="D222" s="100" t="s">
        <v>480</v>
      </c>
      <c r="E222" s="100" t="s">
        <v>258</v>
      </c>
      <c r="F222" s="100" t="s">
        <v>63</v>
      </c>
      <c r="G222" s="100" t="s">
        <v>259</v>
      </c>
      <c r="H222" s="100" t="s">
        <v>260</v>
      </c>
      <c r="I222" s="100"/>
      <c r="J222" s="4"/>
      <c r="M222" s="65"/>
      <c r="O222" s="28"/>
      <c r="P222" s="4"/>
      <c r="Q222" s="25" t="s">
        <v>267</v>
      </c>
      <c r="S222" s="4"/>
      <c r="T222" s="4"/>
      <c r="W222" s="4"/>
      <c r="Y222" s="30"/>
    </row>
    <row r="223" spans="1:29" ht="14.1" customHeight="1">
      <c r="A223" s="15">
        <v>7</v>
      </c>
      <c r="B223" s="64"/>
      <c r="C223" s="323">
        <f t="shared" ref="C223:H225" si="26">IF(P218="","",P218)</f>
        <v>2</v>
      </c>
      <c r="D223" s="324" t="str">
        <f t="shared" si="26"/>
        <v/>
      </c>
      <c r="E223" s="324" t="str">
        <f t="shared" si="26"/>
        <v/>
      </c>
      <c r="F223" s="324" t="str">
        <f t="shared" si="26"/>
        <v/>
      </c>
      <c r="G223" s="324" t="str">
        <f t="shared" si="26"/>
        <v/>
      </c>
      <c r="H223" s="332" t="str">
        <f t="shared" si="26"/>
        <v/>
      </c>
      <c r="I223" s="290"/>
      <c r="J223" s="33" t="s">
        <v>261</v>
      </c>
      <c r="K223" s="266" t="str">
        <f>IF(X218="","",X218)</f>
        <v/>
      </c>
      <c r="M223" s="65"/>
      <c r="O223" s="28"/>
      <c r="S223" s="4"/>
      <c r="T223" s="4"/>
      <c r="W223" s="4"/>
      <c r="Y223" s="30"/>
    </row>
    <row r="224" spans="1:29" ht="14.1" customHeight="1">
      <c r="A224" s="15">
        <v>8</v>
      </c>
      <c r="B224" s="64"/>
      <c r="C224" s="326">
        <f t="shared" si="26"/>
        <v>4</v>
      </c>
      <c r="D224" s="10" t="str">
        <f t="shared" si="26"/>
        <v/>
      </c>
      <c r="E224" s="10" t="str">
        <f t="shared" si="26"/>
        <v/>
      </c>
      <c r="F224" s="10" t="str">
        <f t="shared" si="26"/>
        <v/>
      </c>
      <c r="G224" s="10" t="str">
        <f t="shared" si="26"/>
        <v/>
      </c>
      <c r="H224" s="333" t="str">
        <f t="shared" si="26"/>
        <v/>
      </c>
      <c r="I224" s="290"/>
      <c r="J224" s="33" t="s">
        <v>262</v>
      </c>
      <c r="K224" s="266" t="str">
        <f>IF(X219="","",X219)</f>
        <v/>
      </c>
      <c r="M224" s="65"/>
      <c r="O224" s="91"/>
      <c r="P224" s="19" t="s">
        <v>268</v>
      </c>
      <c r="Q224" s="4"/>
      <c r="R224" s="4"/>
      <c r="S224" s="4"/>
      <c r="T224" s="4"/>
      <c r="U224" s="4"/>
      <c r="V224" s="4"/>
      <c r="W224" s="4"/>
      <c r="Y224" s="30"/>
    </row>
    <row r="225" spans="1:27" ht="14.1" customHeight="1" thickBot="1">
      <c r="A225" s="15">
        <v>9</v>
      </c>
      <c r="B225" s="64"/>
      <c r="C225" s="328">
        <f t="shared" si="26"/>
        <v>6</v>
      </c>
      <c r="D225" s="329" t="str">
        <f t="shared" si="26"/>
        <v/>
      </c>
      <c r="E225" s="544" t="str">
        <f t="shared" si="26"/>
        <v/>
      </c>
      <c r="F225" s="544" t="str">
        <f t="shared" si="26"/>
        <v/>
      </c>
      <c r="G225" s="544" t="str">
        <f t="shared" si="26"/>
        <v/>
      </c>
      <c r="H225" s="545" t="str">
        <f t="shared" si="26"/>
        <v/>
      </c>
      <c r="I225" s="290"/>
      <c r="J225" s="33" t="s">
        <v>263</v>
      </c>
      <c r="K225" s="334" t="str">
        <f>IF(X220="","",X220)</f>
        <v/>
      </c>
      <c r="M225" s="65"/>
      <c r="O225" s="91"/>
      <c r="P225" s="19" t="s">
        <v>269</v>
      </c>
      <c r="Q225" s="4"/>
      <c r="R225" s="4"/>
      <c r="S225" s="4"/>
      <c r="T225" s="4"/>
      <c r="U225" s="4"/>
      <c r="V225" s="4" t="str">
        <f>IF(OR(T225="",$X$218=""),"",(T225-$X$218)/$X$218)</f>
        <v/>
      </c>
      <c r="W225" s="4"/>
      <c r="Y225" s="30"/>
    </row>
    <row r="226" spans="1:27" ht="14.1" customHeight="1" thickBot="1">
      <c r="A226" s="15">
        <v>10</v>
      </c>
      <c r="B226" s="64"/>
      <c r="C226" s="3" t="s">
        <v>193</v>
      </c>
      <c r="D226" s="25" t="s">
        <v>266</v>
      </c>
      <c r="E226" s="314"/>
      <c r="F226" s="314"/>
      <c r="G226" s="314"/>
      <c r="H226" s="546"/>
      <c r="I226" s="290"/>
      <c r="J226" s="19" t="s">
        <v>207</v>
      </c>
      <c r="K226" s="322" t="str">
        <f>IF(X221="","",X221)</f>
        <v/>
      </c>
      <c r="M226" s="65"/>
      <c r="O226" s="28"/>
      <c r="P226" s="4"/>
      <c r="Q226" s="4"/>
      <c r="R226" s="4"/>
      <c r="S226" s="4"/>
      <c r="T226" s="4"/>
      <c r="U226" s="4"/>
      <c r="V226" s="4"/>
      <c r="W226" s="4"/>
      <c r="Y226" s="30"/>
    </row>
    <row r="227" spans="1:27" ht="14.1" customHeight="1">
      <c r="A227" s="15">
        <v>11</v>
      </c>
      <c r="B227" s="64"/>
      <c r="C227" s="100"/>
      <c r="D227" s="25" t="s">
        <v>267</v>
      </c>
      <c r="E227" s="100"/>
      <c r="F227" s="100"/>
      <c r="G227" s="100"/>
      <c r="H227" s="100"/>
      <c r="I227" s="290"/>
      <c r="J227" s="4"/>
      <c r="M227" s="65"/>
      <c r="O227" s="130" t="s">
        <v>270</v>
      </c>
      <c r="P227" s="4"/>
      <c r="Q227" s="4"/>
      <c r="R227" s="4"/>
      <c r="S227" s="4"/>
      <c r="T227" s="4"/>
      <c r="U227" s="4"/>
      <c r="V227" s="4"/>
      <c r="Y227" s="30"/>
    </row>
    <row r="228" spans="1:27" ht="14.1" customHeight="1" thickBot="1">
      <c r="A228" s="15">
        <v>12</v>
      </c>
      <c r="B228" s="64"/>
      <c r="E228" s="100"/>
      <c r="F228" s="100"/>
      <c r="G228" s="100"/>
      <c r="H228" s="100"/>
      <c r="I228" s="290"/>
      <c r="J228" s="4"/>
      <c r="M228" s="65"/>
      <c r="O228" s="28" t="s">
        <v>255</v>
      </c>
      <c r="P228" s="129"/>
      <c r="R228" s="19" t="s">
        <v>85</v>
      </c>
      <c r="S228" s="129" t="s">
        <v>227</v>
      </c>
      <c r="T228" s="33" t="s">
        <v>163</v>
      </c>
      <c r="U228" s="129">
        <v>28</v>
      </c>
      <c r="Y228" s="30"/>
    </row>
    <row r="229" spans="1:27" ht="14.1" customHeight="1" thickBot="1">
      <c r="A229" s="15">
        <v>13</v>
      </c>
      <c r="B229" s="64"/>
      <c r="C229" s="322" t="str">
        <f>IF(O224="","TBD",IF(O224=1,"YES",IF(O224=2,"NO",IF(O224=3,"NA",""))))</f>
        <v>TBD</v>
      </c>
      <c r="D229" s="19" t="s">
        <v>268</v>
      </c>
      <c r="E229" s="100"/>
      <c r="F229" s="100"/>
      <c r="G229" s="100"/>
      <c r="H229" s="100"/>
      <c r="I229" s="100"/>
      <c r="J229" s="290"/>
      <c r="K229" s="4"/>
      <c r="M229" s="65"/>
      <c r="O229" s="28"/>
      <c r="Y229" s="30"/>
    </row>
    <row r="230" spans="1:27" ht="14.1" customHeight="1" thickBot="1">
      <c r="A230" s="15">
        <v>14</v>
      </c>
      <c r="B230" s="64"/>
      <c r="C230" s="322" t="str">
        <f>IF(O225="","TBD",IF(O225=1,"YES",IF(O225=2,"NO",IF(O225=3,"NA",""))))</f>
        <v>TBD</v>
      </c>
      <c r="D230" s="19" t="s">
        <v>269</v>
      </c>
      <c r="E230" s="100"/>
      <c r="F230" s="100"/>
      <c r="G230" s="100"/>
      <c r="H230" s="100"/>
      <c r="I230" s="100"/>
      <c r="J230" s="290"/>
      <c r="K230" s="4"/>
      <c r="M230" s="65"/>
      <c r="O230" s="28"/>
      <c r="P230" s="100"/>
      <c r="R230" s="33"/>
      <c r="S230" s="100"/>
      <c r="T230" s="100"/>
      <c r="U230" s="4"/>
      <c r="V230" s="100" t="s">
        <v>271</v>
      </c>
      <c r="Y230" s="30"/>
    </row>
    <row r="231" spans="1:27" ht="14.1" customHeight="1" thickBot="1">
      <c r="A231" s="15">
        <v>15</v>
      </c>
      <c r="B231" s="317"/>
      <c r="C231" s="318"/>
      <c r="D231" s="318"/>
      <c r="E231" s="318"/>
      <c r="F231" s="318"/>
      <c r="G231" s="361"/>
      <c r="H231" s="362"/>
      <c r="I231" s="318"/>
      <c r="J231" s="318"/>
      <c r="K231" s="363"/>
      <c r="L231" s="318"/>
      <c r="M231" s="319"/>
      <c r="O231" s="28"/>
      <c r="P231" s="100" t="s">
        <v>63</v>
      </c>
      <c r="Q231" s="100" t="s">
        <v>272</v>
      </c>
      <c r="R231" s="100" t="s">
        <v>273</v>
      </c>
      <c r="S231" s="100" t="s">
        <v>274</v>
      </c>
      <c r="T231" s="100" t="s">
        <v>275</v>
      </c>
      <c r="U231" s="100" t="s">
        <v>276</v>
      </c>
      <c r="V231" s="19" t="s">
        <v>21</v>
      </c>
      <c r="X231" s="100" t="s">
        <v>277</v>
      </c>
      <c r="Y231" s="191" t="s">
        <v>278</v>
      </c>
    </row>
    <row r="232" spans="1:27" ht="14.1" customHeight="1">
      <c r="A232" s="15">
        <v>16</v>
      </c>
      <c r="B232" s="64"/>
      <c r="C232" s="70" t="s">
        <v>270</v>
      </c>
      <c r="M232" s="65"/>
      <c r="O232" s="28"/>
      <c r="P232" s="150"/>
      <c r="Q232" s="151"/>
      <c r="R232" s="151"/>
      <c r="S232" s="151"/>
      <c r="T232" s="192" t="str">
        <f>IF(OR(R232="",S232=""),"",(R232-50)/S232)</f>
        <v/>
      </c>
      <c r="U232" s="193" t="str">
        <f>IF(OR(Q232="",R232="",S232=""),"",(R232-Q232)/S232)</f>
        <v/>
      </c>
      <c r="V232" s="202" t="str">
        <f>IF($S$399="","",$S$399*P232)</f>
        <v/>
      </c>
      <c r="X232" s="194" t="str">
        <f>IF(OR(Q232="",$Q$237=""),"",ABS(Q232-$Q$237)/$Q$237)</f>
        <v/>
      </c>
      <c r="Y232" s="195" t="str">
        <f>IF(OR(T232="",$T$237=""),"",ABS(T232-$T$237)/$T$237)</f>
        <v/>
      </c>
      <c r="AA232" s="214"/>
    </row>
    <row r="233" spans="1:27" ht="14.1" customHeight="1">
      <c r="A233" s="15">
        <v>17</v>
      </c>
      <c r="B233" s="64"/>
      <c r="C233" s="33" t="s">
        <v>255</v>
      </c>
      <c r="D233" s="131" t="str">
        <f>IF(P228="","",P228)</f>
        <v/>
      </c>
      <c r="F233" s="19" t="s">
        <v>85</v>
      </c>
      <c r="G233" s="131" t="str">
        <f>IF(S228="","",S228)</f>
        <v>W/Rh</v>
      </c>
      <c r="H233" s="33" t="s">
        <v>163</v>
      </c>
      <c r="I233" s="131">
        <f>IF(U228="","",U228)</f>
        <v>28</v>
      </c>
      <c r="M233" s="65"/>
      <c r="O233" s="28"/>
      <c r="P233" s="153"/>
      <c r="Q233" s="154"/>
      <c r="R233" s="154"/>
      <c r="S233" s="154"/>
      <c r="T233" s="66" t="str">
        <f>IF(OR(R233="",S233=""),"",(R233-50)/S233)</f>
        <v/>
      </c>
      <c r="U233" s="11" t="str">
        <f>IF(OR(Q233="",R233="",S233=""),"",(R233-Q233)/S233)</f>
        <v/>
      </c>
      <c r="V233" s="204" t="str">
        <f t="shared" ref="V233:V236" si="27">IF($S$399="","",$S$399*P233)</f>
        <v/>
      </c>
      <c r="X233" s="194" t="str">
        <f>IF(OR(Q233="",$Q$237=""),"",ABS(Q233-$Q$237)/$Q$237)</f>
        <v/>
      </c>
      <c r="Y233" s="195" t="str">
        <f>IF(OR(T233="",$T$237=""),"",ABS(T233-$T$237)/$T$237)</f>
        <v/>
      </c>
      <c r="AA233" s="214"/>
    </row>
    <row r="234" spans="1:27" ht="14.1" customHeight="1">
      <c r="A234" s="15">
        <v>18</v>
      </c>
      <c r="B234" s="64"/>
      <c r="I234" s="100"/>
      <c r="M234" s="65"/>
      <c r="O234" s="28"/>
      <c r="P234" s="153"/>
      <c r="Q234" s="154"/>
      <c r="R234" s="154"/>
      <c r="S234" s="154"/>
      <c r="T234" s="66" t="str">
        <f>IF(OR(R234="",S234=""),"",(R234-50)/S234)</f>
        <v/>
      </c>
      <c r="U234" s="11" t="str">
        <f>IF(OR(Q234="",R234="",S234=""),"",(R234-Q234)/S234)</f>
        <v/>
      </c>
      <c r="V234" s="204" t="str">
        <f t="shared" si="27"/>
        <v/>
      </c>
      <c r="X234" s="194" t="str">
        <f>IF(OR(Q234="",$Q$237=""),"",ABS(Q234-$Q$237)/$Q$237)</f>
        <v/>
      </c>
      <c r="Y234" s="195" t="str">
        <f>IF(OR(T234="",$T$237=""),"",ABS(T234-$T$237)/$T$237)</f>
        <v/>
      </c>
      <c r="AA234" s="214"/>
    </row>
    <row r="235" spans="1:27" ht="14.1" customHeight="1" thickBot="1">
      <c r="A235" s="15">
        <v>19</v>
      </c>
      <c r="B235" s="64"/>
      <c r="D235" s="100"/>
      <c r="F235" s="33"/>
      <c r="G235" s="100"/>
      <c r="H235" s="100"/>
      <c r="I235" s="4"/>
      <c r="J235" s="19" t="s">
        <v>271</v>
      </c>
      <c r="M235" s="65"/>
      <c r="O235" s="28"/>
      <c r="P235" s="153"/>
      <c r="Q235" s="154"/>
      <c r="R235" s="154"/>
      <c r="S235" s="154"/>
      <c r="T235" s="66" t="str">
        <f>IF(OR(R235="",S235=""),"",(R235-50)/S235)</f>
        <v/>
      </c>
      <c r="U235" s="11" t="str">
        <f>IF(OR(Q235="",R235="",S235=""),"",(R235-Q235)/S235)</f>
        <v/>
      </c>
      <c r="V235" s="204" t="str">
        <f t="shared" si="27"/>
        <v/>
      </c>
      <c r="X235" s="194" t="str">
        <f>IF(OR(Q235="",$Q$237=""),"",ABS(Q235-$Q$237)/$Q$237)</f>
        <v/>
      </c>
      <c r="Y235" s="195" t="str">
        <f>IF(OR(T235="",$T$237=""),"",ABS(T235-$T$237)/$T$237)</f>
        <v/>
      </c>
      <c r="AA235" s="214"/>
    </row>
    <row r="236" spans="1:27" ht="14.1" customHeight="1" thickBot="1">
      <c r="A236" s="15">
        <v>20</v>
      </c>
      <c r="B236" s="64"/>
      <c r="D236" s="373" t="s">
        <v>63</v>
      </c>
      <c r="E236" s="359" t="s">
        <v>272</v>
      </c>
      <c r="F236" s="359" t="s">
        <v>273</v>
      </c>
      <c r="G236" s="359" t="s">
        <v>274</v>
      </c>
      <c r="H236" s="359" t="s">
        <v>275</v>
      </c>
      <c r="I236" s="359" t="s">
        <v>276</v>
      </c>
      <c r="J236" s="360" t="s">
        <v>21</v>
      </c>
      <c r="K236" s="331" t="s">
        <v>277</v>
      </c>
      <c r="L236" s="336" t="s">
        <v>278</v>
      </c>
      <c r="M236" s="65"/>
      <c r="O236" s="28"/>
      <c r="P236" s="196"/>
      <c r="Q236" s="197"/>
      <c r="R236" s="197"/>
      <c r="S236" s="197"/>
      <c r="T236" s="198" t="str">
        <f>IF(OR(R236="",S236=""),"",(R236-50)/S236)</f>
        <v/>
      </c>
      <c r="U236" s="199" t="str">
        <f>IF(OR(Q236="",R236="",S236=""),"",(R236-Q236)/S236)</f>
        <v/>
      </c>
      <c r="V236" s="531" t="str">
        <f t="shared" si="27"/>
        <v/>
      </c>
      <c r="X236" s="194" t="str">
        <f>IF(OR(Q236="",$Q$237=""),"",ABS(Q236-$Q$237)/$Q$237)</f>
        <v/>
      </c>
      <c r="Y236" s="195" t="str">
        <f>IF(OR(T236="",$T$237=""),"",ABS(T236-$T$237)/$T$237)</f>
        <v/>
      </c>
      <c r="AA236" s="214"/>
    </row>
    <row r="237" spans="1:27" ht="14.1" customHeight="1" thickBot="1">
      <c r="A237" s="15">
        <v>21</v>
      </c>
      <c r="B237" s="64"/>
      <c r="D237" s="356" t="str">
        <f t="shared" ref="D237:J244" si="28">IF(P232="","",P232)</f>
        <v/>
      </c>
      <c r="E237" s="357" t="str">
        <f t="shared" si="28"/>
        <v/>
      </c>
      <c r="F237" s="357" t="str">
        <f t="shared" si="28"/>
        <v/>
      </c>
      <c r="G237" s="357" t="str">
        <f t="shared" si="28"/>
        <v/>
      </c>
      <c r="H237" s="357" t="str">
        <f t="shared" si="28"/>
        <v/>
      </c>
      <c r="I237" s="357" t="str">
        <f t="shared" si="28"/>
        <v/>
      </c>
      <c r="J237" s="358" t="str">
        <f t="shared" si="28"/>
        <v/>
      </c>
      <c r="K237" s="349" t="str">
        <f t="shared" ref="K237:L243" si="29">IF(X232="","",X232)</f>
        <v/>
      </c>
      <c r="L237" s="352" t="str">
        <f t="shared" si="29"/>
        <v/>
      </c>
      <c r="M237" s="65"/>
      <c r="O237" s="149" t="s">
        <v>261</v>
      </c>
      <c r="P237" s="201" t="str">
        <f t="shared" ref="P237:V237" si="30">IF(P232="","",AVERAGE(P232:P236))</f>
        <v/>
      </c>
      <c r="Q237" s="192" t="str">
        <f t="shared" si="30"/>
        <v/>
      </c>
      <c r="R237" s="192" t="str">
        <f t="shared" si="30"/>
        <v/>
      </c>
      <c r="S237" s="192" t="str">
        <f t="shared" si="30"/>
        <v/>
      </c>
      <c r="T237" s="192" t="str">
        <f t="shared" si="30"/>
        <v/>
      </c>
      <c r="U237" s="193" t="str">
        <f t="shared" si="30"/>
        <v/>
      </c>
      <c r="V237" s="202" t="str">
        <f t="shared" si="30"/>
        <v/>
      </c>
      <c r="W237" s="33" t="s">
        <v>281</v>
      </c>
      <c r="X237" s="183" t="str">
        <f>IF(X232="","",MAX(X232:X236))</f>
        <v/>
      </c>
      <c r="Y237" s="183" t="str">
        <f>IF(Y232="","",MAX(Y232:Y236))</f>
        <v/>
      </c>
      <c r="AA237" s="214"/>
    </row>
    <row r="238" spans="1:27" ht="14.1" customHeight="1" thickBot="1">
      <c r="A238" s="15">
        <v>22</v>
      </c>
      <c r="B238" s="64"/>
      <c r="D238" s="337" t="str">
        <f t="shared" si="28"/>
        <v/>
      </c>
      <c r="E238" s="335" t="str">
        <f t="shared" si="28"/>
        <v/>
      </c>
      <c r="F238" s="335" t="str">
        <f t="shared" si="28"/>
        <v/>
      </c>
      <c r="G238" s="335" t="str">
        <f t="shared" si="28"/>
        <v/>
      </c>
      <c r="H238" s="335" t="str">
        <f t="shared" si="28"/>
        <v/>
      </c>
      <c r="I238" s="335" t="str">
        <f t="shared" si="28"/>
        <v/>
      </c>
      <c r="J238" s="338" t="str">
        <f t="shared" si="28"/>
        <v/>
      </c>
      <c r="K238" s="349" t="str">
        <f t="shared" si="29"/>
        <v/>
      </c>
      <c r="L238" s="352" t="str">
        <f t="shared" si="29"/>
        <v/>
      </c>
      <c r="M238" s="65"/>
      <c r="O238" s="149" t="s">
        <v>262</v>
      </c>
      <c r="P238" s="203" t="str">
        <f>IF(P232="","",STDEV(P232:P236))</f>
        <v/>
      </c>
      <c r="Q238" s="66" t="str">
        <f t="shared" ref="Q238:V238" si="31">IF(Q232="","",STDEV(Q232:Q236))</f>
        <v/>
      </c>
      <c r="R238" s="66" t="str">
        <f t="shared" si="31"/>
        <v/>
      </c>
      <c r="S238" s="66" t="str">
        <f t="shared" si="31"/>
        <v/>
      </c>
      <c r="T238" s="66" t="str">
        <f t="shared" si="31"/>
        <v/>
      </c>
      <c r="U238" s="11" t="str">
        <f t="shared" si="31"/>
        <v/>
      </c>
      <c r="V238" s="204" t="str">
        <f t="shared" si="31"/>
        <v/>
      </c>
      <c r="X238" s="135" t="str">
        <f>IF(X237="","",IF(X237&lt;=0.15,"Pass","Fail"))</f>
        <v/>
      </c>
      <c r="Y238" s="135" t="str">
        <f>IF(Y237="","",IF(Y237&lt;=0.15,"Pass","Fail"))</f>
        <v/>
      </c>
      <c r="AA238" s="214"/>
    </row>
    <row r="239" spans="1:27" ht="14.1" customHeight="1" thickBot="1">
      <c r="A239" s="15">
        <v>23</v>
      </c>
      <c r="B239" s="64"/>
      <c r="D239" s="337" t="str">
        <f t="shared" si="28"/>
        <v/>
      </c>
      <c r="E239" s="335" t="str">
        <f t="shared" si="28"/>
        <v/>
      </c>
      <c r="F239" s="335" t="str">
        <f t="shared" si="28"/>
        <v/>
      </c>
      <c r="G239" s="335" t="str">
        <f t="shared" si="28"/>
        <v/>
      </c>
      <c r="H239" s="335" t="str">
        <f t="shared" si="28"/>
        <v/>
      </c>
      <c r="I239" s="335" t="str">
        <f t="shared" si="28"/>
        <v/>
      </c>
      <c r="J239" s="338" t="str">
        <f t="shared" si="28"/>
        <v/>
      </c>
      <c r="K239" s="349" t="str">
        <f t="shared" si="29"/>
        <v/>
      </c>
      <c r="L239" s="352" t="str">
        <f t="shared" si="29"/>
        <v/>
      </c>
      <c r="M239" s="65"/>
      <c r="O239" s="149" t="s">
        <v>263</v>
      </c>
      <c r="P239" s="175" t="str">
        <f t="shared" ref="P239:V239" si="32">IF(OR(P237="",P238=""),"",P238/P237)</f>
        <v/>
      </c>
      <c r="Q239" s="169" t="str">
        <f t="shared" si="32"/>
        <v/>
      </c>
      <c r="R239" s="169" t="str">
        <f t="shared" si="32"/>
        <v/>
      </c>
      <c r="S239" s="169" t="str">
        <f t="shared" si="32"/>
        <v/>
      </c>
      <c r="T239" s="169" t="str">
        <f t="shared" si="32"/>
        <v/>
      </c>
      <c r="U239" s="169" t="str">
        <f t="shared" si="32"/>
        <v/>
      </c>
      <c r="V239" s="205" t="str">
        <f t="shared" si="32"/>
        <v/>
      </c>
      <c r="X239" s="100"/>
      <c r="Y239" s="191"/>
      <c r="AA239" s="214"/>
    </row>
    <row r="240" spans="1:27" ht="14.1" customHeight="1" thickBot="1">
      <c r="A240" s="15">
        <v>24</v>
      </c>
      <c r="B240" s="64"/>
      <c r="D240" s="337" t="str">
        <f t="shared" si="28"/>
        <v/>
      </c>
      <c r="E240" s="335" t="str">
        <f t="shared" si="28"/>
        <v/>
      </c>
      <c r="F240" s="335" t="str">
        <f t="shared" si="28"/>
        <v/>
      </c>
      <c r="G240" s="335" t="str">
        <f t="shared" si="28"/>
        <v/>
      </c>
      <c r="H240" s="335" t="str">
        <f t="shared" si="28"/>
        <v/>
      </c>
      <c r="I240" s="335" t="str">
        <f t="shared" si="28"/>
        <v/>
      </c>
      <c r="J240" s="338" t="str">
        <f t="shared" si="28"/>
        <v/>
      </c>
      <c r="K240" s="349" t="str">
        <f t="shared" si="29"/>
        <v/>
      </c>
      <c r="L240" s="352" t="str">
        <f t="shared" si="29"/>
        <v/>
      </c>
      <c r="M240" s="65"/>
      <c r="O240" s="28"/>
      <c r="P240" s="135" t="str">
        <f>IF(P239="","",IF(P239&lt;=0.05,"Pass","Fail"))</f>
        <v/>
      </c>
      <c r="Q240" s="4"/>
      <c r="R240" s="4"/>
      <c r="S240" s="4"/>
      <c r="T240" s="4"/>
      <c r="U240" s="4"/>
      <c r="V240" s="135" t="str">
        <f>IF(V239="","",IF(V239&lt;=0.05,"Pass","Fail"))</f>
        <v/>
      </c>
      <c r="Y240" s="30"/>
      <c r="AA240" s="214"/>
    </row>
    <row r="241" spans="1:27" ht="14.1" customHeight="1" thickBot="1">
      <c r="A241" s="15">
        <v>25</v>
      </c>
      <c r="B241" s="64"/>
      <c r="D241" s="339" t="str">
        <f t="shared" si="28"/>
        <v/>
      </c>
      <c r="E241" s="340" t="str">
        <f t="shared" si="28"/>
        <v/>
      </c>
      <c r="F241" s="340" t="str">
        <f t="shared" si="28"/>
        <v/>
      </c>
      <c r="G241" s="340" t="str">
        <f t="shared" si="28"/>
        <v/>
      </c>
      <c r="H241" s="340" t="str">
        <f t="shared" si="28"/>
        <v/>
      </c>
      <c r="I241" s="340" t="str">
        <f t="shared" si="28"/>
        <v/>
      </c>
      <c r="J241" s="341" t="str">
        <f t="shared" si="28"/>
        <v/>
      </c>
      <c r="K241" s="350" t="str">
        <f t="shared" si="29"/>
        <v/>
      </c>
      <c r="L241" s="364" t="str">
        <f t="shared" si="29"/>
        <v/>
      </c>
      <c r="M241" s="65"/>
      <c r="O241" s="28"/>
      <c r="P241" s="3" t="s">
        <v>193</v>
      </c>
      <c r="Q241" s="25" t="s">
        <v>282</v>
      </c>
      <c r="Y241" s="30"/>
    </row>
    <row r="242" spans="1:27" ht="14.1" customHeight="1" thickBot="1">
      <c r="A242" s="15">
        <v>26</v>
      </c>
      <c r="B242" s="64"/>
      <c r="C242" s="374" t="s">
        <v>261</v>
      </c>
      <c r="D242" s="342" t="str">
        <f t="shared" si="28"/>
        <v/>
      </c>
      <c r="E242" s="343" t="str">
        <f t="shared" si="28"/>
        <v/>
      </c>
      <c r="F242" s="343" t="str">
        <f t="shared" si="28"/>
        <v/>
      </c>
      <c r="G242" s="343" t="str">
        <f t="shared" si="28"/>
        <v/>
      </c>
      <c r="H242" s="343" t="str">
        <f t="shared" si="28"/>
        <v/>
      </c>
      <c r="I242" s="343" t="str">
        <f t="shared" si="28"/>
        <v/>
      </c>
      <c r="J242" s="344" t="str">
        <f t="shared" si="28"/>
        <v/>
      </c>
      <c r="K242" s="351" t="str">
        <f t="shared" si="29"/>
        <v/>
      </c>
      <c r="L242" s="351" t="str">
        <f t="shared" si="29"/>
        <v/>
      </c>
      <c r="M242" s="65"/>
      <c r="O242" s="28"/>
      <c r="Q242" s="25" t="s">
        <v>283</v>
      </c>
      <c r="Y242" s="30"/>
    </row>
    <row r="243" spans="1:27" ht="14.1" customHeight="1" thickBot="1">
      <c r="A243" s="15">
        <v>27</v>
      </c>
      <c r="B243" s="64"/>
      <c r="C243" s="374" t="s">
        <v>262</v>
      </c>
      <c r="D243" s="337" t="str">
        <f t="shared" si="28"/>
        <v/>
      </c>
      <c r="E243" s="335" t="str">
        <f t="shared" si="28"/>
        <v/>
      </c>
      <c r="F243" s="335" t="str">
        <f t="shared" si="28"/>
        <v/>
      </c>
      <c r="G243" s="335" t="str">
        <f t="shared" si="28"/>
        <v/>
      </c>
      <c r="H243" s="335" t="str">
        <f t="shared" si="28"/>
        <v/>
      </c>
      <c r="I243" s="335" t="str">
        <f t="shared" si="28"/>
        <v/>
      </c>
      <c r="J243" s="338" t="str">
        <f t="shared" si="28"/>
        <v/>
      </c>
      <c r="K243" s="351" t="str">
        <f t="shared" si="29"/>
        <v/>
      </c>
      <c r="L243" s="351" t="str">
        <f t="shared" si="29"/>
        <v/>
      </c>
      <c r="M243" s="65"/>
      <c r="O243" s="206"/>
      <c r="P243" s="176"/>
      <c r="Q243" s="176"/>
      <c r="R243" s="176"/>
      <c r="S243" s="176"/>
      <c r="T243" s="176"/>
      <c r="U243" s="176"/>
      <c r="V243" s="176"/>
      <c r="W243" s="176"/>
      <c r="X243" s="176"/>
      <c r="Y243" s="207"/>
    </row>
    <row r="244" spans="1:27" ht="14.1" customHeight="1" thickBot="1">
      <c r="A244" s="15">
        <v>28</v>
      </c>
      <c r="B244" s="64"/>
      <c r="C244" s="374" t="s">
        <v>263</v>
      </c>
      <c r="D244" s="345" t="str">
        <f t="shared" si="28"/>
        <v/>
      </c>
      <c r="E244" s="346" t="str">
        <f t="shared" si="28"/>
        <v/>
      </c>
      <c r="F244" s="346" t="str">
        <f t="shared" si="28"/>
        <v/>
      </c>
      <c r="G244" s="346" t="str">
        <f t="shared" si="28"/>
        <v/>
      </c>
      <c r="H244" s="346" t="str">
        <f t="shared" si="28"/>
        <v/>
      </c>
      <c r="I244" s="346" t="str">
        <f t="shared" si="28"/>
        <v/>
      </c>
      <c r="J244" s="347" t="str">
        <f t="shared" si="28"/>
        <v/>
      </c>
      <c r="M244" s="65"/>
      <c r="O244" s="128" t="s">
        <v>284</v>
      </c>
      <c r="P244" s="208"/>
      <c r="Q244" s="208"/>
      <c r="R244" s="208"/>
      <c r="S244" s="208"/>
      <c r="T244" s="208"/>
      <c r="U244" s="208"/>
      <c r="V244" s="208"/>
      <c r="W244" s="208"/>
      <c r="X244" s="208"/>
      <c r="Y244" s="209"/>
    </row>
    <row r="245" spans="1:27" ht="14.1" customHeight="1" thickBot="1">
      <c r="A245" s="15">
        <v>29</v>
      </c>
      <c r="B245" s="64"/>
      <c r="D245" s="348" t="str">
        <f>IF(P240="","",P240)</f>
        <v/>
      </c>
      <c r="E245" s="101"/>
      <c r="F245" s="101"/>
      <c r="G245" s="101"/>
      <c r="H245" s="101"/>
      <c r="I245" s="101"/>
      <c r="J245" s="348" t="str">
        <f>IF(V240="","",V240)</f>
        <v/>
      </c>
      <c r="M245" s="65"/>
      <c r="O245" s="171"/>
      <c r="P245" s="211" t="s">
        <v>62</v>
      </c>
      <c r="Q245" s="144" t="str">
        <f>Q160&amp;"/"&amp;Q161&amp;"-"&amp;Q162</f>
        <v>/-</v>
      </c>
      <c r="R245" s="144" t="str">
        <f t="shared" ref="R245:S245" si="33">R160&amp;"/"&amp;R161&amp;"-"&amp;R162</f>
        <v>/-</v>
      </c>
      <c r="S245" s="144" t="str">
        <f t="shared" si="33"/>
        <v>/-</v>
      </c>
      <c r="T245" s="4"/>
      <c r="U245" s="759" t="s">
        <v>285</v>
      </c>
      <c r="V245" s="759"/>
      <c r="W245" s="759"/>
      <c r="X245" s="4"/>
      <c r="Y245" s="212"/>
      <c r="Z245" s="100"/>
      <c r="AA245" s="4"/>
    </row>
    <row r="246" spans="1:27" ht="14.1" customHeight="1">
      <c r="A246" s="15">
        <v>30</v>
      </c>
      <c r="B246" s="64"/>
      <c r="C246" s="3" t="s">
        <v>193</v>
      </c>
      <c r="D246" s="25" t="s">
        <v>282</v>
      </c>
      <c r="M246" s="65"/>
      <c r="O246" s="171"/>
      <c r="P246" s="213" t="s">
        <v>258</v>
      </c>
      <c r="Q246" s="10" t="str">
        <f>IF(Q163="","",Q163)</f>
        <v/>
      </c>
      <c r="R246" s="10" t="str">
        <f t="shared" ref="R246:S246" si="34">IF(R163="","",R163)</f>
        <v/>
      </c>
      <c r="S246" s="10" t="str">
        <f t="shared" si="34"/>
        <v/>
      </c>
      <c r="T246" s="4"/>
      <c r="U246" s="144" t="str">
        <f>IF(Q245="","",Q245)</f>
        <v>/-</v>
      </c>
      <c r="V246" s="144" t="str">
        <f t="shared" ref="V246:W246" si="35">IF(R245="","",R245)</f>
        <v>/-</v>
      </c>
      <c r="W246" s="144" t="str">
        <f t="shared" si="35"/>
        <v>/-</v>
      </c>
      <c r="X246" s="4"/>
      <c r="Y246" s="212"/>
      <c r="Z246" s="100"/>
      <c r="AA246" s="4"/>
    </row>
    <row r="247" spans="1:27" ht="14.1" customHeight="1">
      <c r="A247" s="15">
        <v>31</v>
      </c>
      <c r="B247" s="64"/>
      <c r="D247" s="25" t="s">
        <v>283</v>
      </c>
      <c r="M247" s="65"/>
      <c r="O247" s="171"/>
      <c r="P247" s="213" t="s">
        <v>63</v>
      </c>
      <c r="Q247" s="243" t="str">
        <f t="shared" ref="Q247:S247" si="36">IF(Q164="","",Q164)</f>
        <v/>
      </c>
      <c r="R247" s="243" t="str">
        <f t="shared" si="36"/>
        <v/>
      </c>
      <c r="S247" s="243" t="str">
        <f t="shared" si="36"/>
        <v/>
      </c>
      <c r="T247" s="4"/>
      <c r="U247" s="166" t="str">
        <f>IF(Q248="","",ABS(Q248-Q$253)/Q$253)</f>
        <v/>
      </c>
      <c r="V247" s="166" t="str">
        <f>IF(R248="","",ABS(R248-R$253)/R$253)</f>
        <v/>
      </c>
      <c r="W247" s="166" t="str">
        <f>IF(S248="","",ABS(S248-S$253)/S$253)</f>
        <v/>
      </c>
      <c r="X247" s="4"/>
      <c r="Y247" s="212"/>
      <c r="Z247" s="100"/>
      <c r="AA247" s="25"/>
    </row>
    <row r="248" spans="1:27" ht="14.1" customHeight="1" thickBot="1">
      <c r="A248" s="15">
        <v>32</v>
      </c>
      <c r="B248" s="147"/>
      <c r="C248" s="39"/>
      <c r="D248" s="39"/>
      <c r="E248" s="39"/>
      <c r="F248" s="39"/>
      <c r="G248" s="39"/>
      <c r="H248" s="39"/>
      <c r="I248" s="39"/>
      <c r="J248" s="39"/>
      <c r="K248" s="39"/>
      <c r="L248" s="39"/>
      <c r="M248" s="148"/>
      <c r="O248" s="171"/>
      <c r="P248" s="211" t="s">
        <v>286</v>
      </c>
      <c r="Q248" s="534"/>
      <c r="R248" s="534"/>
      <c r="S248" s="534"/>
      <c r="T248" s="4"/>
      <c r="U248" s="166" t="str">
        <f t="shared" ref="U248:U251" si="37">IF(Q249="","",ABS(Q249-Q$253)/Q$253)</f>
        <v/>
      </c>
      <c r="V248" s="166" t="str">
        <f t="shared" ref="V248:V251" si="38">IF(R249="","",ABS(R249-R$253)/R$253)</f>
        <v/>
      </c>
      <c r="W248" s="166" t="str">
        <f t="shared" ref="W248:W251" si="39">IF(S249="","",ABS(S249-S$253)/S$253)</f>
        <v/>
      </c>
      <c r="X248" s="4"/>
      <c r="Y248" s="212"/>
    </row>
    <row r="249" spans="1:27" ht="14.1" customHeight="1" thickBot="1">
      <c r="A249" s="15">
        <v>33</v>
      </c>
      <c r="B249" s="64"/>
      <c r="C249" s="70" t="s">
        <v>284</v>
      </c>
      <c r="M249" s="65"/>
      <c r="O249" s="171"/>
      <c r="P249" s="213" t="s">
        <v>288</v>
      </c>
      <c r="Q249" s="535"/>
      <c r="R249" s="535"/>
      <c r="S249" s="535"/>
      <c r="T249" s="4"/>
      <c r="U249" s="166" t="str">
        <f t="shared" si="37"/>
        <v/>
      </c>
      <c r="V249" s="166" t="str">
        <f t="shared" si="38"/>
        <v/>
      </c>
      <c r="W249" s="166" t="str">
        <f t="shared" si="39"/>
        <v/>
      </c>
      <c r="X249" s="4"/>
      <c r="Y249" s="212"/>
    </row>
    <row r="250" spans="1:27" ht="14.1" customHeight="1">
      <c r="A250" s="15">
        <v>34</v>
      </c>
      <c r="B250" s="64"/>
      <c r="C250" s="353" t="s">
        <v>62</v>
      </c>
      <c r="D250" s="305" t="str">
        <f t="shared" ref="D250:D251" si="40">IF(Q245="","",Q245)</f>
        <v>/-</v>
      </c>
      <c r="E250" s="305" t="str">
        <f t="shared" ref="E250:E251" si="41">IF(R245="","",R245)</f>
        <v>/-</v>
      </c>
      <c r="F250" s="306" t="str">
        <f t="shared" ref="F250:F251" si="42">IF(S245="","",S245)</f>
        <v>/-</v>
      </c>
      <c r="H250" s="763" t="s">
        <v>285</v>
      </c>
      <c r="I250" s="764"/>
      <c r="J250" s="765"/>
      <c r="M250" s="65"/>
      <c r="O250" s="171"/>
      <c r="P250" s="213" t="s">
        <v>289</v>
      </c>
      <c r="Q250" s="535"/>
      <c r="R250" s="535"/>
      <c r="S250" s="535"/>
      <c r="T250" s="4"/>
      <c r="U250" s="166" t="str">
        <f t="shared" si="37"/>
        <v/>
      </c>
      <c r="V250" s="166" t="str">
        <f t="shared" si="38"/>
        <v/>
      </c>
      <c r="W250" s="166" t="str">
        <f t="shared" si="39"/>
        <v/>
      </c>
      <c r="X250" s="4"/>
      <c r="Y250" s="212"/>
    </row>
    <row r="251" spans="1:27" ht="14.1" customHeight="1">
      <c r="A251" s="15">
        <v>35</v>
      </c>
      <c r="B251" s="64"/>
      <c r="C251" s="354" t="s">
        <v>258</v>
      </c>
      <c r="D251" s="260" t="str">
        <f t="shared" si="40"/>
        <v/>
      </c>
      <c r="E251" s="260" t="str">
        <f t="shared" si="41"/>
        <v/>
      </c>
      <c r="F251" s="294" t="str">
        <f t="shared" si="42"/>
        <v/>
      </c>
      <c r="H251" s="293" t="str">
        <f t="shared" ref="H251" si="43">IF(U246="","",U246)</f>
        <v>/-</v>
      </c>
      <c r="I251" s="260" t="str">
        <f t="shared" ref="I251" si="44">IF(V246="","",V246)</f>
        <v>/-</v>
      </c>
      <c r="J251" s="294" t="str">
        <f t="shared" ref="J251" si="45">IF(W246="","",W246)</f>
        <v>/-</v>
      </c>
      <c r="M251" s="65"/>
      <c r="O251" s="171"/>
      <c r="P251" s="213" t="s">
        <v>291</v>
      </c>
      <c r="Q251" s="535"/>
      <c r="R251" s="535"/>
      <c r="S251" s="535"/>
      <c r="T251" s="4"/>
      <c r="U251" s="166" t="str">
        <f t="shared" si="37"/>
        <v/>
      </c>
      <c r="V251" s="166" t="str">
        <f t="shared" si="38"/>
        <v/>
      </c>
      <c r="W251" s="166" t="str">
        <f t="shared" si="39"/>
        <v/>
      </c>
      <c r="X251" s="4"/>
      <c r="Y251" s="212"/>
    </row>
    <row r="252" spans="1:27" ht="14.1" customHeight="1">
      <c r="A252" s="15">
        <v>36</v>
      </c>
      <c r="B252" s="64"/>
      <c r="C252" s="354" t="s">
        <v>63</v>
      </c>
      <c r="D252" s="260" t="str">
        <f t="shared" ref="D252:D260" si="46">IF(Q247="","",Q247)</f>
        <v/>
      </c>
      <c r="E252" s="260" t="str">
        <f t="shared" ref="E252:E260" si="47">IF(R247="","",R247)</f>
        <v/>
      </c>
      <c r="F252" s="294" t="str">
        <f t="shared" ref="F252:F260" si="48">IF(S247="","",S247)</f>
        <v/>
      </c>
      <c r="H252" s="630" t="str">
        <f t="shared" ref="H252:J256" si="49">IF(U247="","",U247)</f>
        <v/>
      </c>
      <c r="I252" s="631" t="str">
        <f t="shared" si="49"/>
        <v/>
      </c>
      <c r="J252" s="632" t="str">
        <f t="shared" si="49"/>
        <v/>
      </c>
      <c r="M252" s="65"/>
      <c r="O252" s="171"/>
      <c r="P252" s="213" t="s">
        <v>295</v>
      </c>
      <c r="Q252" s="535"/>
      <c r="R252" s="535"/>
      <c r="S252" s="535"/>
      <c r="T252" s="4"/>
      <c r="U252" s="4"/>
      <c r="V252" s="4"/>
      <c r="W252" s="4"/>
      <c r="X252" s="4"/>
      <c r="Y252" s="212"/>
    </row>
    <row r="253" spans="1:27" ht="14.1" customHeight="1">
      <c r="A253" s="15">
        <v>37</v>
      </c>
      <c r="B253" s="64"/>
      <c r="C253" s="354" t="s">
        <v>286</v>
      </c>
      <c r="D253" s="335" t="str">
        <f t="shared" si="46"/>
        <v/>
      </c>
      <c r="E253" s="260" t="str">
        <f t="shared" si="47"/>
        <v/>
      </c>
      <c r="F253" s="294" t="str">
        <f t="shared" si="48"/>
        <v/>
      </c>
      <c r="H253" s="630" t="str">
        <f t="shared" si="49"/>
        <v/>
      </c>
      <c r="I253" s="631" t="str">
        <f t="shared" si="49"/>
        <v/>
      </c>
      <c r="J253" s="632" t="str">
        <f t="shared" si="49"/>
        <v/>
      </c>
      <c r="M253" s="65"/>
      <c r="O253" s="171"/>
      <c r="P253" s="213" t="s">
        <v>297</v>
      </c>
      <c r="Q253" s="66" t="str">
        <f>IF(Q248="","",AVERAGE(Q248:Q252))</f>
        <v/>
      </c>
      <c r="R253" s="66" t="str">
        <f>IF(R248="","",AVERAGE(R248:R252))</f>
        <v/>
      </c>
      <c r="S253" s="66" t="str">
        <f>IF(S248="","",AVERAGE(S248:S252))</f>
        <v/>
      </c>
      <c r="T253" s="4"/>
      <c r="U253" s="4"/>
      <c r="V253" s="4"/>
      <c r="W253" s="4"/>
      <c r="X253" s="4"/>
      <c r="Y253" s="212"/>
    </row>
    <row r="254" spans="1:27" ht="14.1" customHeight="1">
      <c r="A254" s="15">
        <v>38</v>
      </c>
      <c r="B254" s="64"/>
      <c r="C254" s="354" t="s">
        <v>288</v>
      </c>
      <c r="D254" s="335" t="str">
        <f t="shared" si="46"/>
        <v/>
      </c>
      <c r="E254" s="260" t="str">
        <f t="shared" si="47"/>
        <v/>
      </c>
      <c r="F254" s="294" t="str">
        <f t="shared" si="48"/>
        <v/>
      </c>
      <c r="H254" s="630" t="str">
        <f t="shared" si="49"/>
        <v/>
      </c>
      <c r="I254" s="631" t="str">
        <f t="shared" si="49"/>
        <v/>
      </c>
      <c r="J254" s="632" t="str">
        <f t="shared" si="49"/>
        <v/>
      </c>
      <c r="M254" s="65"/>
      <c r="O254" s="171"/>
      <c r="P254" s="213" t="s">
        <v>299</v>
      </c>
      <c r="Q254" s="643" t="str">
        <f>IF(U247="","",MAX(U247:U251))</f>
        <v/>
      </c>
      <c r="R254" s="643" t="str">
        <f t="shared" ref="R254:S254" si="50">IF(V247="","",MAX(V247:V251))</f>
        <v/>
      </c>
      <c r="S254" s="643" t="str">
        <f t="shared" si="50"/>
        <v/>
      </c>
      <c r="T254" s="4"/>
      <c r="U254" s="4"/>
      <c r="V254" s="4"/>
      <c r="W254" s="4"/>
      <c r="X254" s="4"/>
      <c r="Y254" s="212"/>
    </row>
    <row r="255" spans="1:27" ht="14.1" customHeight="1">
      <c r="A255" s="15">
        <v>39</v>
      </c>
      <c r="B255" s="64"/>
      <c r="C255" s="354" t="s">
        <v>289</v>
      </c>
      <c r="D255" s="335" t="str">
        <f t="shared" si="46"/>
        <v/>
      </c>
      <c r="E255" s="260" t="str">
        <f t="shared" si="47"/>
        <v/>
      </c>
      <c r="F255" s="294" t="str">
        <f t="shared" si="48"/>
        <v/>
      </c>
      <c r="H255" s="630" t="str">
        <f t="shared" si="49"/>
        <v/>
      </c>
      <c r="I255" s="631" t="str">
        <f t="shared" si="49"/>
        <v/>
      </c>
      <c r="J255" s="632" t="str">
        <f t="shared" si="49"/>
        <v/>
      </c>
      <c r="M255" s="65"/>
      <c r="O255" s="171"/>
      <c r="Q255" s="2" t="str">
        <f>IF(Q254="","",IF(Q254&lt;=0.07,"Pass","Fail"))</f>
        <v/>
      </c>
      <c r="R255" s="2" t="str">
        <f t="shared" ref="R255:S255" si="51">IF(R254="","",IF(R254&lt;=0.07,"Pass","Fail"))</f>
        <v/>
      </c>
      <c r="S255" s="2" t="str">
        <f t="shared" si="51"/>
        <v/>
      </c>
      <c r="T255" s="4"/>
      <c r="U255" s="4"/>
      <c r="V255" s="4"/>
      <c r="W255" s="4"/>
      <c r="X255" s="4"/>
      <c r="Y255" s="212"/>
    </row>
    <row r="256" spans="1:27" ht="14.1" customHeight="1" thickBot="1">
      <c r="A256" s="15">
        <v>40</v>
      </c>
      <c r="B256" s="64"/>
      <c r="C256" s="354" t="s">
        <v>291</v>
      </c>
      <c r="D256" s="335" t="str">
        <f t="shared" si="46"/>
        <v/>
      </c>
      <c r="E256" s="260" t="str">
        <f t="shared" si="47"/>
        <v/>
      </c>
      <c r="F256" s="294" t="str">
        <f t="shared" si="48"/>
        <v/>
      </c>
      <c r="H256" s="633" t="str">
        <f t="shared" si="49"/>
        <v/>
      </c>
      <c r="I256" s="634" t="str">
        <f t="shared" si="49"/>
        <v/>
      </c>
      <c r="J256" s="635" t="str">
        <f t="shared" si="49"/>
        <v/>
      </c>
      <c r="M256" s="65"/>
      <c r="O256" s="171"/>
      <c r="P256" s="3" t="s">
        <v>193</v>
      </c>
      <c r="Q256" s="25" t="s">
        <v>302</v>
      </c>
      <c r="T256" s="4"/>
      <c r="U256" s="4"/>
      <c r="V256" s="4"/>
      <c r="W256" s="4"/>
      <c r="X256" s="4"/>
      <c r="Y256" s="212"/>
    </row>
    <row r="257" spans="1:33" ht="14.1" customHeight="1" thickBot="1">
      <c r="A257" s="15">
        <v>41</v>
      </c>
      <c r="B257" s="64"/>
      <c r="C257" s="354" t="s">
        <v>295</v>
      </c>
      <c r="D257" s="335" t="str">
        <f t="shared" si="46"/>
        <v/>
      </c>
      <c r="E257" s="260" t="str">
        <f t="shared" si="47"/>
        <v/>
      </c>
      <c r="F257" s="294" t="str">
        <f t="shared" si="48"/>
        <v/>
      </c>
      <c r="M257" s="65"/>
      <c r="O257" s="206"/>
      <c r="P257" s="176"/>
      <c r="Q257" s="176"/>
      <c r="R257" s="176"/>
      <c r="S257" s="176"/>
      <c r="T257" s="176"/>
      <c r="U257" s="176"/>
      <c r="V257" s="176"/>
      <c r="W257" s="176"/>
      <c r="X257" s="176"/>
      <c r="Y257" s="207"/>
    </row>
    <row r="258" spans="1:33" ht="14.1" customHeight="1">
      <c r="A258" s="15">
        <v>42</v>
      </c>
      <c r="B258" s="64"/>
      <c r="C258" s="354" t="s">
        <v>297</v>
      </c>
      <c r="D258" s="335" t="str">
        <f t="shared" si="46"/>
        <v/>
      </c>
      <c r="E258" s="260" t="str">
        <f t="shared" si="47"/>
        <v/>
      </c>
      <c r="F258" s="294" t="str">
        <f t="shared" si="48"/>
        <v/>
      </c>
      <c r="M258" s="65"/>
      <c r="O258" s="128" t="s">
        <v>534</v>
      </c>
      <c r="P258" s="21"/>
      <c r="Q258" s="21"/>
      <c r="R258" s="21"/>
      <c r="S258" s="21"/>
      <c r="T258" s="21"/>
      <c r="U258" s="21"/>
      <c r="V258" s="21"/>
      <c r="W258" s="21"/>
      <c r="X258" s="21"/>
      <c r="Y258" s="22"/>
    </row>
    <row r="259" spans="1:33" ht="14.1" customHeight="1" thickBot="1">
      <c r="A259" s="15">
        <v>43</v>
      </c>
      <c r="B259" s="64"/>
      <c r="C259" s="355" t="s">
        <v>299</v>
      </c>
      <c r="D259" s="346" t="str">
        <f t="shared" si="46"/>
        <v/>
      </c>
      <c r="E259" s="346" t="str">
        <f t="shared" si="47"/>
        <v/>
      </c>
      <c r="F259" s="347" t="str">
        <f t="shared" si="48"/>
        <v/>
      </c>
      <c r="M259" s="65"/>
      <c r="O259" s="28"/>
      <c r="P259" s="33" t="s">
        <v>287</v>
      </c>
      <c r="Q259" s="1"/>
      <c r="S259" s="33" t="s">
        <v>163</v>
      </c>
      <c r="T259" s="129">
        <v>28</v>
      </c>
      <c r="V259" s="4"/>
      <c r="W259" s="4"/>
      <c r="Y259" s="30"/>
      <c r="AA259" s="4"/>
    </row>
    <row r="260" spans="1:33" ht="14.1" customHeight="1" thickBot="1">
      <c r="A260" s="15">
        <v>44</v>
      </c>
      <c r="B260" s="64"/>
      <c r="D260" s="322" t="str">
        <f t="shared" si="46"/>
        <v/>
      </c>
      <c r="E260" s="322" t="str">
        <f t="shared" si="47"/>
        <v/>
      </c>
      <c r="F260" s="322" t="str">
        <f t="shared" si="48"/>
        <v/>
      </c>
      <c r="M260" s="65"/>
      <c r="O260" s="28"/>
      <c r="P260" s="33" t="s">
        <v>85</v>
      </c>
      <c r="Q260" s="129" t="s">
        <v>227</v>
      </c>
      <c r="S260" s="33" t="s">
        <v>166</v>
      </c>
      <c r="T260" s="129">
        <v>100</v>
      </c>
      <c r="Y260" s="30"/>
      <c r="AA260" s="4"/>
      <c r="AD260" s="100"/>
      <c r="AE260" s="100"/>
      <c r="AF260" s="100"/>
      <c r="AG260" s="100"/>
    </row>
    <row r="261" spans="1:33" ht="14.1" customHeight="1">
      <c r="A261" s="15">
        <v>45</v>
      </c>
      <c r="B261" s="64"/>
      <c r="C261" s="3" t="s">
        <v>193</v>
      </c>
      <c r="D261" s="25" t="s">
        <v>302</v>
      </c>
      <c r="M261" s="65"/>
      <c r="O261" s="28"/>
      <c r="S261" s="100" t="s">
        <v>264</v>
      </c>
      <c r="U261" s="19" t="s">
        <v>290</v>
      </c>
      <c r="Y261" s="30"/>
      <c r="AA261" s="4"/>
    </row>
    <row r="262" spans="1:33" ht="14.1" customHeight="1" thickBot="1">
      <c r="A262" s="15">
        <v>46</v>
      </c>
      <c r="B262" s="147"/>
      <c r="C262" s="39"/>
      <c r="D262" s="39"/>
      <c r="E262" s="39"/>
      <c r="F262" s="39"/>
      <c r="G262" s="39"/>
      <c r="H262" s="39"/>
      <c r="I262" s="39"/>
      <c r="J262" s="39"/>
      <c r="K262" s="39"/>
      <c r="L262" s="39"/>
      <c r="M262" s="148"/>
      <c r="O262" s="171"/>
      <c r="Q262" s="100" t="s">
        <v>63</v>
      </c>
      <c r="R262" s="100" t="s">
        <v>273</v>
      </c>
      <c r="S262" s="100" t="s">
        <v>265</v>
      </c>
      <c r="T262" s="100" t="s">
        <v>292</v>
      </c>
      <c r="U262" s="100" t="s">
        <v>293</v>
      </c>
      <c r="W262" s="33" t="s">
        <v>294</v>
      </c>
      <c r="X262" s="240" t="e">
        <f>IF($T$259="","",$T$259*HLOOKUP($Q$260,Tables!$B$83:$D$85,2,FALSE)+HLOOKUP(Sheet1!$Q$260,Tables!$B$83:$D$85,3,FALSE))</f>
        <v>#N/A</v>
      </c>
      <c r="Y262" s="30"/>
      <c r="AA262" s="4"/>
    </row>
    <row r="263" spans="1:33" ht="14.1" customHeight="1">
      <c r="A263" s="15">
        <v>47</v>
      </c>
      <c r="B263" s="64"/>
      <c r="C263" s="70" t="str">
        <f>O258</f>
        <v>Mean Glandular Dose - 2D</v>
      </c>
      <c r="M263" s="65"/>
      <c r="O263" s="171"/>
      <c r="Q263" s="154">
        <f>P232</f>
        <v>0</v>
      </c>
      <c r="R263" s="154">
        <f>R232</f>
        <v>0</v>
      </c>
      <c r="S263" s="136"/>
      <c r="T263" s="264">
        <f>IF(Q263="","",Q263/$T$260)</f>
        <v>0</v>
      </c>
      <c r="U263" s="266" t="e">
        <f>IF(Q263="","",($T$259*HLOOKUP($Q$260,Tables!$B$70:$D$72,2,FALSE)+HLOOKUP(Sheet1!$Q$260,Tables!$B$70:$D$72,3,FALSE))*Q263)</f>
        <v>#N/A</v>
      </c>
      <c r="W263" s="33" t="s">
        <v>296</v>
      </c>
      <c r="X263" s="240" t="e">
        <f>IF(U267="","",U267)</f>
        <v>#N/A</v>
      </c>
      <c r="Y263" s="30"/>
      <c r="AA263" s="4"/>
    </row>
    <row r="264" spans="1:33" ht="14.1" customHeight="1">
      <c r="A264" s="15">
        <v>48</v>
      </c>
      <c r="B264" s="64"/>
      <c r="C264" s="33" t="s">
        <v>287</v>
      </c>
      <c r="D264" s="549" t="str">
        <f>IF(Q259="","",Q259)</f>
        <v/>
      </c>
      <c r="F264" s="33" t="s">
        <v>163</v>
      </c>
      <c r="G264" s="131">
        <f>IF(T259="","",T259)</f>
        <v>28</v>
      </c>
      <c r="M264" s="65"/>
      <c r="O264" s="171"/>
      <c r="Q264" s="154">
        <f t="shared" ref="Q264:Q266" si="52">P233</f>
        <v>0</v>
      </c>
      <c r="R264" s="154">
        <f t="shared" ref="R264:R266" si="53">R233</f>
        <v>0</v>
      </c>
      <c r="S264" s="136"/>
      <c r="T264" s="264">
        <f>IF(Q264="","",Q264/$T$260)</f>
        <v>0</v>
      </c>
      <c r="U264" s="266" t="e">
        <f>IF(Q264="","",($T$259*HLOOKUP($Q$260,Tables!$B$70:$D$72,2,FALSE)+HLOOKUP(Sheet1!$Q$260,Tables!$B$70:$D$72,3,FALSE))*Q264)</f>
        <v>#N/A</v>
      </c>
      <c r="W264" s="33" t="s">
        <v>298</v>
      </c>
      <c r="X264" s="224" t="e">
        <f>IF($Q$260="","",HLOOKUP($Q$260,Tables!$A$88:$F$89,2))</f>
        <v>#N/A</v>
      </c>
      <c r="Y264" s="30"/>
      <c r="AA264" s="4"/>
    </row>
    <row r="265" spans="1:33" ht="14.1" customHeight="1">
      <c r="A265" s="15">
        <v>49</v>
      </c>
      <c r="B265" s="64"/>
      <c r="C265" s="33" t="s">
        <v>85</v>
      </c>
      <c r="D265" s="131" t="str">
        <f>IF(Q260="","",Q260)</f>
        <v>W/Rh</v>
      </c>
      <c r="F265" s="33" t="s">
        <v>166</v>
      </c>
      <c r="G265" s="131">
        <f>IF(T260="","",T260)</f>
        <v>100</v>
      </c>
      <c r="M265" s="65"/>
      <c r="O265" s="171"/>
      <c r="Q265" s="154">
        <f t="shared" si="52"/>
        <v>0</v>
      </c>
      <c r="R265" s="154">
        <f t="shared" si="53"/>
        <v>0</v>
      </c>
      <c r="S265" s="136"/>
      <c r="T265" s="264">
        <f>IF(Q265="","",Q265/$T$260)</f>
        <v>0</v>
      </c>
      <c r="U265" s="266" t="e">
        <f>IF(Q265="","",($T$259*HLOOKUP($Q$260,Tables!$B$70:$D$72,2,FALSE)+HLOOKUP(Sheet1!$Q$260,Tables!$B$70:$D$72,3,FALSE))*Q265)</f>
        <v>#N/A</v>
      </c>
      <c r="W265" s="33" t="s">
        <v>300</v>
      </c>
      <c r="X265" s="132" t="e">
        <f>IF(ESE="","",Tables!K58)</f>
        <v>#N/A</v>
      </c>
      <c r="Y265" s="30"/>
      <c r="AA265" s="4"/>
    </row>
    <row r="266" spans="1:33" ht="14.1" customHeight="1">
      <c r="A266" s="15">
        <v>50</v>
      </c>
      <c r="B266" s="64"/>
      <c r="F266" s="100" t="s">
        <v>264</v>
      </c>
      <c r="H266" s="19" t="s">
        <v>290</v>
      </c>
      <c r="M266" s="65"/>
      <c r="O266" s="171"/>
      <c r="Q266" s="154">
        <f t="shared" si="52"/>
        <v>0</v>
      </c>
      <c r="R266" s="154">
        <f t="shared" si="53"/>
        <v>0</v>
      </c>
      <c r="S266" s="136"/>
      <c r="T266" s="264">
        <f>IF(Q266="","",Q266/$T$260)</f>
        <v>0</v>
      </c>
      <c r="U266" s="266" t="e">
        <f>IF(Q266="","",($T$259*HLOOKUP($Q$260,Tables!$B$70:$D$72,2,FALSE)+HLOOKUP(Sheet1!$Q$260,Tables!$B$70:$D$72,3,FALSE))*Q266)</f>
        <v>#N/A</v>
      </c>
      <c r="W266" s="33" t="s">
        <v>301</v>
      </c>
      <c r="X266" s="227" t="str">
        <f>IF(AB85="","",AB85)</f>
        <v/>
      </c>
      <c r="Y266" s="30"/>
      <c r="AA266" s="4"/>
    </row>
    <row r="267" spans="1:33" ht="14.1" customHeight="1" thickBot="1">
      <c r="A267" s="15">
        <v>51</v>
      </c>
      <c r="B267" s="64"/>
      <c r="C267" s="100"/>
      <c r="D267" s="100" t="s">
        <v>63</v>
      </c>
      <c r="E267" s="100" t="s">
        <v>273</v>
      </c>
      <c r="F267" s="100" t="s">
        <v>265</v>
      </c>
      <c r="G267" s="100" t="s">
        <v>292</v>
      </c>
      <c r="H267" s="100" t="s">
        <v>293</v>
      </c>
      <c r="J267" s="33" t="s">
        <v>294</v>
      </c>
      <c r="K267" s="132" t="e">
        <f t="shared" ref="K267:K272" si="54">IF(X262="","",X262)</f>
        <v>#N/A</v>
      </c>
      <c r="M267" s="65"/>
      <c r="O267" s="171"/>
      <c r="P267" s="33" t="s">
        <v>261</v>
      </c>
      <c r="Q267" s="66">
        <f>IF(OR(Q263="",Q264="",Q265="",Q266=""),"",AVERAGE(Q263:Q266))</f>
        <v>0</v>
      </c>
      <c r="R267" s="228">
        <f>IF(OR(R263="",R264="",R265="",R266=""),"",AVERAGE(R263:R266))</f>
        <v>0</v>
      </c>
      <c r="S267" s="11" t="str">
        <f>IF(OR(S263="",S264="",S265="",S266=""),"",AVERAGE(S263:S266))</f>
        <v/>
      </c>
      <c r="T267" s="12">
        <f>IF(OR(T263="",T264="",T265="",T266=""),"",AVERAGE(T263:T266))</f>
        <v>0</v>
      </c>
      <c r="U267" s="265" t="e">
        <f>IF(OR(U263="",U264="",U265="",U266=""),"",AVERAGE(U263:U266))</f>
        <v>#N/A</v>
      </c>
      <c r="W267" s="33" t="s">
        <v>303</v>
      </c>
      <c r="X267" s="223" t="e">
        <f>IF(OR(X265="",X266=""),"",(X265-X266)/X266)</f>
        <v>#N/A</v>
      </c>
      <c r="Y267" s="30"/>
    </row>
    <row r="268" spans="1:33" ht="14.1" customHeight="1">
      <c r="A268" s="15">
        <v>52</v>
      </c>
      <c r="B268" s="64"/>
      <c r="D268" s="201">
        <f t="shared" ref="D268:H273" si="55">IF(Q263="","",Q263)</f>
        <v>0</v>
      </c>
      <c r="E268" s="192">
        <f t="shared" si="55"/>
        <v>0</v>
      </c>
      <c r="F268" s="188" t="str">
        <f t="shared" si="55"/>
        <v/>
      </c>
      <c r="G268" s="215">
        <f t="shared" si="55"/>
        <v>0</v>
      </c>
      <c r="H268" s="216" t="e">
        <f t="shared" si="55"/>
        <v>#N/A</v>
      </c>
      <c r="J268" s="33" t="s">
        <v>296</v>
      </c>
      <c r="K268" s="133" t="e">
        <f t="shared" si="54"/>
        <v>#N/A</v>
      </c>
      <c r="M268" s="65"/>
      <c r="O268" s="171"/>
      <c r="P268" s="33" t="s">
        <v>263</v>
      </c>
      <c r="Q268" s="166" t="e">
        <f>IF(Q267="","",_xlfn.STDEV.S(Q263:Q266)/Q267)</f>
        <v>#DIV/0!</v>
      </c>
      <c r="R268" s="166" t="e">
        <f>IF(R267="","",_xlfn.STDEV.S(R263:R266)/R267)</f>
        <v>#DIV/0!</v>
      </c>
      <c r="S268" s="166" t="str">
        <f>IF(S267="","",_xlfn.STDEV.S(S263:S266)/S267)</f>
        <v/>
      </c>
      <c r="T268" s="166" t="e">
        <f>IF(T267="","",_xlfn.STDEV.S(T263:T266)/T267)</f>
        <v>#DIV/0!</v>
      </c>
      <c r="U268" s="166" t="e">
        <f>IF(U267="","",_xlfn.STDEV.S(U263:U266)/U267)</f>
        <v>#N/A</v>
      </c>
      <c r="W268" s="4"/>
      <c r="X268" s="4"/>
      <c r="Y268" s="30"/>
    </row>
    <row r="269" spans="1:33" ht="14.1" customHeight="1">
      <c r="A269" s="15">
        <v>53</v>
      </c>
      <c r="B269" s="64"/>
      <c r="D269" s="203">
        <f t="shared" si="55"/>
        <v>0</v>
      </c>
      <c r="E269" s="66">
        <f t="shared" si="55"/>
        <v>0</v>
      </c>
      <c r="F269" s="10" t="str">
        <f t="shared" si="55"/>
        <v/>
      </c>
      <c r="G269" s="12">
        <f t="shared" si="55"/>
        <v>0</v>
      </c>
      <c r="H269" s="217" t="e">
        <f t="shared" si="55"/>
        <v>#N/A</v>
      </c>
      <c r="J269" s="33" t="s">
        <v>298</v>
      </c>
      <c r="K269" s="218" t="e">
        <f t="shared" si="54"/>
        <v>#N/A</v>
      </c>
      <c r="M269" s="65"/>
      <c r="O269" s="28"/>
      <c r="P269" s="3" t="s">
        <v>193</v>
      </c>
      <c r="Q269" s="25" t="s">
        <v>754</v>
      </c>
      <c r="W269" s="33" t="s">
        <v>305</v>
      </c>
      <c r="X269" s="223" t="e">
        <f>IF(X265="","",(X265-S267)/S267)</f>
        <v>#N/A</v>
      </c>
      <c r="Y269" s="30"/>
    </row>
    <row r="270" spans="1:33" ht="14.1" customHeight="1">
      <c r="A270" s="15">
        <v>54</v>
      </c>
      <c r="B270" s="64"/>
      <c r="D270" s="203">
        <f t="shared" si="55"/>
        <v>0</v>
      </c>
      <c r="E270" s="66">
        <f t="shared" si="55"/>
        <v>0</v>
      </c>
      <c r="F270" s="10" t="str">
        <f t="shared" si="55"/>
        <v/>
      </c>
      <c r="G270" s="12">
        <f t="shared" si="55"/>
        <v>0</v>
      </c>
      <c r="H270" s="217" t="e">
        <f t="shared" si="55"/>
        <v>#N/A</v>
      </c>
      <c r="J270" s="33" t="s">
        <v>300</v>
      </c>
      <c r="K270" s="133" t="e">
        <f t="shared" si="54"/>
        <v>#N/A</v>
      </c>
      <c r="M270" s="65"/>
      <c r="O270" s="28"/>
      <c r="P270" s="25"/>
      <c r="Q270" s="25" t="s">
        <v>483</v>
      </c>
      <c r="W270" s="33" t="s">
        <v>307</v>
      </c>
      <c r="X270" s="224" t="e">
        <f>IF(OR(X265="",Q267=""),"",3/(X265/Q267))</f>
        <v>#N/A</v>
      </c>
      <c r="Y270" s="30"/>
    </row>
    <row r="271" spans="1:33" ht="14.1" customHeight="1" thickBot="1">
      <c r="A271" s="15">
        <v>55</v>
      </c>
      <c r="B271" s="64"/>
      <c r="D271" s="219">
        <f t="shared" si="55"/>
        <v>0</v>
      </c>
      <c r="E271" s="444">
        <f t="shared" si="55"/>
        <v>0</v>
      </c>
      <c r="F271" s="94" t="str">
        <f t="shared" si="55"/>
        <v/>
      </c>
      <c r="G271" s="220">
        <f t="shared" si="55"/>
        <v>0</v>
      </c>
      <c r="H271" s="221" t="e">
        <f t="shared" si="55"/>
        <v>#N/A</v>
      </c>
      <c r="J271" s="33" t="s">
        <v>301</v>
      </c>
      <c r="K271" s="133" t="str">
        <f t="shared" si="54"/>
        <v/>
      </c>
      <c r="M271" s="65"/>
      <c r="O271" s="28"/>
      <c r="Y271" s="30"/>
      <c r="Z271"/>
      <c r="AA271"/>
      <c r="AB271"/>
      <c r="AC271"/>
      <c r="AD271"/>
      <c r="AE271"/>
      <c r="AF271"/>
      <c r="AG271"/>
    </row>
    <row r="272" spans="1:33" ht="14.1" customHeight="1" thickBot="1">
      <c r="A272" s="15">
        <v>56</v>
      </c>
      <c r="B272" s="64"/>
      <c r="C272" s="33" t="s">
        <v>261</v>
      </c>
      <c r="D272" s="203">
        <f t="shared" si="55"/>
        <v>0</v>
      </c>
      <c r="E272" s="66">
        <f t="shared" si="55"/>
        <v>0</v>
      </c>
      <c r="F272" s="11" t="str">
        <f t="shared" si="55"/>
        <v/>
      </c>
      <c r="G272" s="12">
        <f t="shared" si="55"/>
        <v>0</v>
      </c>
      <c r="H272" s="217" t="e">
        <f t="shared" si="55"/>
        <v>#N/A</v>
      </c>
      <c r="J272" s="33" t="s">
        <v>303</v>
      </c>
      <c r="K272" s="222" t="e">
        <f t="shared" si="54"/>
        <v>#N/A</v>
      </c>
      <c r="M272" s="65"/>
      <c r="O272" s="130" t="s">
        <v>613</v>
      </c>
      <c r="Y272" s="30"/>
      <c r="Z272"/>
      <c r="AA272"/>
      <c r="AB272"/>
      <c r="AC272"/>
      <c r="AD272"/>
      <c r="AE272"/>
      <c r="AF272"/>
      <c r="AG272"/>
    </row>
    <row r="273" spans="1:33" ht="14.1" customHeight="1" thickBot="1">
      <c r="A273" s="15">
        <v>57</v>
      </c>
      <c r="B273" s="64"/>
      <c r="C273" s="33" t="s">
        <v>263</v>
      </c>
      <c r="D273" s="175" t="e">
        <f t="shared" si="55"/>
        <v>#DIV/0!</v>
      </c>
      <c r="E273" s="169" t="e">
        <f t="shared" si="55"/>
        <v>#DIV/0!</v>
      </c>
      <c r="F273" s="169" t="str">
        <f t="shared" si="55"/>
        <v/>
      </c>
      <c r="G273" s="169" t="e">
        <f t="shared" si="55"/>
        <v>#DIV/0!</v>
      </c>
      <c r="H273" s="170" t="e">
        <f t="shared" si="55"/>
        <v>#N/A</v>
      </c>
      <c r="M273" s="65"/>
      <c r="O273" s="28"/>
      <c r="P273" s="304" t="s">
        <v>535</v>
      </c>
      <c r="Q273" s="305" t="s">
        <v>258</v>
      </c>
      <c r="R273" s="305" t="s">
        <v>63</v>
      </c>
      <c r="S273" s="305" t="s">
        <v>265</v>
      </c>
      <c r="T273" s="505" t="s">
        <v>574</v>
      </c>
      <c r="U273" s="305" t="s">
        <v>536</v>
      </c>
      <c r="V273" s="306" t="s">
        <v>280</v>
      </c>
      <c r="Y273" s="30"/>
      <c r="Z273"/>
      <c r="AA273"/>
      <c r="AB273"/>
      <c r="AC273"/>
      <c r="AD273"/>
      <c r="AE273"/>
      <c r="AF273"/>
      <c r="AG273"/>
    </row>
    <row r="274" spans="1:33" ht="14.1" customHeight="1">
      <c r="A274" s="15">
        <v>58</v>
      </c>
      <c r="B274" s="64"/>
      <c r="C274" s="3" t="s">
        <v>193</v>
      </c>
      <c r="D274" s="25" t="s">
        <v>754</v>
      </c>
      <c r="J274" s="33" t="s">
        <v>305</v>
      </c>
      <c r="K274" s="223" t="e">
        <f>IF(X269="","",X269)</f>
        <v>#N/A</v>
      </c>
      <c r="M274" s="65"/>
      <c r="O274" s="28"/>
      <c r="P274" s="293">
        <v>20</v>
      </c>
      <c r="Q274" s="260">
        <v>26</v>
      </c>
      <c r="R274" s="514"/>
      <c r="S274" s="514"/>
      <c r="T274" s="626" t="str">
        <f>IF(AB124="","",AB124)</f>
        <v/>
      </c>
      <c r="U274" s="335">
        <v>1.1000000000000001</v>
      </c>
      <c r="V274" s="294" t="str">
        <f>IF(S274="","",IF(S274&lt;=U274, "Pass","Fail"))</f>
        <v/>
      </c>
      <c r="Y274" s="30"/>
      <c r="Z274"/>
      <c r="AA274"/>
      <c r="AB274"/>
      <c r="AC274"/>
      <c r="AD274"/>
      <c r="AE274"/>
      <c r="AF274"/>
      <c r="AG274"/>
    </row>
    <row r="275" spans="1:33" ht="14.1" customHeight="1">
      <c r="A275" s="15">
        <v>59</v>
      </c>
      <c r="B275" s="64"/>
      <c r="D275" s="25" t="s">
        <v>306</v>
      </c>
      <c r="J275" s="33" t="s">
        <v>307</v>
      </c>
      <c r="K275" s="224" t="e">
        <f>IF(X270="","",X270)</f>
        <v>#N/A</v>
      </c>
      <c r="M275" s="65"/>
      <c r="O275" s="28"/>
      <c r="P275" s="293">
        <v>40</v>
      </c>
      <c r="Q275" s="260">
        <v>28</v>
      </c>
      <c r="R275" s="514"/>
      <c r="S275" s="514"/>
      <c r="T275" s="626" t="str">
        <f>IF(AB125="","",AB125)</f>
        <v/>
      </c>
      <c r="U275" s="335">
        <v>2.2000000000000002</v>
      </c>
      <c r="V275" s="294" t="str">
        <f>IF(S275="","",IF(S275&lt;=U275, "Pass","Fail"))</f>
        <v/>
      </c>
      <c r="Y275" s="30"/>
      <c r="Z275"/>
      <c r="AA275"/>
      <c r="AB275"/>
      <c r="AC275"/>
      <c r="AD275"/>
      <c r="AE275"/>
      <c r="AF275"/>
      <c r="AG275"/>
    </row>
    <row r="276" spans="1:33" ht="14.1" customHeight="1" thickBot="1">
      <c r="A276" s="15">
        <v>60</v>
      </c>
      <c r="B276" s="64"/>
      <c r="M276" s="65"/>
      <c r="O276" s="28"/>
      <c r="P276" s="300">
        <v>60</v>
      </c>
      <c r="Q276" s="301">
        <v>30</v>
      </c>
      <c r="R276" s="515"/>
      <c r="S276" s="515"/>
      <c r="T276" s="627" t="str">
        <f>IF(AB126="","",AB126)</f>
        <v/>
      </c>
      <c r="U276" s="507">
        <v>4.7</v>
      </c>
      <c r="V276" s="303" t="str">
        <f>IF(S276="","",IF(S276&lt;=U276, "Pass","Fail"))</f>
        <v/>
      </c>
      <c r="Y276" s="30"/>
      <c r="Z276"/>
      <c r="AA276"/>
      <c r="AB276"/>
      <c r="AC276"/>
      <c r="AD276"/>
      <c r="AE276"/>
      <c r="AF276"/>
      <c r="AG276"/>
    </row>
    <row r="277" spans="1:33" ht="14.1" customHeight="1" thickBot="1">
      <c r="A277" s="15">
        <v>61</v>
      </c>
      <c r="B277" s="64"/>
      <c r="C277" s="70" t="str">
        <f>O272</f>
        <v>Mean Glandular Dose - Tomo</v>
      </c>
      <c r="J277" s="70" t="str">
        <f>O279</f>
        <v>Mean Glandular Dose - 2D + Tomo</v>
      </c>
      <c r="M277" s="65"/>
      <c r="O277" s="28"/>
      <c r="P277" s="3" t="s">
        <v>193</v>
      </c>
      <c r="Q277" s="25" t="s">
        <v>537</v>
      </c>
      <c r="Y277" s="30"/>
      <c r="Z277"/>
      <c r="AA277"/>
      <c r="AB277"/>
      <c r="AC277"/>
      <c r="AD277"/>
      <c r="AE277"/>
      <c r="AF277"/>
      <c r="AG277"/>
    </row>
    <row r="278" spans="1:33" ht="14.1" customHeight="1">
      <c r="A278" s="15">
        <v>62</v>
      </c>
      <c r="B278" s="64"/>
      <c r="C278" s="304" t="s">
        <v>535</v>
      </c>
      <c r="D278" s="305" t="s">
        <v>258</v>
      </c>
      <c r="E278" s="305" t="s">
        <v>63</v>
      </c>
      <c r="F278" s="305" t="s">
        <v>265</v>
      </c>
      <c r="G278" s="305" t="s">
        <v>536</v>
      </c>
      <c r="H278" s="306" t="s">
        <v>280</v>
      </c>
      <c r="J278" s="33"/>
      <c r="K278" s="100"/>
      <c r="M278" s="65" t="s">
        <v>699</v>
      </c>
      <c r="O278" s="385"/>
      <c r="Y278" s="560"/>
      <c r="Z278"/>
      <c r="AA278"/>
      <c r="AB278"/>
      <c r="AC278"/>
      <c r="AD278"/>
      <c r="AE278"/>
      <c r="AF278"/>
      <c r="AG278"/>
    </row>
    <row r="279" spans="1:33" ht="14.1" customHeight="1" thickBot="1">
      <c r="A279" s="15">
        <v>63</v>
      </c>
      <c r="B279" s="64"/>
      <c r="C279" s="293">
        <v>20</v>
      </c>
      <c r="D279" s="260">
        <v>26</v>
      </c>
      <c r="E279" s="260" t="str">
        <f t="shared" ref="E279:F281" si="56">IF(R274="","",R274)</f>
        <v/>
      </c>
      <c r="F279" s="260" t="str">
        <f t="shared" si="56"/>
        <v/>
      </c>
      <c r="G279" s="335">
        <f>IF(U274="","",U274)</f>
        <v>1.1000000000000001</v>
      </c>
      <c r="H279" s="294" t="str">
        <f>IF(V274="","",V274)</f>
        <v/>
      </c>
      <c r="K279" s="100" t="s">
        <v>258</v>
      </c>
      <c r="L279" s="100" t="s">
        <v>63</v>
      </c>
      <c r="M279" s="230" t="s">
        <v>599</v>
      </c>
      <c r="O279" s="561" t="s">
        <v>614</v>
      </c>
      <c r="P279" s="33"/>
      <c r="Q279" s="100"/>
      <c r="Y279" s="560"/>
      <c r="Z279"/>
      <c r="AA279"/>
      <c r="AB279"/>
      <c r="AC279"/>
      <c r="AD279"/>
      <c r="AE279"/>
      <c r="AF279"/>
      <c r="AG279"/>
    </row>
    <row r="280" spans="1:33" ht="14.1" customHeight="1">
      <c r="A280" s="15">
        <v>64</v>
      </c>
      <c r="B280" s="64"/>
      <c r="C280" s="293">
        <v>40</v>
      </c>
      <c r="D280" s="260">
        <v>28</v>
      </c>
      <c r="E280" s="260" t="str">
        <f t="shared" si="56"/>
        <v/>
      </c>
      <c r="F280" s="260" t="str">
        <f t="shared" si="56"/>
        <v/>
      </c>
      <c r="G280" s="335">
        <f t="shared" ref="G280:G281" si="57">IF(U275="","",U275)</f>
        <v>2.2000000000000002</v>
      </c>
      <c r="H280" s="294" t="str">
        <f>IF(V275="","",V275)</f>
        <v/>
      </c>
      <c r="J280" s="33" t="s">
        <v>596</v>
      </c>
      <c r="K280" s="304">
        <f>IF(Q304="","",Q304)</f>
        <v>28</v>
      </c>
      <c r="L280" s="305" t="str">
        <f>IF(R304="","",R304)</f>
        <v/>
      </c>
      <c r="M280" s="395" t="str">
        <f>IF(T304="","",T304)</f>
        <v/>
      </c>
      <c r="O280" s="385"/>
      <c r="P280" s="70" t="s">
        <v>602</v>
      </c>
      <c r="S280" s="100" t="s">
        <v>264</v>
      </c>
      <c r="U280" s="19" t="s">
        <v>290</v>
      </c>
      <c r="V280" s="100"/>
      <c r="Y280" s="560"/>
      <c r="Z280"/>
      <c r="AA280"/>
      <c r="AB280"/>
      <c r="AC280"/>
      <c r="AD280"/>
      <c r="AE280"/>
      <c r="AF280"/>
      <c r="AG280"/>
    </row>
    <row r="281" spans="1:33" ht="14.1" customHeight="1" thickBot="1">
      <c r="A281" s="15">
        <v>65</v>
      </c>
      <c r="B281" s="64"/>
      <c r="C281" s="300">
        <v>60</v>
      </c>
      <c r="D281" s="301">
        <v>30</v>
      </c>
      <c r="E281" s="301" t="str">
        <f t="shared" si="56"/>
        <v/>
      </c>
      <c r="F281" s="301" t="str">
        <f t="shared" si="56"/>
        <v/>
      </c>
      <c r="G281" s="507">
        <f t="shared" si="57"/>
        <v>4.7</v>
      </c>
      <c r="H281" s="303" t="str">
        <f>IF(V276="","",V276)</f>
        <v/>
      </c>
      <c r="J281" s="33" t="s">
        <v>597</v>
      </c>
      <c r="K281" s="300">
        <f>IF(Q305="","",Q305)</f>
        <v>28</v>
      </c>
      <c r="L281" s="301" t="str">
        <f>IF(R305="","",R305)</f>
        <v/>
      </c>
      <c r="M281" s="397" t="str">
        <f>IF(T305="","",T305)</f>
        <v/>
      </c>
      <c r="O281" s="385"/>
      <c r="Q281" s="100" t="s">
        <v>63</v>
      </c>
      <c r="R281" s="100" t="s">
        <v>273</v>
      </c>
      <c r="S281" s="100" t="s">
        <v>265</v>
      </c>
      <c r="T281" s="100" t="s">
        <v>292</v>
      </c>
      <c r="U281" s="100" t="s">
        <v>293</v>
      </c>
      <c r="V281" s="100"/>
      <c r="W281" s="33" t="s">
        <v>294</v>
      </c>
      <c r="X281" s="240" t="e">
        <f>IF($T$259="","",$T$259*HLOOKUP($Q$260,Tables!$B$83:$D$85,2,FALSE)+HLOOKUP(Sheet1!$Q$260,Tables!$B$83:$D$85,3,FALSE))</f>
        <v>#N/A</v>
      </c>
      <c r="Y281" s="560"/>
      <c r="Z281"/>
      <c r="AA281"/>
      <c r="AB281"/>
      <c r="AC281"/>
      <c r="AD281"/>
      <c r="AE281"/>
      <c r="AF281"/>
      <c r="AG281"/>
    </row>
    <row r="282" spans="1:33" ht="14.1" customHeight="1" thickBot="1">
      <c r="A282" s="15">
        <v>66</v>
      </c>
      <c r="B282" s="64"/>
      <c r="C282" s="3" t="s">
        <v>193</v>
      </c>
      <c r="D282" s="25" t="s">
        <v>537</v>
      </c>
      <c r="L282" s="33" t="s">
        <v>600</v>
      </c>
      <c r="M282" s="567" t="str">
        <f>IF(T306="","",T306)</f>
        <v/>
      </c>
      <c r="O282" s="385"/>
      <c r="Q282" s="136"/>
      <c r="R282" s="136"/>
      <c r="S282" s="136"/>
      <c r="T282" s="264" t="str">
        <f>IF(Q282="","",Q282/$T$260)</f>
        <v/>
      </c>
      <c r="U282" s="266" t="str">
        <f>IF(Q282="","",($T$259*HLOOKUP($Q$260,Tables!$B$70:$D$72,2,FALSE)+HLOOKUP(Sheet1!$Q$260,Tables!$B$70:$D$72,3,FALSE))*Q282)</f>
        <v/>
      </c>
      <c r="W282" s="33" t="s">
        <v>296</v>
      </c>
      <c r="X282" s="240" t="str">
        <f>IF(U286="","",U286)</f>
        <v/>
      </c>
      <c r="Y282" s="560"/>
      <c r="Z282"/>
      <c r="AA282"/>
      <c r="AB282"/>
      <c r="AC282"/>
      <c r="AD282"/>
      <c r="AE282"/>
      <c r="AF282"/>
      <c r="AG282"/>
    </row>
    <row r="283" spans="1:33" ht="14.1" customHeight="1" thickBot="1">
      <c r="A283" s="15">
        <v>67</v>
      </c>
      <c r="B283" s="64"/>
      <c r="L283" s="33" t="s">
        <v>207</v>
      </c>
      <c r="M283" s="400" t="str">
        <f>IF(V304="","",V304)</f>
        <v/>
      </c>
      <c r="O283" s="385"/>
      <c r="Q283" s="136"/>
      <c r="R283" s="136"/>
      <c r="S283" s="136"/>
      <c r="T283" s="264" t="str">
        <f>IF(Q283="","",Q283/$T$260)</f>
        <v/>
      </c>
      <c r="U283" s="266" t="str">
        <f>IF(Q283="","",($T$259*HLOOKUP($Q$260,Tables!$B$70:$D$72,2,FALSE)+HLOOKUP(Sheet1!$Q$260,Tables!$B$70:$D$72,3,FALSE))*Q283)</f>
        <v/>
      </c>
      <c r="W283" s="33" t="s">
        <v>298</v>
      </c>
      <c r="X283" s="224" t="e">
        <f>IF($Q$260="","",HLOOKUP($Q$260,Tables!$A$88:$F$89,2))</f>
        <v>#N/A</v>
      </c>
      <c r="Y283" s="560"/>
      <c r="Z283"/>
      <c r="AA283"/>
      <c r="AB283"/>
      <c r="AC283"/>
      <c r="AD283"/>
      <c r="AE283"/>
      <c r="AF283"/>
      <c r="AG283"/>
    </row>
    <row r="284" spans="1:33" ht="14.1" customHeight="1">
      <c r="A284" s="15">
        <v>68</v>
      </c>
      <c r="B284" s="64"/>
      <c r="M284" s="65"/>
      <c r="O284" s="385"/>
      <c r="Q284" s="136"/>
      <c r="R284" s="136"/>
      <c r="S284" s="136"/>
      <c r="T284" s="264" t="str">
        <f>IF(Q284="","",Q284/$T$260)</f>
        <v/>
      </c>
      <c r="U284" s="266" t="str">
        <f>IF(Q284="","",($T$259*HLOOKUP($Q$260,Tables!$B$70:$D$72,2,FALSE)+HLOOKUP(Sheet1!$Q$260,Tables!$B$70:$D$72,3,FALSE))*Q284)</f>
        <v/>
      </c>
      <c r="W284" s="33" t="s">
        <v>300</v>
      </c>
      <c r="X284" s="132" t="str">
        <f>IF(X282="","",Tables!K59)</f>
        <v/>
      </c>
      <c r="Y284" s="560"/>
      <c r="Z284"/>
      <c r="AA284"/>
      <c r="AB284"/>
      <c r="AC284"/>
      <c r="AD284"/>
      <c r="AE284"/>
      <c r="AF284"/>
      <c r="AG284"/>
    </row>
    <row r="285" spans="1:33" ht="14.1" customHeight="1">
      <c r="A285" s="15">
        <v>69</v>
      </c>
      <c r="B285" s="64"/>
      <c r="M285" s="65"/>
      <c r="O285" s="385"/>
      <c r="Q285" s="136"/>
      <c r="R285" s="136"/>
      <c r="S285" s="136"/>
      <c r="T285" s="264" t="str">
        <f>IF(Q285="","",Q285/$T$260)</f>
        <v/>
      </c>
      <c r="U285" s="266" t="str">
        <f>IF(Q285="","",($T$259*HLOOKUP($Q$260,Tables!$B$70:$D$72,2,FALSE)+HLOOKUP(Sheet1!$Q$260,Tables!$B$70:$D$72,3,FALSE))*Q285)</f>
        <v/>
      </c>
      <c r="W285" s="33" t="s">
        <v>301</v>
      </c>
      <c r="X285" s="227" t="str">
        <f>IF(AB86="","",AB86)</f>
        <v/>
      </c>
      <c r="Y285" s="560"/>
      <c r="Z285"/>
      <c r="AA285"/>
      <c r="AB285"/>
      <c r="AC285"/>
      <c r="AD285"/>
      <c r="AE285"/>
      <c r="AF285"/>
      <c r="AG285"/>
    </row>
    <row r="286" spans="1:33" ht="14.1" customHeight="1" thickBot="1">
      <c r="A286" s="15">
        <v>70</v>
      </c>
      <c r="B286" s="75"/>
      <c r="C286" s="76"/>
      <c r="D286" s="76"/>
      <c r="E286" s="76"/>
      <c r="F286" s="76"/>
      <c r="G286" s="76"/>
      <c r="H286" s="76"/>
      <c r="I286" s="76"/>
      <c r="J286" s="76"/>
      <c r="K286" s="76"/>
      <c r="L286" s="76"/>
      <c r="M286" s="77"/>
      <c r="O286" s="385"/>
      <c r="P286" s="33" t="s">
        <v>261</v>
      </c>
      <c r="Q286" s="66" t="str">
        <f t="shared" ref="Q286:U286" si="58">IF(OR(Q282="",Q283="",Q284="",Q285=""),"",AVERAGE(Q282:Q285))</f>
        <v/>
      </c>
      <c r="R286" s="228" t="str">
        <f t="shared" si="58"/>
        <v/>
      </c>
      <c r="S286" s="11" t="str">
        <f t="shared" si="58"/>
        <v/>
      </c>
      <c r="T286" s="12" t="str">
        <f t="shared" si="58"/>
        <v/>
      </c>
      <c r="U286" s="265" t="str">
        <f t="shared" si="58"/>
        <v/>
      </c>
      <c r="V286" s="557"/>
      <c r="W286" s="33" t="s">
        <v>303</v>
      </c>
      <c r="X286" s="223" t="str">
        <f>IF(OR(X284="",X285=""),"",(X284-X285)/X285)</f>
        <v/>
      </c>
      <c r="Y286" s="560"/>
      <c r="Z286"/>
      <c r="AA286"/>
      <c r="AB286"/>
      <c r="AC286"/>
      <c r="AD286"/>
      <c r="AE286"/>
      <c r="AF286"/>
      <c r="AG286"/>
    </row>
    <row r="287" spans="1:33" ht="14.1" customHeight="1" thickTop="1">
      <c r="A287" s="15">
        <v>71</v>
      </c>
      <c r="C287" s="102" t="s">
        <v>8</v>
      </c>
      <c r="D287" s="320" t="str">
        <f>IF($P$7="","",$P$7)</f>
        <v/>
      </c>
      <c r="E287" s="25"/>
      <c r="F287" s="25"/>
      <c r="G287" s="25"/>
      <c r="H287" s="25"/>
      <c r="I287" s="25"/>
      <c r="J287" s="25"/>
      <c r="K287" s="25"/>
      <c r="L287" s="102" t="s">
        <v>9</v>
      </c>
      <c r="M287" s="321" t="str">
        <f>IF($X$7="","",$X$7)</f>
        <v>Eugene Mah</v>
      </c>
      <c r="O287" s="385"/>
      <c r="P287" s="33" t="s">
        <v>263</v>
      </c>
      <c r="Q287" s="166" t="str">
        <f t="shared" ref="Q287:U287" si="59">IF(Q286="","",_xlfn.STDEV.S(Q282:Q285)/Q286)</f>
        <v/>
      </c>
      <c r="R287" s="166" t="str">
        <f t="shared" si="59"/>
        <v/>
      </c>
      <c r="S287" s="166" t="str">
        <f t="shared" si="59"/>
        <v/>
      </c>
      <c r="T287" s="166" t="str">
        <f t="shared" si="59"/>
        <v/>
      </c>
      <c r="U287" s="166" t="str">
        <f t="shared" si="59"/>
        <v/>
      </c>
      <c r="V287" s="558"/>
      <c r="W287" s="4"/>
      <c r="X287" s="4"/>
      <c r="Y287" s="560"/>
      <c r="Z287"/>
      <c r="AA287"/>
      <c r="AB287"/>
      <c r="AC287"/>
      <c r="AD287"/>
      <c r="AE287"/>
      <c r="AF287"/>
      <c r="AG287"/>
    </row>
    <row r="288" spans="1:33" ht="14.1" customHeight="1">
      <c r="A288" s="15">
        <v>72</v>
      </c>
      <c r="C288" s="102" t="s">
        <v>111</v>
      </c>
      <c r="D288" s="321" t="str">
        <f>IF($R$14="","",$R$14)</f>
        <v/>
      </c>
      <c r="E288" s="25"/>
      <c r="F288" s="25"/>
      <c r="G288" s="25"/>
      <c r="H288" s="25"/>
      <c r="I288" s="25"/>
      <c r="J288" s="25"/>
      <c r="K288" s="25"/>
      <c r="L288" s="102" t="s">
        <v>29</v>
      </c>
      <c r="M288" s="321" t="str">
        <f>IF($R$13="","",$R$13)</f>
        <v/>
      </c>
      <c r="O288" s="385"/>
      <c r="P288" s="3" t="s">
        <v>193</v>
      </c>
      <c r="Q288" s="25" t="s">
        <v>304</v>
      </c>
      <c r="W288" s="33" t="s">
        <v>305</v>
      </c>
      <c r="X288" s="223" t="str">
        <f>IF(X284="","",(X284-S286)/S286)</f>
        <v/>
      </c>
      <c r="Y288" s="560"/>
      <c r="Z288"/>
      <c r="AA288"/>
      <c r="AB288"/>
      <c r="AC288"/>
      <c r="AD288"/>
      <c r="AE288"/>
      <c r="AF288"/>
      <c r="AG288"/>
    </row>
    <row r="289" spans="1:33" ht="14.1" customHeight="1">
      <c r="A289" s="15">
        <v>1</v>
      </c>
      <c r="M289" s="105" t="str">
        <f>$H$2</f>
        <v>Medical University of South Carolina</v>
      </c>
      <c r="O289" s="385"/>
      <c r="P289" s="25"/>
      <c r="Q289" s="25" t="s">
        <v>483</v>
      </c>
      <c r="W289" s="33" t="s">
        <v>307</v>
      </c>
      <c r="X289" s="224" t="str">
        <f>IF(OR(X284="",Q286=""),"",3/(X284/Q286))</f>
        <v/>
      </c>
      <c r="Y289" s="560"/>
      <c r="Z289"/>
      <c r="AA289"/>
      <c r="AB289"/>
      <c r="AC289"/>
      <c r="AD289"/>
      <c r="AE289"/>
      <c r="AF289"/>
      <c r="AG289"/>
    </row>
    <row r="290" spans="1:33" ht="14.1" customHeight="1" thickBot="1">
      <c r="A290" s="15">
        <v>2</v>
      </c>
      <c r="H290" s="49" t="s">
        <v>64</v>
      </c>
      <c r="M290" s="3" t="str">
        <f>$H$5</f>
        <v>Mammography System Compliance Inspection</v>
      </c>
      <c r="O290" s="385"/>
      <c r="Y290" s="560"/>
      <c r="Z290"/>
      <c r="AA290"/>
      <c r="AB290"/>
      <c r="AC290"/>
      <c r="AD290"/>
      <c r="AE290"/>
      <c r="AF290"/>
      <c r="AG290"/>
    </row>
    <row r="291" spans="1:33" ht="14.1" customHeight="1" thickTop="1">
      <c r="A291" s="15">
        <v>3</v>
      </c>
      <c r="B291" s="55"/>
      <c r="C291" s="237" t="s">
        <v>319</v>
      </c>
      <c r="D291" s="238" t="str">
        <f>IF(P367="","",P367)</f>
        <v>Piranha</v>
      </c>
      <c r="E291" s="237" t="s">
        <v>326</v>
      </c>
      <c r="F291" s="415" t="str">
        <f>IF(P368="","",P368)</f>
        <v/>
      </c>
      <c r="G291" s="56"/>
      <c r="H291" s="237" t="s">
        <v>320</v>
      </c>
      <c r="I291" s="760" t="str">
        <f>IF(S367="","",S367)</f>
        <v/>
      </c>
      <c r="J291" s="760"/>
      <c r="K291" s="56"/>
      <c r="L291" s="56"/>
      <c r="M291" s="58"/>
      <c r="O291" s="385"/>
      <c r="P291" s="70" t="s">
        <v>603</v>
      </c>
      <c r="S291" s="100" t="s">
        <v>264</v>
      </c>
      <c r="U291" s="19" t="s">
        <v>290</v>
      </c>
      <c r="V291" s="100"/>
      <c r="Y291" s="560"/>
      <c r="Z291"/>
      <c r="AA291"/>
      <c r="AB291"/>
      <c r="AC291"/>
      <c r="AD291"/>
      <c r="AE291"/>
      <c r="AF291"/>
      <c r="AG291"/>
    </row>
    <row r="292" spans="1:33" ht="14.1" customHeight="1">
      <c r="A292" s="15">
        <v>4</v>
      </c>
      <c r="B292" s="64"/>
      <c r="C292" s="4"/>
      <c r="D292" s="4"/>
      <c r="E292" s="4"/>
      <c r="F292" s="4"/>
      <c r="G292" s="4"/>
      <c r="H292" s="33" t="s">
        <v>322</v>
      </c>
      <c r="I292" s="761" t="str">
        <f>IF(S368="","",S368)</f>
        <v/>
      </c>
      <c r="J292" s="761"/>
      <c r="K292" s="4"/>
      <c r="M292" s="65"/>
      <c r="O292" s="385"/>
      <c r="Q292" s="100" t="s">
        <v>63</v>
      </c>
      <c r="R292" s="100" t="s">
        <v>273</v>
      </c>
      <c r="S292" s="100" t="s">
        <v>265</v>
      </c>
      <c r="T292" s="100" t="s">
        <v>292</v>
      </c>
      <c r="U292" s="100" t="s">
        <v>293</v>
      </c>
      <c r="V292" s="100"/>
      <c r="W292" s="33" t="s">
        <v>294</v>
      </c>
      <c r="X292" s="240" t="e">
        <f>IF($T$259="","",$T$259*HLOOKUP($Q$260,Tables!$B$83:$D$85,2,FALSE)+HLOOKUP(Sheet1!$Q$260,Tables!$B$83:$D$85,3,FALSE))</f>
        <v>#N/A</v>
      </c>
      <c r="Y292" s="560"/>
      <c r="Z292"/>
      <c r="AA292"/>
      <c r="AB292"/>
      <c r="AC292"/>
      <c r="AD292"/>
      <c r="AE292"/>
      <c r="AF292"/>
      <c r="AG292"/>
    </row>
    <row r="293" spans="1:33" ht="14.1" customHeight="1">
      <c r="A293" s="15">
        <v>5</v>
      </c>
      <c r="B293" s="64"/>
      <c r="C293" s="70" t="s">
        <v>317</v>
      </c>
      <c r="M293" s="65"/>
      <c r="O293" s="385"/>
      <c r="Q293" s="136"/>
      <c r="R293" s="136"/>
      <c r="S293" s="136"/>
      <c r="T293" s="264" t="str">
        <f>IF(Q293="","",Q293/$T$260)</f>
        <v/>
      </c>
      <c r="U293" s="266" t="str">
        <f>IF(Q293="","",($T$259*HLOOKUP($Q$260,Tables!$B$70:$D$72,2,FALSE)+HLOOKUP(Sheet1!$Q$260,Tables!$B$70:$D$72,3,FALSE))*Q293)</f>
        <v/>
      </c>
      <c r="W293" s="33" t="s">
        <v>296</v>
      </c>
      <c r="X293" s="240" t="str">
        <f>IF(U297="","",U297)</f>
        <v/>
      </c>
      <c r="Y293" s="560"/>
      <c r="Z293"/>
      <c r="AA293"/>
      <c r="AB293"/>
      <c r="AC293"/>
      <c r="AD293"/>
      <c r="AE293"/>
      <c r="AF293"/>
      <c r="AG293"/>
    </row>
    <row r="294" spans="1:33" ht="14.1" customHeight="1">
      <c r="A294" s="15">
        <v>6</v>
      </c>
      <c r="B294" s="64"/>
      <c r="C294" s="33"/>
      <c r="F294" s="759" t="s">
        <v>323</v>
      </c>
      <c r="G294" s="759"/>
      <c r="H294" s="759"/>
      <c r="I294" s="100"/>
      <c r="J294" s="100"/>
      <c r="K294" s="100"/>
      <c r="M294" s="65"/>
      <c r="O294" s="385"/>
      <c r="Q294" s="136"/>
      <c r="R294" s="136"/>
      <c r="S294" s="136"/>
      <c r="T294" s="264" t="str">
        <f>IF(Q294="","",Q294/$T$260)</f>
        <v/>
      </c>
      <c r="U294" s="266" t="str">
        <f>IF(Q294="","",($T$259*HLOOKUP($Q$260,Tables!$B$70:$D$72,2,FALSE)+HLOOKUP(Sheet1!$Q$260,Tables!$B$70:$D$72,3,FALSE))*Q294)</f>
        <v/>
      </c>
      <c r="W294" s="33" t="s">
        <v>298</v>
      </c>
      <c r="X294" s="224" t="e">
        <f>IF($Q$260="","",HLOOKUP($Q$260,Tables!$A$88:$F$89,2))</f>
        <v>#N/A</v>
      </c>
      <c r="Y294" s="560"/>
      <c r="Z294"/>
      <c r="AA294"/>
      <c r="AB294"/>
      <c r="AC294"/>
      <c r="AD294"/>
      <c r="AE294"/>
      <c r="AF294"/>
      <c r="AG294"/>
    </row>
    <row r="295" spans="1:33" ht="14.1" customHeight="1" thickBot="1">
      <c r="A295" s="15">
        <v>7</v>
      </c>
      <c r="B295" s="64"/>
      <c r="C295" s="19" t="s">
        <v>62</v>
      </c>
      <c r="D295" s="100" t="s">
        <v>258</v>
      </c>
      <c r="E295" s="100" t="s">
        <v>63</v>
      </c>
      <c r="F295" s="100" t="s">
        <v>19</v>
      </c>
      <c r="G295" s="100" t="s">
        <v>20</v>
      </c>
      <c r="H295" s="100" t="s">
        <v>21</v>
      </c>
      <c r="I295" s="100" t="s">
        <v>324</v>
      </c>
      <c r="J295" s="100" t="s">
        <v>325</v>
      </c>
      <c r="K295" s="100" t="s">
        <v>481</v>
      </c>
      <c r="M295" s="65"/>
      <c r="O295" s="385"/>
      <c r="Q295" s="136"/>
      <c r="R295" s="136"/>
      <c r="S295" s="136"/>
      <c r="T295" s="264" t="str">
        <f>IF(Q295="","",Q295/$T$260)</f>
        <v/>
      </c>
      <c r="U295" s="266" t="str">
        <f>IF(Q295="","",($T$259*HLOOKUP($Q$260,Tables!$B$70:$D$72,2,FALSE)+HLOOKUP(Sheet1!$Q$260,Tables!$B$70:$D$72,3,FALSE))*Q295)</f>
        <v/>
      </c>
      <c r="W295" s="33" t="s">
        <v>300</v>
      </c>
      <c r="X295" s="132" t="str">
        <f>IF(X293="","",Tables!K60)</f>
        <v/>
      </c>
      <c r="Y295" s="560"/>
      <c r="Z295"/>
      <c r="AA295"/>
      <c r="AB295"/>
      <c r="AC295"/>
      <c r="AD295"/>
      <c r="AE295"/>
      <c r="AF295"/>
      <c r="AG295"/>
    </row>
    <row r="296" spans="1:33" ht="14.1" customHeight="1">
      <c r="A296" s="15">
        <v>8</v>
      </c>
      <c r="B296" s="64"/>
      <c r="C296" s="789" t="str">
        <f>P371</f>
        <v>/</v>
      </c>
      <c r="D296" s="305">
        <f t="shared" ref="D296:K301" si="60">IF(Q371="","",Q371)</f>
        <v>24</v>
      </c>
      <c r="E296" s="305">
        <f t="shared" si="60"/>
        <v>50</v>
      </c>
      <c r="F296" s="365" t="str">
        <f t="shared" si="60"/>
        <v/>
      </c>
      <c r="G296" s="365" t="str">
        <f t="shared" si="60"/>
        <v/>
      </c>
      <c r="H296" s="365" t="str">
        <f t="shared" si="60"/>
        <v/>
      </c>
      <c r="I296" s="366" t="str">
        <f t="shared" si="60"/>
        <v/>
      </c>
      <c r="J296" s="365" t="str">
        <f t="shared" si="60"/>
        <v/>
      </c>
      <c r="K296" s="367" t="str">
        <f t="shared" si="60"/>
        <v/>
      </c>
      <c r="M296" s="65"/>
      <c r="O296" s="385"/>
      <c r="Q296" s="136"/>
      <c r="R296" s="136"/>
      <c r="S296" s="136"/>
      <c r="T296" s="264" t="str">
        <f>IF(Q296="","",Q296/$T$260)</f>
        <v/>
      </c>
      <c r="U296" s="266" t="str">
        <f>IF(Q296="","",($T$259*HLOOKUP($Q$260,Tables!$B$70:$D$72,2,FALSE)+HLOOKUP(Sheet1!$Q$260,Tables!$B$70:$D$72,3,FALSE))*Q296)</f>
        <v/>
      </c>
      <c r="W296" s="33" t="s">
        <v>301</v>
      </c>
      <c r="X296" s="227" t="str">
        <f>IF(AB87="","",AB87)</f>
        <v/>
      </c>
      <c r="Y296" s="560"/>
      <c r="Z296"/>
      <c r="AA296"/>
      <c r="AB296"/>
      <c r="AC296"/>
      <c r="AD296"/>
      <c r="AE296"/>
      <c r="AF296"/>
      <c r="AG296"/>
    </row>
    <row r="297" spans="1:33" ht="14.1" customHeight="1">
      <c r="A297" s="15">
        <v>9</v>
      </c>
      <c r="B297" s="64"/>
      <c r="C297" s="790"/>
      <c r="D297" s="260">
        <f t="shared" si="60"/>
        <v>25</v>
      </c>
      <c r="E297" s="260">
        <f t="shared" si="60"/>
        <v>50</v>
      </c>
      <c r="F297" s="266" t="str">
        <f t="shared" si="60"/>
        <v/>
      </c>
      <c r="G297" s="266" t="str">
        <f t="shared" si="60"/>
        <v/>
      </c>
      <c r="H297" s="266" t="str">
        <f t="shared" si="60"/>
        <v/>
      </c>
      <c r="I297" s="261" t="str">
        <f t="shared" si="60"/>
        <v/>
      </c>
      <c r="J297" s="266" t="str">
        <f t="shared" si="60"/>
        <v/>
      </c>
      <c r="K297" s="352" t="str">
        <f t="shared" si="60"/>
        <v/>
      </c>
      <c r="M297" s="65"/>
      <c r="O297" s="385"/>
      <c r="P297" s="33" t="s">
        <v>261</v>
      </c>
      <c r="Q297" s="66" t="str">
        <f t="shared" ref="Q297:U297" si="61">IF(OR(Q293="",Q294="",Q295="",Q296=""),"",AVERAGE(Q293:Q296))</f>
        <v/>
      </c>
      <c r="R297" s="228" t="str">
        <f t="shared" si="61"/>
        <v/>
      </c>
      <c r="S297" s="11" t="str">
        <f>IF(OR(S293="",S294="",S295="",S296=""),"",AVERAGE(S293:S296))</f>
        <v/>
      </c>
      <c r="T297" s="12" t="str">
        <f t="shared" si="61"/>
        <v/>
      </c>
      <c r="U297" s="265" t="str">
        <f t="shared" si="61"/>
        <v/>
      </c>
      <c r="V297" s="557"/>
      <c r="W297" s="33" t="s">
        <v>303</v>
      </c>
      <c r="X297" s="223" t="str">
        <f>IF(OR(X295="",X296=""),"",(X295-X296)/X296)</f>
        <v/>
      </c>
      <c r="Y297" s="560"/>
      <c r="Z297"/>
      <c r="AA297"/>
      <c r="AB297"/>
      <c r="AC297"/>
      <c r="AD297"/>
      <c r="AE297"/>
      <c r="AF297"/>
      <c r="AG297"/>
    </row>
    <row r="298" spans="1:33" ht="14.1" customHeight="1">
      <c r="A298" s="15">
        <v>10</v>
      </c>
      <c r="B298" s="64"/>
      <c r="C298" s="790"/>
      <c r="D298" s="260">
        <f t="shared" si="60"/>
        <v>26</v>
      </c>
      <c r="E298" s="260">
        <f t="shared" si="60"/>
        <v>50</v>
      </c>
      <c r="F298" s="266" t="str">
        <f t="shared" si="60"/>
        <v/>
      </c>
      <c r="G298" s="266" t="str">
        <f t="shared" si="60"/>
        <v/>
      </c>
      <c r="H298" s="266" t="str">
        <f t="shared" si="60"/>
        <v/>
      </c>
      <c r="I298" s="261" t="str">
        <f t="shared" si="60"/>
        <v/>
      </c>
      <c r="J298" s="266" t="str">
        <f t="shared" si="60"/>
        <v/>
      </c>
      <c r="K298" s="352" t="str">
        <f t="shared" si="60"/>
        <v/>
      </c>
      <c r="M298" s="65"/>
      <c r="O298" s="385"/>
      <c r="P298" s="33" t="s">
        <v>263</v>
      </c>
      <c r="Q298" s="166" t="str">
        <f t="shared" ref="Q298:U298" si="62">IF(Q297="","",_xlfn.STDEV.S(Q293:Q296)/Q297)</f>
        <v/>
      </c>
      <c r="R298" s="166" t="str">
        <f t="shared" si="62"/>
        <v/>
      </c>
      <c r="S298" s="166" t="str">
        <f t="shared" si="62"/>
        <v/>
      </c>
      <c r="T298" s="166" t="str">
        <f t="shared" si="62"/>
        <v/>
      </c>
      <c r="U298" s="166" t="str">
        <f t="shared" si="62"/>
        <v/>
      </c>
      <c r="V298" s="558"/>
      <c r="W298" s="4"/>
      <c r="X298" s="4"/>
      <c r="Y298" s="560"/>
      <c r="Z298"/>
      <c r="AA298"/>
      <c r="AB298"/>
      <c r="AC298"/>
      <c r="AD298"/>
      <c r="AE298"/>
      <c r="AF298"/>
      <c r="AG298"/>
    </row>
    <row r="299" spans="1:33" ht="14.1" customHeight="1">
      <c r="A299" s="15">
        <v>11</v>
      </c>
      <c r="B299" s="64"/>
      <c r="C299" s="790"/>
      <c r="D299" s="260">
        <f t="shared" si="60"/>
        <v>28</v>
      </c>
      <c r="E299" s="260">
        <f t="shared" si="60"/>
        <v>50</v>
      </c>
      <c r="F299" s="266" t="str">
        <f t="shared" si="60"/>
        <v/>
      </c>
      <c r="G299" s="266" t="str">
        <f t="shared" si="60"/>
        <v/>
      </c>
      <c r="H299" s="266" t="str">
        <f t="shared" si="60"/>
        <v/>
      </c>
      <c r="I299" s="261" t="str">
        <f t="shared" si="60"/>
        <v/>
      </c>
      <c r="J299" s="266" t="str">
        <f t="shared" si="60"/>
        <v/>
      </c>
      <c r="K299" s="352" t="str">
        <f t="shared" si="60"/>
        <v/>
      </c>
      <c r="M299" s="65"/>
      <c r="O299" s="385"/>
      <c r="P299" s="3" t="s">
        <v>193</v>
      </c>
      <c r="Q299" s="25" t="s">
        <v>304</v>
      </c>
      <c r="W299" s="33" t="s">
        <v>305</v>
      </c>
      <c r="X299" s="223" t="str">
        <f>IF(X295="","",(X295-S297)/S297)</f>
        <v/>
      </c>
      <c r="Y299" s="560"/>
      <c r="Z299"/>
      <c r="AA299"/>
      <c r="AB299"/>
      <c r="AC299"/>
      <c r="AD299"/>
      <c r="AE299"/>
      <c r="AF299"/>
      <c r="AG299"/>
    </row>
    <row r="300" spans="1:33" ht="14.1" customHeight="1">
      <c r="A300" s="15">
        <v>12</v>
      </c>
      <c r="B300" s="64"/>
      <c r="C300" s="790"/>
      <c r="D300" s="260">
        <f t="shared" si="60"/>
        <v>30</v>
      </c>
      <c r="E300" s="260">
        <f t="shared" si="60"/>
        <v>50</v>
      </c>
      <c r="F300" s="266" t="str">
        <f t="shared" si="60"/>
        <v/>
      </c>
      <c r="G300" s="266" t="str">
        <f t="shared" si="60"/>
        <v/>
      </c>
      <c r="H300" s="266" t="str">
        <f t="shared" si="60"/>
        <v/>
      </c>
      <c r="I300" s="261" t="str">
        <f t="shared" si="60"/>
        <v/>
      </c>
      <c r="J300" s="266" t="str">
        <f t="shared" si="60"/>
        <v/>
      </c>
      <c r="K300" s="352" t="str">
        <f t="shared" si="60"/>
        <v/>
      </c>
      <c r="M300" s="65"/>
      <c r="O300" s="385"/>
      <c r="P300" s="25"/>
      <c r="Q300" s="25" t="s">
        <v>483</v>
      </c>
      <c r="W300" s="33" t="s">
        <v>307</v>
      </c>
      <c r="X300" s="224" t="str">
        <f>IF(OR(X295="",Q297=""),"",3/(X295/Q297))</f>
        <v/>
      </c>
      <c r="Y300" s="560"/>
      <c r="Z300"/>
      <c r="AA300"/>
      <c r="AB300"/>
      <c r="AC300"/>
      <c r="AD300"/>
      <c r="AE300"/>
      <c r="AF300"/>
      <c r="AG300"/>
    </row>
    <row r="301" spans="1:33" ht="14.1" customHeight="1" thickBot="1">
      <c r="A301" s="15">
        <v>13</v>
      </c>
      <c r="B301" s="64"/>
      <c r="C301" s="790"/>
      <c r="D301" s="260">
        <f t="shared" si="60"/>
        <v>32</v>
      </c>
      <c r="E301" s="260">
        <f t="shared" si="60"/>
        <v>50</v>
      </c>
      <c r="F301" s="266" t="str">
        <f t="shared" si="60"/>
        <v/>
      </c>
      <c r="G301" s="266" t="str">
        <f t="shared" si="60"/>
        <v/>
      </c>
      <c r="H301" s="266" t="str">
        <f t="shared" si="60"/>
        <v/>
      </c>
      <c r="I301" s="261" t="str">
        <f t="shared" si="60"/>
        <v/>
      </c>
      <c r="J301" s="266" t="str">
        <f t="shared" si="60"/>
        <v/>
      </c>
      <c r="K301" s="352" t="str">
        <f t="shared" si="60"/>
        <v/>
      </c>
      <c r="M301" s="65"/>
      <c r="O301" s="385"/>
      <c r="Y301" s="560"/>
      <c r="Z301"/>
      <c r="AA301"/>
      <c r="AB301"/>
      <c r="AC301"/>
      <c r="AD301"/>
      <c r="AE301"/>
      <c r="AF301"/>
      <c r="AG301"/>
    </row>
    <row r="302" spans="1:33" ht="14.1" customHeight="1" thickBot="1">
      <c r="A302" s="15">
        <v>14</v>
      </c>
      <c r="B302" s="64"/>
      <c r="C302" s="791"/>
      <c r="D302" s="359">
        <f t="shared" ref="D302" si="63">IF(Q377="","",Q377)</f>
        <v>34</v>
      </c>
      <c r="E302" s="359">
        <f t="shared" ref="E302" si="64">IF(R377="","",R377)</f>
        <v>50</v>
      </c>
      <c r="F302" s="674" t="str">
        <f t="shared" ref="F302" si="65">IF(S377="","",S377)</f>
        <v/>
      </c>
      <c r="G302" s="674" t="str">
        <f t="shared" ref="G302" si="66">IF(T377="","",T377)</f>
        <v/>
      </c>
      <c r="H302" s="674" t="str">
        <f t="shared" ref="H302" si="67">IF(U377="","",U377)</f>
        <v/>
      </c>
      <c r="I302" s="675" t="str">
        <f t="shared" ref="I302" si="68">IF(V377="","",V377)</f>
        <v/>
      </c>
      <c r="J302" s="674" t="str">
        <f t="shared" ref="J302" si="69">IF(W377="","",W377)</f>
        <v/>
      </c>
      <c r="K302" s="676" t="str">
        <f t="shared" ref="K302" si="70">IF(X377="","",X377)</f>
        <v/>
      </c>
      <c r="L302" s="322" t="str">
        <f>IF(K296="","",IF(MAX(K296:K301)&lt;0.05,"Pass","Fail"))</f>
        <v/>
      </c>
      <c r="M302" s="65"/>
      <c r="O302" s="385"/>
      <c r="S302" s="100" t="s">
        <v>264</v>
      </c>
      <c r="T302" s="100" t="s">
        <v>699</v>
      </c>
      <c r="Y302" s="560"/>
      <c r="Z302"/>
      <c r="AA302"/>
      <c r="AB302"/>
      <c r="AC302"/>
      <c r="AD302"/>
      <c r="AE302"/>
      <c r="AF302"/>
      <c r="AG302"/>
    </row>
    <row r="303" spans="1:33" ht="14.1" customHeight="1" thickBot="1">
      <c r="A303" s="15">
        <v>15</v>
      </c>
      <c r="B303" s="64"/>
      <c r="C303" s="789" t="str">
        <f>P378</f>
        <v>/</v>
      </c>
      <c r="D303" s="305">
        <f t="shared" ref="D303:K307" si="71">IF(Q378="","",Q378)</f>
        <v>28</v>
      </c>
      <c r="E303" s="305">
        <f t="shared" si="71"/>
        <v>50</v>
      </c>
      <c r="F303" s="365" t="str">
        <f t="shared" si="71"/>
        <v/>
      </c>
      <c r="G303" s="365" t="str">
        <f t="shared" si="71"/>
        <v/>
      </c>
      <c r="H303" s="365" t="str">
        <f t="shared" si="71"/>
        <v/>
      </c>
      <c r="I303" s="366" t="str">
        <f t="shared" si="71"/>
        <v/>
      </c>
      <c r="J303" s="365" t="str">
        <f t="shared" si="71"/>
        <v/>
      </c>
      <c r="K303" s="367" t="str">
        <f t="shared" si="71"/>
        <v/>
      </c>
      <c r="M303" s="65"/>
      <c r="O303" s="385"/>
      <c r="Q303" s="100" t="s">
        <v>258</v>
      </c>
      <c r="R303" s="100" t="s">
        <v>63</v>
      </c>
      <c r="S303" s="19" t="s">
        <v>599</v>
      </c>
      <c r="T303" s="19" t="s">
        <v>599</v>
      </c>
      <c r="Y303" s="560"/>
      <c r="Z303"/>
      <c r="AA303"/>
      <c r="AB303"/>
      <c r="AC303"/>
      <c r="AD303"/>
      <c r="AE303"/>
      <c r="AF303"/>
      <c r="AG303"/>
    </row>
    <row r="304" spans="1:33" ht="14.1" customHeight="1" thickBot="1">
      <c r="A304" s="15">
        <v>16</v>
      </c>
      <c r="B304" s="64"/>
      <c r="C304" s="790"/>
      <c r="D304" s="260">
        <f t="shared" si="71"/>
        <v>30</v>
      </c>
      <c r="E304" s="260">
        <f t="shared" si="71"/>
        <v>50</v>
      </c>
      <c r="F304" s="266" t="str">
        <f t="shared" si="71"/>
        <v/>
      </c>
      <c r="G304" s="266" t="str">
        <f t="shared" si="71"/>
        <v/>
      </c>
      <c r="H304" s="266" t="str">
        <f t="shared" si="71"/>
        <v/>
      </c>
      <c r="I304" s="261" t="str">
        <f t="shared" si="71"/>
        <v/>
      </c>
      <c r="J304" s="266" t="str">
        <f t="shared" si="71"/>
        <v/>
      </c>
      <c r="K304" s="352" t="str">
        <f t="shared" si="71"/>
        <v/>
      </c>
      <c r="M304" s="65"/>
      <c r="O304" s="385"/>
      <c r="P304" s="33" t="s">
        <v>596</v>
      </c>
      <c r="Q304" s="304">
        <f>T259</f>
        <v>28</v>
      </c>
      <c r="R304" s="343" t="str">
        <f>Q286</f>
        <v/>
      </c>
      <c r="S304" s="365" t="str">
        <f>S286</f>
        <v/>
      </c>
      <c r="T304" s="559" t="str">
        <f>X284</f>
        <v/>
      </c>
      <c r="U304" s="33" t="s">
        <v>207</v>
      </c>
      <c r="V304" s="322" t="str">
        <f>IF(T306="","",IF(T306&lt;=3,"Pass","Fail"))</f>
        <v/>
      </c>
      <c r="Y304" s="560"/>
      <c r="Z304"/>
      <c r="AA304"/>
      <c r="AB304"/>
      <c r="AC304"/>
      <c r="AD304"/>
      <c r="AE304"/>
      <c r="AF304"/>
      <c r="AG304"/>
    </row>
    <row r="305" spans="1:33" ht="14.1" customHeight="1" thickBot="1">
      <c r="A305" s="15">
        <v>17</v>
      </c>
      <c r="B305" s="64"/>
      <c r="C305" s="790"/>
      <c r="D305" s="260">
        <f t="shared" si="71"/>
        <v>32</v>
      </c>
      <c r="E305" s="260">
        <f t="shared" si="71"/>
        <v>50</v>
      </c>
      <c r="F305" s="266" t="str">
        <f t="shared" si="71"/>
        <v/>
      </c>
      <c r="G305" s="266" t="str">
        <f t="shared" si="71"/>
        <v/>
      </c>
      <c r="H305" s="266" t="str">
        <f t="shared" si="71"/>
        <v/>
      </c>
      <c r="I305" s="261" t="str">
        <f t="shared" si="71"/>
        <v/>
      </c>
      <c r="J305" s="266" t="str">
        <f t="shared" si="71"/>
        <v/>
      </c>
      <c r="K305" s="352" t="str">
        <f t="shared" si="71"/>
        <v/>
      </c>
      <c r="M305" s="65"/>
      <c r="O305" s="385"/>
      <c r="P305" s="33" t="s">
        <v>597</v>
      </c>
      <c r="Q305" s="300">
        <f>T259</f>
        <v>28</v>
      </c>
      <c r="R305" s="507" t="str">
        <f>Q297</f>
        <v/>
      </c>
      <c r="S305" s="368" t="str">
        <f>S297</f>
        <v/>
      </c>
      <c r="T305" s="528" t="str">
        <f>X295</f>
        <v/>
      </c>
      <c r="Y305" s="560"/>
      <c r="Z305"/>
      <c r="AA305"/>
      <c r="AB305"/>
      <c r="AC305"/>
      <c r="AD305"/>
      <c r="AE305"/>
      <c r="AF305"/>
      <c r="AG305"/>
    </row>
    <row r="306" spans="1:33" ht="14.1" customHeight="1" thickBot="1">
      <c r="A306" s="15">
        <v>18</v>
      </c>
      <c r="B306" s="64"/>
      <c r="C306" s="790"/>
      <c r="D306" s="260">
        <f t="shared" si="71"/>
        <v>34</v>
      </c>
      <c r="E306" s="260">
        <f t="shared" si="71"/>
        <v>50</v>
      </c>
      <c r="F306" s="266" t="str">
        <f t="shared" si="71"/>
        <v/>
      </c>
      <c r="G306" s="266" t="str">
        <f t="shared" si="71"/>
        <v/>
      </c>
      <c r="H306" s="266" t="str">
        <f t="shared" si="71"/>
        <v/>
      </c>
      <c r="I306" s="261" t="str">
        <f t="shared" si="71"/>
        <v/>
      </c>
      <c r="J306" s="266" t="str">
        <f t="shared" si="71"/>
        <v/>
      </c>
      <c r="K306" s="352" t="str">
        <f t="shared" si="71"/>
        <v/>
      </c>
      <c r="M306" s="65"/>
      <c r="O306" s="385"/>
      <c r="R306" s="33" t="s">
        <v>600</v>
      </c>
      <c r="S306" s="547" t="str">
        <f>IF(OR(S304="",S305=""),"",S304+S305)</f>
        <v/>
      </c>
      <c r="T306" s="547" t="str">
        <f>IF(OR(T304="",T305=""),"",T304+T305)</f>
        <v/>
      </c>
      <c r="U306" s="19" t="s">
        <v>331</v>
      </c>
      <c r="Y306" s="560"/>
      <c r="Z306"/>
      <c r="AA306"/>
      <c r="AB306"/>
      <c r="AC306"/>
      <c r="AD306"/>
      <c r="AE306"/>
      <c r="AF306"/>
      <c r="AG306"/>
    </row>
    <row r="307" spans="1:33" ht="14.1" customHeight="1" thickBot="1">
      <c r="A307" s="15">
        <v>19</v>
      </c>
      <c r="B307" s="64"/>
      <c r="C307" s="791"/>
      <c r="D307" s="301" t="str">
        <f t="shared" si="71"/>
        <v/>
      </c>
      <c r="E307" s="301" t="str">
        <f t="shared" si="71"/>
        <v/>
      </c>
      <c r="F307" s="368" t="str">
        <f t="shared" si="71"/>
        <v/>
      </c>
      <c r="G307" s="368" t="str">
        <f t="shared" si="71"/>
        <v/>
      </c>
      <c r="H307" s="368" t="str">
        <f t="shared" si="71"/>
        <v/>
      </c>
      <c r="I307" s="369" t="str">
        <f t="shared" si="71"/>
        <v/>
      </c>
      <c r="J307" s="368" t="str">
        <f t="shared" si="71"/>
        <v/>
      </c>
      <c r="K307" s="347" t="str">
        <f t="shared" si="71"/>
        <v/>
      </c>
      <c r="L307" s="322" t="str">
        <f>IF(K303="","",IF(MAX(K303:K307)&lt;0.05,"Pass","Fail"))</f>
        <v/>
      </c>
      <c r="M307" s="65"/>
      <c r="O307" s="385"/>
      <c r="P307" s="3" t="s">
        <v>193</v>
      </c>
      <c r="Q307" s="25" t="s">
        <v>304</v>
      </c>
      <c r="Y307" s="560"/>
      <c r="Z307"/>
      <c r="AA307"/>
      <c r="AB307"/>
      <c r="AC307"/>
      <c r="AD307"/>
      <c r="AE307"/>
      <c r="AF307"/>
      <c r="AG307"/>
    </row>
    <row r="308" spans="1:33" ht="14.1" customHeight="1" thickBot="1">
      <c r="A308" s="15">
        <v>20</v>
      </c>
      <c r="B308" s="64"/>
      <c r="C308" s="789">
        <f>P384</f>
        <v>0</v>
      </c>
      <c r="D308" s="308" t="str">
        <f t="shared" ref="D308:K312" si="72">IF(Q384="","",Q384)</f>
        <v/>
      </c>
      <c r="E308" s="308" t="str">
        <f t="shared" si="72"/>
        <v/>
      </c>
      <c r="F308" s="370" t="str">
        <f t="shared" si="72"/>
        <v/>
      </c>
      <c r="G308" s="370" t="str">
        <f t="shared" si="72"/>
        <v/>
      </c>
      <c r="H308" s="370" t="str">
        <f t="shared" si="72"/>
        <v/>
      </c>
      <c r="I308" s="371" t="str">
        <f t="shared" si="72"/>
        <v/>
      </c>
      <c r="J308" s="370" t="str">
        <f t="shared" si="72"/>
        <v/>
      </c>
      <c r="K308" s="372" t="str">
        <f t="shared" si="72"/>
        <v/>
      </c>
      <c r="M308" s="65"/>
      <c r="O308" s="38"/>
      <c r="R308" s="39"/>
      <c r="S308" s="39"/>
      <c r="T308" s="39"/>
      <c r="U308" s="39"/>
      <c r="V308" s="39"/>
      <c r="W308" s="39"/>
      <c r="X308" s="39"/>
      <c r="Y308" s="40"/>
      <c r="Z308"/>
      <c r="AA308"/>
      <c r="AB308"/>
      <c r="AC308"/>
      <c r="AD308"/>
      <c r="AE308"/>
      <c r="AF308"/>
      <c r="AG308"/>
    </row>
    <row r="309" spans="1:33" ht="14.1" customHeight="1">
      <c r="A309" s="15">
        <v>21</v>
      </c>
      <c r="B309" s="64"/>
      <c r="C309" s="790"/>
      <c r="D309" s="260" t="str">
        <f t="shared" si="72"/>
        <v/>
      </c>
      <c r="E309" s="260" t="str">
        <f t="shared" si="72"/>
        <v/>
      </c>
      <c r="F309" s="266" t="str">
        <f t="shared" si="72"/>
        <v/>
      </c>
      <c r="G309" s="266" t="str">
        <f t="shared" si="72"/>
        <v/>
      </c>
      <c r="H309" s="266" t="str">
        <f t="shared" si="72"/>
        <v/>
      </c>
      <c r="I309" s="261" t="str">
        <f t="shared" si="72"/>
        <v/>
      </c>
      <c r="J309" s="266" t="str">
        <f t="shared" si="72"/>
        <v/>
      </c>
      <c r="K309" s="352" t="str">
        <f t="shared" si="72"/>
        <v/>
      </c>
      <c r="M309" s="65"/>
      <c r="O309" s="128" t="s">
        <v>538</v>
      </c>
      <c r="P309" s="21"/>
      <c r="Q309" s="21"/>
      <c r="R309" s="21"/>
      <c r="S309" s="21"/>
      <c r="T309" s="21"/>
      <c r="U309" s="21"/>
      <c r="V309" s="21"/>
      <c r="W309" s="21"/>
      <c r="X309" s="21"/>
      <c r="Y309" s="22"/>
      <c r="Z309"/>
      <c r="AA309"/>
      <c r="AB309"/>
      <c r="AC309"/>
      <c r="AD309"/>
      <c r="AE309"/>
      <c r="AF309"/>
      <c r="AG309"/>
    </row>
    <row r="310" spans="1:33" ht="14.1" customHeight="1">
      <c r="A310" s="15">
        <v>22</v>
      </c>
      <c r="B310" s="64"/>
      <c r="C310" s="790"/>
      <c r="D310" s="260" t="str">
        <f t="shared" si="72"/>
        <v/>
      </c>
      <c r="E310" s="260" t="str">
        <f t="shared" si="72"/>
        <v/>
      </c>
      <c r="F310" s="266" t="str">
        <f t="shared" si="72"/>
        <v/>
      </c>
      <c r="G310" s="266" t="str">
        <f t="shared" si="72"/>
        <v/>
      </c>
      <c r="H310" s="266" t="str">
        <f t="shared" si="72"/>
        <v/>
      </c>
      <c r="I310" s="261" t="str">
        <f t="shared" si="72"/>
        <v/>
      </c>
      <c r="J310" s="266" t="str">
        <f t="shared" si="72"/>
        <v/>
      </c>
      <c r="K310" s="352" t="str">
        <f t="shared" si="72"/>
        <v/>
      </c>
      <c r="M310" s="65"/>
      <c r="O310" s="28"/>
      <c r="P310" s="33" t="s">
        <v>544</v>
      </c>
      <c r="Q310" s="33" t="s">
        <v>541</v>
      </c>
      <c r="R310" s="1">
        <v>101.3</v>
      </c>
      <c r="Y310" s="30"/>
      <c r="Z310"/>
      <c r="AA310"/>
      <c r="AB310"/>
      <c r="AC310"/>
      <c r="AD310"/>
      <c r="AE310"/>
      <c r="AF310"/>
      <c r="AG310"/>
    </row>
    <row r="311" spans="1:33" ht="14.1" customHeight="1" thickBot="1">
      <c r="A311" s="15">
        <v>23</v>
      </c>
      <c r="B311" s="64"/>
      <c r="C311" s="790"/>
      <c r="D311" s="260" t="str">
        <f t="shared" si="72"/>
        <v/>
      </c>
      <c r="E311" s="260" t="str">
        <f t="shared" si="72"/>
        <v/>
      </c>
      <c r="F311" s="266" t="str">
        <f t="shared" si="72"/>
        <v/>
      </c>
      <c r="G311" s="266" t="str">
        <f t="shared" si="72"/>
        <v/>
      </c>
      <c r="H311" s="266" t="str">
        <f t="shared" si="72"/>
        <v/>
      </c>
      <c r="I311" s="261" t="str">
        <f t="shared" si="72"/>
        <v/>
      </c>
      <c r="J311" s="266" t="str">
        <f t="shared" si="72"/>
        <v/>
      </c>
      <c r="K311" s="352" t="str">
        <f t="shared" si="72"/>
        <v/>
      </c>
      <c r="M311" s="65"/>
      <c r="O311" s="28"/>
      <c r="Q311" s="33" t="s">
        <v>542</v>
      </c>
      <c r="R311" s="508">
        <v>108</v>
      </c>
      <c r="S311" s="100" t="s">
        <v>310</v>
      </c>
      <c r="T311" s="100"/>
      <c r="Y311" s="30"/>
      <c r="Z311"/>
      <c r="AA311"/>
      <c r="AB311"/>
      <c r="AC311"/>
      <c r="AD311"/>
      <c r="AE311"/>
      <c r="AF311"/>
      <c r="AG311"/>
    </row>
    <row r="312" spans="1:33" ht="14.1" customHeight="1" thickBot="1">
      <c r="A312" s="15">
        <v>24</v>
      </c>
      <c r="B312" s="64"/>
      <c r="C312" s="791"/>
      <c r="D312" s="301" t="str">
        <f t="shared" si="72"/>
        <v/>
      </c>
      <c r="E312" s="301" t="str">
        <f t="shared" si="72"/>
        <v/>
      </c>
      <c r="F312" s="368" t="str">
        <f t="shared" si="72"/>
        <v/>
      </c>
      <c r="G312" s="368" t="str">
        <f t="shared" si="72"/>
        <v/>
      </c>
      <c r="H312" s="368" t="str">
        <f t="shared" si="72"/>
        <v/>
      </c>
      <c r="I312" s="369" t="str">
        <f t="shared" si="72"/>
        <v/>
      </c>
      <c r="J312" s="368" t="str">
        <f t="shared" si="72"/>
        <v/>
      </c>
      <c r="K312" s="347" t="str">
        <f t="shared" si="72"/>
        <v/>
      </c>
      <c r="L312" s="322" t="str">
        <f>IF(K308="","",IF(MAX(K308:K312)&lt;0.05,"Pass","Fail"))</f>
        <v/>
      </c>
      <c r="M312" s="65"/>
      <c r="O312" s="28"/>
      <c r="P312" s="304" t="s">
        <v>540</v>
      </c>
      <c r="Q312" s="305" t="s">
        <v>539</v>
      </c>
      <c r="R312" s="306" t="s">
        <v>280</v>
      </c>
      <c r="S312" s="304" t="s">
        <v>540</v>
      </c>
      <c r="T312" s="306" t="s">
        <v>539</v>
      </c>
      <c r="Y312" s="30"/>
      <c r="Z312"/>
      <c r="AA312"/>
      <c r="AB312"/>
      <c r="AC312"/>
      <c r="AD312"/>
      <c r="AE312"/>
      <c r="AF312"/>
      <c r="AG312"/>
    </row>
    <row r="313" spans="1:33" ht="14.1" customHeight="1">
      <c r="A313" s="15">
        <v>25</v>
      </c>
      <c r="B313" s="64"/>
      <c r="M313" s="65"/>
      <c r="O313" s="149" t="s">
        <v>555</v>
      </c>
      <c r="P313" s="509"/>
      <c r="Q313" s="136"/>
      <c r="R313" s="294" t="str">
        <f>IF(OR(P313="",Q313=""),"",IF(AND(ABS($R$310-P313)&lt;=$R$310*0.02,ABS($R$311-Q313)&lt;=$R$311*0.02),"Pass","Fail"))</f>
        <v/>
      </c>
      <c r="S313" s="562" t="str">
        <f>IF(AB127="","",AB127)</f>
        <v/>
      </c>
      <c r="T313" s="563" t="str">
        <f>IF(AB128="","",AB128)</f>
        <v/>
      </c>
      <c r="Y313" s="30"/>
      <c r="Z313"/>
      <c r="AA313"/>
      <c r="AB313"/>
      <c r="AC313"/>
      <c r="AD313"/>
      <c r="AE313"/>
      <c r="AF313"/>
      <c r="AG313"/>
    </row>
    <row r="314" spans="1:33" ht="14.1" customHeight="1">
      <c r="A314" s="15">
        <v>26</v>
      </c>
      <c r="B314" s="64"/>
      <c r="M314" s="65"/>
      <c r="O314" s="149" t="s">
        <v>556</v>
      </c>
      <c r="P314" s="509"/>
      <c r="Q314" s="136"/>
      <c r="R314" s="294" t="str">
        <f>IF(OR(P314="",Q314=""),"",IF(AND(ABS($R$310-P314)&lt;=$R$310*0.02,ABS($R$311-Q314)&lt;=$R$311*0.02),"Pass","Fail"))</f>
        <v/>
      </c>
      <c r="S314" s="562" t="str">
        <f>IF(AB129="","",AB129)</f>
        <v/>
      </c>
      <c r="T314" s="563" t="str">
        <f>IF(AB130="","",AB130)</f>
        <v/>
      </c>
      <c r="Y314" s="30"/>
      <c r="Z314"/>
      <c r="AA314"/>
      <c r="AB314"/>
      <c r="AC314"/>
      <c r="AD314"/>
      <c r="AE314"/>
      <c r="AF314"/>
      <c r="AG314"/>
    </row>
    <row r="315" spans="1:33" ht="14.1" customHeight="1" thickBot="1">
      <c r="A315" s="15">
        <v>27</v>
      </c>
      <c r="B315" s="64"/>
      <c r="I315" s="4"/>
      <c r="J315" s="4"/>
      <c r="M315" s="65"/>
      <c r="O315" s="149" t="s">
        <v>557</v>
      </c>
      <c r="P315" s="510"/>
      <c r="Q315" s="511"/>
      <c r="R315" s="303" t="str">
        <f>IF(OR(P315="",Q315=""),"",IF(AND(ABS($R$310-P315)&lt;=$R$310*0.02,ABS($R$311-Q315)&lt;=$R$311*0.02),"Pass","Fail"))</f>
        <v/>
      </c>
      <c r="S315" s="564" t="str">
        <f>IF(AB131="","",AB131)</f>
        <v/>
      </c>
      <c r="T315" s="565" t="str">
        <f>IF(AB132="","",AB132)</f>
        <v/>
      </c>
      <c r="Y315" s="30"/>
      <c r="Z315"/>
      <c r="AA315"/>
      <c r="AB315"/>
      <c r="AC315"/>
      <c r="AD315"/>
      <c r="AE315"/>
      <c r="AF315"/>
      <c r="AG315"/>
    </row>
    <row r="316" spans="1:33" ht="14.1" customHeight="1">
      <c r="A316" s="15">
        <v>28</v>
      </c>
      <c r="B316" s="64"/>
      <c r="I316" s="4"/>
      <c r="J316" s="4"/>
      <c r="M316" s="65"/>
      <c r="O316" s="28"/>
      <c r="P316" s="3" t="s">
        <v>193</v>
      </c>
      <c r="Q316" s="25" t="s">
        <v>543</v>
      </c>
      <c r="Y316" s="30"/>
      <c r="Z316"/>
      <c r="AA316"/>
      <c r="AB316"/>
      <c r="AC316"/>
      <c r="AD316"/>
      <c r="AE316"/>
      <c r="AF316"/>
      <c r="AG316"/>
    </row>
    <row r="317" spans="1:33" ht="14.1" customHeight="1">
      <c r="A317" s="15">
        <v>29</v>
      </c>
      <c r="B317" s="64"/>
      <c r="I317" s="4"/>
      <c r="J317" s="4"/>
      <c r="M317" s="65"/>
      <c r="O317" s="28"/>
      <c r="Y317" s="30"/>
      <c r="Z317"/>
      <c r="AA317"/>
      <c r="AB317"/>
      <c r="AC317"/>
      <c r="AD317"/>
      <c r="AE317"/>
      <c r="AF317"/>
      <c r="AG317"/>
    </row>
    <row r="318" spans="1:33" ht="14.1" customHeight="1" thickBot="1">
      <c r="A318" s="15">
        <v>30</v>
      </c>
      <c r="B318" s="64"/>
      <c r="M318" s="65"/>
      <c r="O318" s="130" t="s">
        <v>545</v>
      </c>
      <c r="Y318" s="30"/>
      <c r="Z318"/>
      <c r="AA318"/>
      <c r="AB318"/>
      <c r="AC318"/>
      <c r="AD318"/>
      <c r="AE318"/>
      <c r="AF318"/>
      <c r="AG318"/>
    </row>
    <row r="319" spans="1:33" ht="14.1" customHeight="1">
      <c r="A319" s="15">
        <v>31</v>
      </c>
      <c r="B319" s="64"/>
      <c r="M319" s="65"/>
      <c r="O319" s="516" t="s">
        <v>563</v>
      </c>
      <c r="P319" s="512" t="s">
        <v>559</v>
      </c>
      <c r="Q319" s="550">
        <f>U319-2</f>
        <v>-2</v>
      </c>
      <c r="R319" s="512" t="s">
        <v>558</v>
      </c>
      <c r="S319" s="550">
        <f>U319-1</f>
        <v>-1</v>
      </c>
      <c r="T319" s="512" t="s">
        <v>560</v>
      </c>
      <c r="U319" s="513"/>
      <c r="V319" s="512" t="s">
        <v>561</v>
      </c>
      <c r="W319" s="550">
        <f>U319+1</f>
        <v>1</v>
      </c>
      <c r="X319" s="512" t="s">
        <v>562</v>
      </c>
      <c r="Y319" s="551">
        <f>U319+2</f>
        <v>2</v>
      </c>
      <c r="Z319"/>
      <c r="AA319"/>
      <c r="AB319"/>
      <c r="AC319"/>
      <c r="AD319"/>
      <c r="AE319"/>
      <c r="AF319"/>
      <c r="AG319"/>
    </row>
    <row r="320" spans="1:33" ht="14.1" customHeight="1">
      <c r="A320" s="15">
        <v>32</v>
      </c>
      <c r="B320" s="64"/>
      <c r="M320" s="65"/>
      <c r="O320" s="517" t="s">
        <v>555</v>
      </c>
      <c r="P320" s="260" t="s">
        <v>551</v>
      </c>
      <c r="Q320" s="260" t="s">
        <v>273</v>
      </c>
      <c r="R320" s="260" t="s">
        <v>551</v>
      </c>
      <c r="S320" s="260" t="s">
        <v>273</v>
      </c>
      <c r="T320" s="260" t="s">
        <v>551</v>
      </c>
      <c r="U320" s="260" t="s">
        <v>273</v>
      </c>
      <c r="V320" s="260" t="s">
        <v>551</v>
      </c>
      <c r="W320" s="260" t="s">
        <v>273</v>
      </c>
      <c r="X320" s="260" t="s">
        <v>551</v>
      </c>
      <c r="Y320" s="525" t="s">
        <v>273</v>
      </c>
      <c r="Z320"/>
      <c r="AA320"/>
      <c r="AB320"/>
      <c r="AC320"/>
      <c r="AD320"/>
      <c r="AE320"/>
      <c r="AF320"/>
      <c r="AG320"/>
    </row>
    <row r="321" spans="1:33" ht="14.1" customHeight="1">
      <c r="A321" s="15">
        <v>33</v>
      </c>
      <c r="B321" s="64"/>
      <c r="M321" s="65"/>
      <c r="O321" s="518">
        <v>1</v>
      </c>
      <c r="P321" s="514"/>
      <c r="Q321" s="514"/>
      <c r="R321" s="514"/>
      <c r="S321" s="514"/>
      <c r="T321" s="514"/>
      <c r="U321" s="514"/>
      <c r="V321" s="514"/>
      <c r="W321" s="514"/>
      <c r="X321" s="514"/>
      <c r="Y321" s="519"/>
      <c r="Z321"/>
      <c r="AA321"/>
      <c r="AB321"/>
      <c r="AC321"/>
      <c r="AD321"/>
      <c r="AE321"/>
      <c r="AF321"/>
      <c r="AG321"/>
    </row>
    <row r="322" spans="1:33" ht="14.1" customHeight="1">
      <c r="A322" s="15">
        <v>34</v>
      </c>
      <c r="B322" s="64"/>
      <c r="M322" s="65"/>
      <c r="O322" s="518">
        <v>2</v>
      </c>
      <c r="P322" s="514"/>
      <c r="Q322" s="514"/>
      <c r="R322" s="514"/>
      <c r="S322" s="514"/>
      <c r="T322" s="514"/>
      <c r="U322" s="514"/>
      <c r="V322" s="514"/>
      <c r="W322" s="514"/>
      <c r="X322" s="514"/>
      <c r="Y322" s="519"/>
      <c r="Z322"/>
      <c r="AA322"/>
      <c r="AB322"/>
      <c r="AC322"/>
      <c r="AD322"/>
      <c r="AE322"/>
      <c r="AF322"/>
      <c r="AG322"/>
    </row>
    <row r="323" spans="1:33" ht="14.1" customHeight="1">
      <c r="A323" s="15">
        <v>35</v>
      </c>
      <c r="B323" s="64"/>
      <c r="M323" s="65"/>
      <c r="O323" s="518">
        <v>3</v>
      </c>
      <c r="P323" s="514"/>
      <c r="Q323" s="514"/>
      <c r="R323" s="514"/>
      <c r="S323" s="514"/>
      <c r="T323" s="514"/>
      <c r="U323" s="514"/>
      <c r="V323" s="514"/>
      <c r="W323" s="514"/>
      <c r="X323" s="514"/>
      <c r="Y323" s="519"/>
      <c r="Z323"/>
      <c r="AA323"/>
      <c r="AB323"/>
      <c r="AC323"/>
      <c r="AD323"/>
      <c r="AE323"/>
      <c r="AF323"/>
      <c r="AG323"/>
    </row>
    <row r="324" spans="1:33" ht="14.1" customHeight="1">
      <c r="A324" s="15">
        <v>36</v>
      </c>
      <c r="B324" s="64"/>
      <c r="M324" s="65"/>
      <c r="O324" s="518">
        <v>4</v>
      </c>
      <c r="P324" s="514"/>
      <c r="Q324" s="514"/>
      <c r="R324" s="514"/>
      <c r="S324" s="514"/>
      <c r="T324" s="514"/>
      <c r="U324" s="514"/>
      <c r="V324" s="514"/>
      <c r="W324" s="514"/>
      <c r="X324" s="514"/>
      <c r="Y324" s="519"/>
      <c r="Z324"/>
      <c r="AA324"/>
      <c r="AB324"/>
      <c r="AC324"/>
      <c r="AD324"/>
      <c r="AE324"/>
      <c r="AF324"/>
      <c r="AG324"/>
    </row>
    <row r="325" spans="1:33" ht="14.1" customHeight="1">
      <c r="A325" s="15">
        <v>37</v>
      </c>
      <c r="B325" s="64"/>
      <c r="M325" s="65"/>
      <c r="O325" s="536">
        <v>5</v>
      </c>
      <c r="P325" s="537"/>
      <c r="Q325" s="537"/>
      <c r="R325" s="537"/>
      <c r="S325" s="537"/>
      <c r="T325" s="537"/>
      <c r="U325" s="537"/>
      <c r="V325" s="537"/>
      <c r="W325" s="537"/>
      <c r="X325" s="537"/>
      <c r="Y325" s="538"/>
      <c r="Z325"/>
      <c r="AA325"/>
      <c r="AB325"/>
      <c r="AC325"/>
      <c r="AD325"/>
      <c r="AE325"/>
      <c r="AF325"/>
      <c r="AG325"/>
    </row>
    <row r="326" spans="1:33" ht="14.1" customHeight="1" thickBot="1">
      <c r="A326" s="15">
        <v>38</v>
      </c>
      <c r="B326" s="64"/>
      <c r="M326" s="65"/>
      <c r="O326" s="539">
        <v>6</v>
      </c>
      <c r="P326" s="540"/>
      <c r="Q326" s="541"/>
      <c r="R326" s="540"/>
      <c r="S326" s="541"/>
      <c r="T326" s="540"/>
      <c r="U326" s="541"/>
      <c r="V326" s="540"/>
      <c r="W326" s="541"/>
      <c r="X326" s="540"/>
      <c r="Y326" s="542"/>
    </row>
    <row r="327" spans="1:33" ht="14.1" customHeight="1">
      <c r="A327" s="15">
        <v>39</v>
      </c>
      <c r="B327" s="64"/>
      <c r="M327" s="65"/>
      <c r="O327" s="520" t="s">
        <v>556</v>
      </c>
      <c r="P327" s="512" t="s">
        <v>559</v>
      </c>
      <c r="Q327" s="550">
        <f>U327-2</f>
        <v>-2</v>
      </c>
      <c r="R327" s="512" t="s">
        <v>558</v>
      </c>
      <c r="S327" s="550">
        <f>U327-1</f>
        <v>-1</v>
      </c>
      <c r="T327" s="512" t="s">
        <v>560</v>
      </c>
      <c r="U327" s="513"/>
      <c r="V327" s="512" t="s">
        <v>561</v>
      </c>
      <c r="W327" s="550">
        <f>U327+1</f>
        <v>1</v>
      </c>
      <c r="X327" s="512" t="s">
        <v>562</v>
      </c>
      <c r="Y327" s="551">
        <f>U327+2</f>
        <v>2</v>
      </c>
    </row>
    <row r="328" spans="1:33" ht="14.1" customHeight="1">
      <c r="A328" s="15">
        <v>40</v>
      </c>
      <c r="B328" s="64"/>
      <c r="M328" s="65"/>
      <c r="O328" s="518">
        <v>1</v>
      </c>
      <c r="P328" s="514"/>
      <c r="Q328" s="514"/>
      <c r="R328" s="514"/>
      <c r="S328" s="514"/>
      <c r="T328" s="514"/>
      <c r="U328" s="514"/>
      <c r="V328" s="514"/>
      <c r="W328" s="514"/>
      <c r="X328" s="514"/>
      <c r="Y328" s="519"/>
    </row>
    <row r="329" spans="1:33" ht="14.1" customHeight="1">
      <c r="A329" s="15">
        <v>41</v>
      </c>
      <c r="B329" s="64"/>
      <c r="M329" s="65"/>
      <c r="O329" s="518">
        <v>2</v>
      </c>
      <c r="P329" s="514"/>
      <c r="Q329" s="514"/>
      <c r="R329" s="514"/>
      <c r="S329" s="514"/>
      <c r="T329" s="514"/>
      <c r="U329" s="514"/>
      <c r="V329" s="514"/>
      <c r="W329" s="514"/>
      <c r="X329" s="514"/>
      <c r="Y329" s="519"/>
    </row>
    <row r="330" spans="1:33" ht="14.1" customHeight="1">
      <c r="A330" s="15">
        <v>42</v>
      </c>
      <c r="B330" s="64"/>
      <c r="M330" s="65"/>
      <c r="O330" s="518">
        <v>3</v>
      </c>
      <c r="P330" s="514"/>
      <c r="Q330" s="514"/>
      <c r="R330" s="514"/>
      <c r="S330" s="514"/>
      <c r="T330" s="514"/>
      <c r="U330" s="514"/>
      <c r="V330" s="514"/>
      <c r="W330" s="514"/>
      <c r="X330" s="514"/>
      <c r="Y330" s="519"/>
    </row>
    <row r="331" spans="1:33" ht="14.1" customHeight="1">
      <c r="A331" s="15">
        <v>43</v>
      </c>
      <c r="B331" s="64"/>
      <c r="M331" s="65"/>
      <c r="O331" s="518">
        <v>4</v>
      </c>
      <c r="P331" s="514"/>
      <c r="Q331" s="514"/>
      <c r="R331" s="514"/>
      <c r="S331" s="514"/>
      <c r="T331" s="514"/>
      <c r="U331" s="514"/>
      <c r="V331" s="514"/>
      <c r="W331" s="514"/>
      <c r="X331" s="514"/>
      <c r="Y331" s="519"/>
    </row>
    <row r="332" spans="1:33" ht="14.1" customHeight="1">
      <c r="A332" s="15">
        <v>44</v>
      </c>
      <c r="B332" s="64"/>
      <c r="M332" s="65"/>
      <c r="O332" s="536">
        <v>5</v>
      </c>
      <c r="P332" s="537"/>
      <c r="Q332" s="537"/>
      <c r="R332" s="537"/>
      <c r="S332" s="537"/>
      <c r="T332" s="537"/>
      <c r="U332" s="537"/>
      <c r="V332" s="537"/>
      <c r="W332" s="537"/>
      <c r="X332" s="537"/>
      <c r="Y332" s="538"/>
    </row>
    <row r="333" spans="1:33" ht="14.1" customHeight="1" thickBot="1">
      <c r="A333" s="15">
        <v>45</v>
      </c>
      <c r="B333" s="64"/>
      <c r="M333" s="65"/>
      <c r="O333" s="539">
        <v>6</v>
      </c>
      <c r="P333" s="540"/>
      <c r="Q333" s="541"/>
      <c r="R333" s="540"/>
      <c r="S333" s="541"/>
      <c r="T333" s="540"/>
      <c r="U333" s="541"/>
      <c r="V333" s="540"/>
      <c r="W333" s="541"/>
      <c r="X333" s="540"/>
      <c r="Y333" s="542"/>
    </row>
    <row r="334" spans="1:33" ht="14.1" customHeight="1">
      <c r="A334" s="15">
        <v>46</v>
      </c>
      <c r="B334" s="64"/>
      <c r="M334" s="65"/>
      <c r="O334" s="520" t="s">
        <v>557</v>
      </c>
      <c r="P334" s="512" t="s">
        <v>559</v>
      </c>
      <c r="Q334" s="550">
        <f>U334-2</f>
        <v>-2</v>
      </c>
      <c r="R334" s="512" t="s">
        <v>558</v>
      </c>
      <c r="S334" s="550">
        <f>U334-1</f>
        <v>-1</v>
      </c>
      <c r="T334" s="512" t="s">
        <v>560</v>
      </c>
      <c r="U334" s="513"/>
      <c r="V334" s="512" t="s">
        <v>561</v>
      </c>
      <c r="W334" s="550">
        <f>U334+1</f>
        <v>1</v>
      </c>
      <c r="X334" s="512" t="s">
        <v>562</v>
      </c>
      <c r="Y334" s="551">
        <f>U334+2</f>
        <v>2</v>
      </c>
    </row>
    <row r="335" spans="1:33" ht="14.1" customHeight="1">
      <c r="A335" s="15">
        <v>47</v>
      </c>
      <c r="B335" s="64"/>
      <c r="M335" s="65"/>
      <c r="O335" s="518">
        <v>1</v>
      </c>
      <c r="P335" s="514"/>
      <c r="Q335" s="514"/>
      <c r="R335" s="514"/>
      <c r="S335" s="514"/>
      <c r="T335" s="514"/>
      <c r="U335" s="514"/>
      <c r="V335" s="514"/>
      <c r="W335" s="514"/>
      <c r="X335" s="514"/>
      <c r="Y335" s="519"/>
    </row>
    <row r="336" spans="1:33" ht="14.1" customHeight="1">
      <c r="A336" s="15">
        <v>48</v>
      </c>
      <c r="B336" s="64"/>
      <c r="M336" s="65"/>
      <c r="O336" s="518">
        <v>2</v>
      </c>
      <c r="P336" s="514"/>
      <c r="Q336" s="514"/>
      <c r="R336" s="514"/>
      <c r="S336" s="514"/>
      <c r="T336" s="514"/>
      <c r="U336" s="514"/>
      <c r="V336" s="514"/>
      <c r="W336" s="514"/>
      <c r="X336" s="514"/>
      <c r="Y336" s="519"/>
    </row>
    <row r="337" spans="1:25" ht="14.1" customHeight="1">
      <c r="A337" s="15">
        <v>49</v>
      </c>
      <c r="B337" s="64"/>
      <c r="M337" s="65"/>
      <c r="O337" s="518">
        <v>3</v>
      </c>
      <c r="P337" s="514"/>
      <c r="Q337" s="514"/>
      <c r="R337" s="514"/>
      <c r="S337" s="514"/>
      <c r="T337" s="514"/>
      <c r="U337" s="514"/>
      <c r="V337" s="514"/>
      <c r="W337" s="514"/>
      <c r="X337" s="514"/>
      <c r="Y337" s="519"/>
    </row>
    <row r="338" spans="1:25" ht="14.1" customHeight="1">
      <c r="A338" s="15">
        <v>50</v>
      </c>
      <c r="B338" s="64"/>
      <c r="M338" s="65"/>
      <c r="O338" s="518">
        <v>4</v>
      </c>
      <c r="P338" s="514"/>
      <c r="Q338" s="514"/>
      <c r="R338" s="514"/>
      <c r="S338" s="514"/>
      <c r="T338" s="514"/>
      <c r="U338" s="514"/>
      <c r="V338" s="514"/>
      <c r="W338" s="514"/>
      <c r="X338" s="514"/>
      <c r="Y338" s="519"/>
    </row>
    <row r="339" spans="1:25" ht="14.1" customHeight="1">
      <c r="A339" s="15">
        <v>51</v>
      </c>
      <c r="B339" s="64"/>
      <c r="M339" s="65"/>
      <c r="O339" s="536">
        <v>5</v>
      </c>
      <c r="P339" s="537"/>
      <c r="Q339" s="537"/>
      <c r="R339" s="537"/>
      <c r="S339" s="537"/>
      <c r="T339" s="537"/>
      <c r="U339" s="537"/>
      <c r="V339" s="537"/>
      <c r="W339" s="537"/>
      <c r="X339" s="537"/>
      <c r="Y339" s="538"/>
    </row>
    <row r="340" spans="1:25" ht="14.1" customHeight="1" thickBot="1">
      <c r="A340" s="15">
        <v>52</v>
      </c>
      <c r="B340" s="64"/>
      <c r="M340" s="65"/>
      <c r="O340" s="539">
        <v>6</v>
      </c>
      <c r="P340" s="540"/>
      <c r="Q340" s="541"/>
      <c r="R340" s="540"/>
      <c r="S340" s="541"/>
      <c r="T340" s="540"/>
      <c r="U340" s="541"/>
      <c r="V340" s="540"/>
      <c r="W340" s="541"/>
      <c r="X340" s="540"/>
      <c r="Y340" s="542"/>
    </row>
    <row r="341" spans="1:25" ht="14.1" customHeight="1" thickBot="1">
      <c r="A341" s="15">
        <v>53</v>
      </c>
      <c r="B341" s="64"/>
      <c r="M341" s="65"/>
      <c r="O341" s="640"/>
      <c r="P341" s="641"/>
      <c r="Q341" s="641"/>
      <c r="R341" s="641"/>
      <c r="S341" s="641"/>
      <c r="T341" s="641"/>
      <c r="U341" s="641"/>
      <c r="V341" s="641"/>
      <c r="W341" s="641"/>
      <c r="X341" s="641"/>
      <c r="Y341" s="642"/>
    </row>
    <row r="342" spans="1:25" ht="14.1" customHeight="1" thickBot="1">
      <c r="A342" s="15">
        <v>54</v>
      </c>
      <c r="B342" s="64"/>
      <c r="C342" s="70" t="s">
        <v>329</v>
      </c>
      <c r="M342" s="65"/>
      <c r="O342" s="28"/>
      <c r="P342" s="304" t="s">
        <v>555</v>
      </c>
      <c r="Q342" s="305"/>
      <c r="R342" s="305"/>
      <c r="S342" s="305" t="s">
        <v>556</v>
      </c>
      <c r="T342" s="305"/>
      <c r="U342" s="305"/>
      <c r="V342" s="305" t="s">
        <v>557</v>
      </c>
      <c r="W342" s="305"/>
      <c r="X342" s="306"/>
      <c r="Y342" s="30"/>
    </row>
    <row r="343" spans="1:25" ht="14.1" customHeight="1" thickBot="1">
      <c r="A343" s="15">
        <v>55</v>
      </c>
      <c r="B343" s="64"/>
      <c r="C343" s="33"/>
      <c r="D343" s="278" t="s">
        <v>85</v>
      </c>
      <c r="E343" s="279" t="str">
        <f>Q392</f>
        <v>/</v>
      </c>
      <c r="F343" s="375" t="s">
        <v>163</v>
      </c>
      <c r="G343" s="380">
        <f>S392</f>
        <v>28</v>
      </c>
      <c r="H343" s="22"/>
      <c r="I343" s="278" t="s">
        <v>85</v>
      </c>
      <c r="J343" s="279" t="str">
        <f>V392</f>
        <v>/</v>
      </c>
      <c r="K343" s="280" t="s">
        <v>163</v>
      </c>
      <c r="L343" s="447">
        <f>X392</f>
        <v>28</v>
      </c>
      <c r="M343" s="393"/>
      <c r="O343" s="28"/>
      <c r="P343" s="293" t="s">
        <v>552</v>
      </c>
      <c r="Q343" s="260" t="s">
        <v>553</v>
      </c>
      <c r="R343" s="260" t="s">
        <v>554</v>
      </c>
      <c r="S343" s="260" t="s">
        <v>552</v>
      </c>
      <c r="T343" s="260" t="s">
        <v>553</v>
      </c>
      <c r="U343" s="260" t="s">
        <v>554</v>
      </c>
      <c r="V343" s="260" t="s">
        <v>552</v>
      </c>
      <c r="W343" s="260" t="s">
        <v>553</v>
      </c>
      <c r="X343" s="294" t="s">
        <v>554</v>
      </c>
      <c r="Y343" s="30"/>
    </row>
    <row r="344" spans="1:25" ht="14.1" customHeight="1">
      <c r="A344" s="15">
        <v>56</v>
      </c>
      <c r="B344" s="64"/>
      <c r="C344" s="33"/>
      <c r="D344" s="385"/>
      <c r="F344" s="33" t="s">
        <v>208</v>
      </c>
      <c r="G344" s="131">
        <f>S393</f>
        <v>50</v>
      </c>
      <c r="H344" s="191"/>
      <c r="K344" s="33" t="s">
        <v>208</v>
      </c>
      <c r="L344" s="131">
        <f>X393</f>
        <v>50</v>
      </c>
      <c r="M344" s="65"/>
      <c r="O344" s="521" t="s">
        <v>547</v>
      </c>
      <c r="P344" s="376" t="str">
        <f>IF(P321="","",AVERAGE(P321:P326))</f>
        <v/>
      </c>
      <c r="Q344" s="266" t="str">
        <f>IF(Q321="","",AVERAGE(Q321:Q325))</f>
        <v/>
      </c>
      <c r="R344" s="266" t="str">
        <f>IF(OR(P344="",Q344=""),"",((P344-Q344)/($P$346-$Q$346)))</f>
        <v/>
      </c>
      <c r="S344" s="266" t="str">
        <f>IF(P328="","",AVERAGE(P328:P333))</f>
        <v/>
      </c>
      <c r="T344" s="266" t="str">
        <f>IF(Q328="","",AVERAGE(Q328:Q332))</f>
        <v/>
      </c>
      <c r="U344" s="266" t="str">
        <f>IF(OR(S344="",T344=""),"",((S344-T344)/($S$346-$T$346)))</f>
        <v/>
      </c>
      <c r="V344" s="266" t="str">
        <f>IF(P335="","",AVERAGE(P335:P340))</f>
        <v/>
      </c>
      <c r="W344" s="266" t="str">
        <f>IF(Q335="","",AVERAGE(Q335:Q339))</f>
        <v/>
      </c>
      <c r="X344" s="377" t="str">
        <f>IF(OR(V344="",W344=""),"",((V344-W344)/($V$346-$W$346)))</f>
        <v/>
      </c>
      <c r="Y344" s="30"/>
    </row>
    <row r="345" spans="1:25" ht="14.1" customHeight="1" thickBot="1">
      <c r="A345" s="15">
        <v>57</v>
      </c>
      <c r="B345" s="64"/>
      <c r="C345" s="100"/>
      <c r="D345" s="286" t="s">
        <v>19</v>
      </c>
      <c r="E345" s="287" t="s">
        <v>20</v>
      </c>
      <c r="F345" s="287" t="s">
        <v>21</v>
      </c>
      <c r="G345" s="287" t="s">
        <v>324</v>
      </c>
      <c r="H345" s="288" t="s">
        <v>325</v>
      </c>
      <c r="I345" s="286" t="s">
        <v>19</v>
      </c>
      <c r="J345" s="287" t="s">
        <v>20</v>
      </c>
      <c r="K345" s="287" t="s">
        <v>21</v>
      </c>
      <c r="L345" s="287" t="s">
        <v>324</v>
      </c>
      <c r="M345" s="394" t="s">
        <v>325</v>
      </c>
      <c r="O345" s="522" t="s">
        <v>548</v>
      </c>
      <c r="P345" s="376" t="str">
        <f>IF(R321="","",AVERAGE(R321:R326))</f>
        <v/>
      </c>
      <c r="Q345" s="266" t="str">
        <f>IF(S321="","",AVERAGE(S321:S325))</f>
        <v/>
      </c>
      <c r="R345" s="266" t="str">
        <f>IF(OR(P345="",Q345=""),"",((P345-Q345)/($P$346-$Q$346)))</f>
        <v/>
      </c>
      <c r="S345" s="266" t="str">
        <f>IF(R328="","",AVERAGE(R328:R333))</f>
        <v/>
      </c>
      <c r="T345" s="266" t="str">
        <f>IF(S328="","",AVERAGE(S328:S332))</f>
        <v/>
      </c>
      <c r="U345" s="266" t="str">
        <f>IF(OR(S345="",T345=""),"",((S345-T345)/($S$346-$T$346)))</f>
        <v/>
      </c>
      <c r="V345" s="266" t="str">
        <f>IF(R335="","",AVERAGE(R335:R340))</f>
        <v/>
      </c>
      <c r="W345" s="266" t="str">
        <f>IF(S335="","",AVERAGE(S335:S339))</f>
        <v/>
      </c>
      <c r="X345" s="377" t="str">
        <f>IF(OR(V345="",W345=""),"",((V345-W345)/($V$346-$W$346)))</f>
        <v/>
      </c>
      <c r="Y345" s="30"/>
    </row>
    <row r="346" spans="1:25" ht="14.1" customHeight="1">
      <c r="A346" s="15">
        <v>58</v>
      </c>
      <c r="B346" s="64"/>
      <c r="C346" s="100"/>
      <c r="D346" s="379" t="str">
        <f t="shared" ref="D346:M351" si="73">IF(P395="","",P395)</f>
        <v/>
      </c>
      <c r="E346" s="370" t="str">
        <f t="shared" si="73"/>
        <v/>
      </c>
      <c r="F346" s="370" t="str">
        <f t="shared" si="73"/>
        <v/>
      </c>
      <c r="G346" s="371" t="str">
        <f t="shared" si="73"/>
        <v/>
      </c>
      <c r="H346" s="381" t="str">
        <f t="shared" si="73"/>
        <v/>
      </c>
      <c r="I346" s="384" t="str">
        <f t="shared" si="73"/>
        <v/>
      </c>
      <c r="J346" s="365" t="str">
        <f t="shared" si="73"/>
        <v/>
      </c>
      <c r="K346" s="365" t="str">
        <f t="shared" si="73"/>
        <v/>
      </c>
      <c r="L346" s="366" t="str">
        <f t="shared" si="73"/>
        <v/>
      </c>
      <c r="M346" s="395" t="str">
        <f t="shared" si="73"/>
        <v/>
      </c>
      <c r="O346" s="522" t="s">
        <v>546</v>
      </c>
      <c r="P346" s="376" t="str">
        <f>IF(T321="","",AVERAGE(T321:T326))</f>
        <v/>
      </c>
      <c r="Q346" s="266" t="str">
        <f>IF(U321="","",AVERAGE(U321:U325))</f>
        <v/>
      </c>
      <c r="R346" s="526"/>
      <c r="S346" s="266" t="str">
        <f>IF(T328="","",AVERAGE(T328:T333))</f>
        <v/>
      </c>
      <c r="T346" s="266" t="str">
        <f>IF(U328="","",AVERAGE(U328:U332))</f>
        <v/>
      </c>
      <c r="U346" s="526"/>
      <c r="V346" s="266" t="str">
        <f>IF(T335="","",AVERAGE(T335:T340))</f>
        <v/>
      </c>
      <c r="W346" s="266" t="str">
        <f>IF(U335="","",AVERAGE(U335:U339))</f>
        <v/>
      </c>
      <c r="X346" s="527"/>
      <c r="Y346" s="30"/>
    </row>
    <row r="347" spans="1:25" ht="14.1" customHeight="1">
      <c r="A347" s="15">
        <v>59</v>
      </c>
      <c r="B347" s="64"/>
      <c r="C347" s="100"/>
      <c r="D347" s="376" t="str">
        <f t="shared" si="73"/>
        <v/>
      </c>
      <c r="E347" s="266" t="str">
        <f t="shared" si="73"/>
        <v/>
      </c>
      <c r="F347" s="266" t="str">
        <f t="shared" si="73"/>
        <v/>
      </c>
      <c r="G347" s="261" t="str">
        <f t="shared" si="73"/>
        <v/>
      </c>
      <c r="H347" s="382" t="str">
        <f t="shared" si="73"/>
        <v/>
      </c>
      <c r="I347" s="376" t="str">
        <f t="shared" si="73"/>
        <v/>
      </c>
      <c r="J347" s="266" t="str">
        <f t="shared" si="73"/>
        <v/>
      </c>
      <c r="K347" s="266" t="str">
        <f t="shared" si="73"/>
        <v/>
      </c>
      <c r="L347" s="261" t="str">
        <f t="shared" si="73"/>
        <v/>
      </c>
      <c r="M347" s="396" t="str">
        <f t="shared" si="73"/>
        <v/>
      </c>
      <c r="O347" s="522" t="s">
        <v>549</v>
      </c>
      <c r="P347" s="376" t="str">
        <f>IF(V321="","",AVERAGE(V321:V326))</f>
        <v/>
      </c>
      <c r="Q347" s="266" t="str">
        <f>IF(W321="","",AVERAGE(W321:W325))</f>
        <v/>
      </c>
      <c r="R347" s="266" t="str">
        <f>IF(OR(P347="",Q347=""),"",((P347-Q347)/($P$346-$Q$346)))</f>
        <v/>
      </c>
      <c r="S347" s="266" t="str">
        <f>IF(V328="","",AVERAGE(V328:V333))</f>
        <v/>
      </c>
      <c r="T347" s="266" t="str">
        <f>IF(W328="","",AVERAGE(W328:W332))</f>
        <v/>
      </c>
      <c r="U347" s="266" t="str">
        <f>IF(OR(S347="",T347=""),"",((S347-T347)/($S$346-$T$346)))</f>
        <v/>
      </c>
      <c r="V347" s="266" t="str">
        <f>IF(V335="","",AVERAGE(V335:V340))</f>
        <v/>
      </c>
      <c r="W347" s="266" t="str">
        <f>IF(W335="","",AVERAGE(W335:W339))</f>
        <v/>
      </c>
      <c r="X347" s="377" t="str">
        <f>IF(OR(V347="",W347=""),"",((V347-W347)/($V$346-$W$346)))</f>
        <v/>
      </c>
      <c r="Y347" s="30"/>
    </row>
    <row r="348" spans="1:25" ht="14.1" customHeight="1" thickBot="1">
      <c r="A348" s="15">
        <v>60</v>
      </c>
      <c r="B348" s="64"/>
      <c r="C348" s="100"/>
      <c r="D348" s="376" t="str">
        <f t="shared" si="73"/>
        <v/>
      </c>
      <c r="E348" s="266" t="str">
        <f t="shared" si="73"/>
        <v/>
      </c>
      <c r="F348" s="266" t="str">
        <f t="shared" si="73"/>
        <v/>
      </c>
      <c r="G348" s="261" t="str">
        <f t="shared" si="73"/>
        <v/>
      </c>
      <c r="H348" s="382" t="str">
        <f t="shared" si="73"/>
        <v/>
      </c>
      <c r="I348" s="376" t="str">
        <f t="shared" si="73"/>
        <v/>
      </c>
      <c r="J348" s="266" t="str">
        <f t="shared" si="73"/>
        <v/>
      </c>
      <c r="K348" s="266" t="str">
        <f t="shared" si="73"/>
        <v/>
      </c>
      <c r="L348" s="261" t="str">
        <f t="shared" si="73"/>
        <v/>
      </c>
      <c r="M348" s="396" t="str">
        <f t="shared" si="73"/>
        <v/>
      </c>
      <c r="O348" s="523" t="s">
        <v>550</v>
      </c>
      <c r="P348" s="378" t="str">
        <f>IF(X321="","",AVERAGE(X321:X326))</f>
        <v/>
      </c>
      <c r="Q348" s="368" t="str">
        <f>IF(Y321="","",AVERAGE(Y321:Y325))</f>
        <v/>
      </c>
      <c r="R348" s="368" t="str">
        <f>IF(OR(P348="",Q348=""),"",((P348-Q348)/($P$346-$Q$346)))</f>
        <v/>
      </c>
      <c r="S348" s="368" t="str">
        <f>IF(X328="","",AVERAGE(X328:X333))</f>
        <v/>
      </c>
      <c r="T348" s="368" t="str">
        <f>IF(Y328="","",AVERAGE(Y328:Y332))</f>
        <v/>
      </c>
      <c r="U348" s="368" t="str">
        <f>IF(OR(S348="",T348=""),"",((S348-T348)/($S$346-$T$346)))</f>
        <v/>
      </c>
      <c r="V348" s="368" t="str">
        <f>IF(X335="","",AVERAGE(X335:X340))</f>
        <v/>
      </c>
      <c r="W348" s="368" t="str">
        <f>IF(Y335="","",AVERAGE(Y335:Y339))</f>
        <v/>
      </c>
      <c r="X348" s="528" t="str">
        <f>IF(OR(V348="",W348=""),"",((V348-W348)/($V$346-$W$346)))</f>
        <v/>
      </c>
      <c r="Y348" s="30"/>
    </row>
    <row r="349" spans="1:25" ht="14.1" customHeight="1" thickBot="1">
      <c r="A349" s="15">
        <v>61</v>
      </c>
      <c r="B349" s="64"/>
      <c r="C349" s="100"/>
      <c r="D349" s="378" t="str">
        <f t="shared" si="73"/>
        <v/>
      </c>
      <c r="E349" s="368" t="str">
        <f t="shared" si="73"/>
        <v/>
      </c>
      <c r="F349" s="368" t="str">
        <f t="shared" si="73"/>
        <v/>
      </c>
      <c r="G349" s="369" t="str">
        <f t="shared" si="73"/>
        <v/>
      </c>
      <c r="H349" s="383" t="str">
        <f t="shared" si="73"/>
        <v/>
      </c>
      <c r="I349" s="378" t="str">
        <f t="shared" si="73"/>
        <v/>
      </c>
      <c r="J349" s="368" t="str">
        <f t="shared" si="73"/>
        <v/>
      </c>
      <c r="K349" s="368" t="str">
        <f t="shared" si="73"/>
        <v/>
      </c>
      <c r="L349" s="369" t="str">
        <f t="shared" si="73"/>
        <v/>
      </c>
      <c r="M349" s="397" t="str">
        <f t="shared" si="73"/>
        <v/>
      </c>
      <c r="O349" s="28"/>
      <c r="P349" s="353" t="s">
        <v>564</v>
      </c>
      <c r="Q349" s="365" t="str">
        <f>IF(OR(R345="",R347=""),"",AVERAGE(R345,R347))</f>
        <v/>
      </c>
      <c r="R349" s="306" t="str">
        <f>IF(Q349="","",IF(AND(Q349&gt;=0,Q349&lt;0.9),"Pass","Fail"))</f>
        <v/>
      </c>
      <c r="S349" s="353" t="s">
        <v>564</v>
      </c>
      <c r="T349" s="365" t="str">
        <f>IF(OR(U345="",U347=""),"",AVERAGE(U345,U347))</f>
        <v/>
      </c>
      <c r="U349" s="306" t="str">
        <f>IF(T349="","",IF(AND(T349&gt;=0,T349&lt;0.9),"Pass","Fail"))</f>
        <v/>
      </c>
      <c r="V349" s="353" t="s">
        <v>564</v>
      </c>
      <c r="W349" s="365" t="str">
        <f>IF(OR(X345="",X347=""),"",AVERAGE(X345,X347))</f>
        <v/>
      </c>
      <c r="X349" s="306" t="str">
        <f>IF(W349="","",IF(AND(W349&gt;=0,W349&lt;0.9),"Pass","Fail"))</f>
        <v/>
      </c>
      <c r="Y349" s="30"/>
    </row>
    <row r="350" spans="1:25" ht="14.1" customHeight="1" thickBot="1">
      <c r="A350" s="15">
        <v>62</v>
      </c>
      <c r="B350" s="64"/>
      <c r="C350" s="33" t="s">
        <v>199</v>
      </c>
      <c r="D350" s="379" t="str">
        <f t="shared" si="73"/>
        <v/>
      </c>
      <c r="E350" s="370" t="str">
        <f t="shared" si="73"/>
        <v/>
      </c>
      <c r="F350" s="370" t="str">
        <f t="shared" si="73"/>
        <v/>
      </c>
      <c r="G350" s="371" t="str">
        <f t="shared" si="73"/>
        <v/>
      </c>
      <c r="H350" s="381" t="str">
        <f t="shared" si="73"/>
        <v/>
      </c>
      <c r="I350" s="379" t="str">
        <f t="shared" si="73"/>
        <v/>
      </c>
      <c r="J350" s="370" t="str">
        <f t="shared" si="73"/>
        <v/>
      </c>
      <c r="K350" s="370" t="str">
        <f t="shared" si="73"/>
        <v/>
      </c>
      <c r="L350" s="371" t="str">
        <f t="shared" si="73"/>
        <v/>
      </c>
      <c r="M350" s="398" t="str">
        <f t="shared" si="73"/>
        <v/>
      </c>
      <c r="O350" s="28"/>
      <c r="P350" s="355" t="s">
        <v>565</v>
      </c>
      <c r="Q350" s="368" t="str">
        <f>IF(OR(R344="",R348=""),"",AVERAGE(R344,R348))</f>
        <v/>
      </c>
      <c r="R350" s="303" t="str">
        <f>IF(Q350="","",IF(AND(Q350&gt;=0,Q350&lt;0.6),"Pass","Fail"))</f>
        <v/>
      </c>
      <c r="S350" s="355" t="s">
        <v>565</v>
      </c>
      <c r="T350" s="368" t="str">
        <f>IF(OR(U344="",U348=""),"",AVERAGE(U344,U348))</f>
        <v/>
      </c>
      <c r="U350" s="303" t="str">
        <f>IF(T350="","",IF(AND(T350&gt;=0,T350&lt;0.6),"Pass","Fail"))</f>
        <v/>
      </c>
      <c r="V350" s="355" t="s">
        <v>565</v>
      </c>
      <c r="W350" s="368" t="str">
        <f>IF(OR(X344="",X348=""),"",AVERAGE(X344,X348))</f>
        <v/>
      </c>
      <c r="X350" s="303" t="str">
        <f>IF(W350="","",IF(AND(W350&gt;=0,W350&lt;0.6),"Pass","Fail"))</f>
        <v/>
      </c>
      <c r="Y350" s="30"/>
    </row>
    <row r="351" spans="1:25" ht="14.1" customHeight="1">
      <c r="A351" s="15">
        <v>63</v>
      </c>
      <c r="B351" s="64"/>
      <c r="C351" s="33" t="s">
        <v>330</v>
      </c>
      <c r="D351" s="376" t="str">
        <f t="shared" si="73"/>
        <v/>
      </c>
      <c r="E351" s="266" t="str">
        <f t="shared" si="73"/>
        <v/>
      </c>
      <c r="F351" s="266" t="str">
        <f t="shared" si="73"/>
        <v/>
      </c>
      <c r="G351" s="261" t="str">
        <f t="shared" si="73"/>
        <v/>
      </c>
      <c r="H351" s="382" t="str">
        <f t="shared" si="73"/>
        <v/>
      </c>
      <c r="I351" s="376" t="str">
        <f t="shared" si="73"/>
        <v/>
      </c>
      <c r="J351" s="266" t="str">
        <f t="shared" si="73"/>
        <v/>
      </c>
      <c r="K351" s="266" t="str">
        <f t="shared" si="73"/>
        <v/>
      </c>
      <c r="L351" s="261" t="str">
        <f t="shared" si="73"/>
        <v/>
      </c>
      <c r="M351" s="396" t="str">
        <f t="shared" si="73"/>
        <v/>
      </c>
      <c r="O351" s="28" t="s">
        <v>310</v>
      </c>
      <c r="P351" s="353" t="s">
        <v>564</v>
      </c>
      <c r="Q351" s="636" t="str">
        <f>IF(AB133="","",AB133)</f>
        <v/>
      </c>
      <c r="S351" s="353" t="s">
        <v>564</v>
      </c>
      <c r="T351" s="636" t="str">
        <f>IF(AB135="","",AB135)</f>
        <v/>
      </c>
      <c r="V351" s="353" t="s">
        <v>564</v>
      </c>
      <c r="W351" s="636" t="str">
        <f>IF(AB137="","",AB137)</f>
        <v/>
      </c>
      <c r="Y351" s="30"/>
    </row>
    <row r="352" spans="1:25" ht="14.1" customHeight="1" thickBot="1">
      <c r="A352" s="15">
        <v>64</v>
      </c>
      <c r="B352" s="64"/>
      <c r="C352" s="374" t="s">
        <v>263</v>
      </c>
      <c r="D352" s="345" t="str">
        <f>IF(P401="","",P401)</f>
        <v/>
      </c>
      <c r="E352" s="392"/>
      <c r="F352" s="346" t="str">
        <f>IF(R401="","",R401)</f>
        <v/>
      </c>
      <c r="G352" s="346" t="str">
        <f>IF(S401="","",S401)</f>
        <v/>
      </c>
      <c r="H352" s="391"/>
      <c r="I352" s="345" t="str">
        <f>IF(U401="","",U401)</f>
        <v/>
      </c>
      <c r="J352" s="392"/>
      <c r="K352" s="346" t="str">
        <f>IF(W401="","",W401)</f>
        <v/>
      </c>
      <c r="L352" s="346" t="str">
        <f>IF(X401="","",X401)</f>
        <v/>
      </c>
      <c r="M352" s="399"/>
      <c r="O352" s="28"/>
      <c r="P352" s="355" t="s">
        <v>565</v>
      </c>
      <c r="Q352" s="637" t="str">
        <f>IF(AB134="","",AB134)</f>
        <v/>
      </c>
      <c r="S352" s="355" t="s">
        <v>565</v>
      </c>
      <c r="T352" s="637" t="str">
        <f>IF(AB136="","",AB136)</f>
        <v/>
      </c>
      <c r="V352" s="355" t="s">
        <v>565</v>
      </c>
      <c r="W352" s="637" t="str">
        <f>IF(AB138="","",AB138)</f>
        <v/>
      </c>
      <c r="Y352" s="30"/>
    </row>
    <row r="353" spans="1:25" ht="14.1" customHeight="1" thickBot="1">
      <c r="A353" s="15">
        <v>65</v>
      </c>
      <c r="B353" s="64"/>
      <c r="C353" s="33"/>
      <c r="D353" s="290"/>
      <c r="E353" s="290"/>
      <c r="F353" s="290"/>
      <c r="G353"/>
      <c r="H353"/>
      <c r="L353" s="33" t="s">
        <v>757</v>
      </c>
      <c r="M353" s="400" t="str">
        <f>IF(M350="","",IF(M350&gt;2.7,"Pass","Fail"))</f>
        <v/>
      </c>
      <c r="O353" s="28"/>
      <c r="P353" s="3" t="s">
        <v>193</v>
      </c>
      <c r="Q353" s="25" t="s">
        <v>570</v>
      </c>
      <c r="Y353" s="30"/>
    </row>
    <row r="354" spans="1:25" ht="14.1" customHeight="1" thickBot="1">
      <c r="A354" s="15">
        <v>66</v>
      </c>
      <c r="B354" s="64"/>
      <c r="C354" s="33"/>
      <c r="F354" s="100"/>
      <c r="G354" s="100"/>
      <c r="M354" s="65"/>
      <c r="O354" s="38"/>
      <c r="P354" s="39"/>
      <c r="Q354" s="39"/>
      <c r="R354" s="39"/>
      <c r="S354" s="39"/>
      <c r="T354" s="39"/>
      <c r="U354" s="39"/>
      <c r="V354" s="39"/>
      <c r="W354" s="39"/>
      <c r="X354" s="39"/>
      <c r="Y354" s="40"/>
    </row>
    <row r="355" spans="1:25" ht="14.1" customHeight="1" thickBot="1">
      <c r="A355" s="15">
        <v>67</v>
      </c>
      <c r="B355" s="64"/>
      <c r="D355" s="3" t="s">
        <v>193</v>
      </c>
      <c r="E355" s="25" t="s">
        <v>333</v>
      </c>
      <c r="M355" s="65"/>
      <c r="O355" s="128" t="s">
        <v>567</v>
      </c>
      <c r="P355" s="21"/>
      <c r="Q355" s="21"/>
      <c r="R355" s="21"/>
      <c r="S355" s="21"/>
      <c r="T355" s="21"/>
      <c r="U355" s="21"/>
      <c r="V355" s="21"/>
      <c r="W355" s="21"/>
      <c r="X355" s="21"/>
      <c r="Y355" s="22"/>
    </row>
    <row r="356" spans="1:25" ht="14.1" customHeight="1">
      <c r="A356" s="15">
        <v>68</v>
      </c>
      <c r="B356" s="64"/>
      <c r="E356" s="25" t="s">
        <v>756</v>
      </c>
      <c r="M356" s="65"/>
      <c r="O356" s="28"/>
      <c r="P356" s="304" t="s">
        <v>568</v>
      </c>
      <c r="Q356" s="306" t="s">
        <v>569</v>
      </c>
      <c r="R356"/>
      <c r="S356" s="19" t="s">
        <v>310</v>
      </c>
      <c r="T356" s="304" t="s">
        <v>568</v>
      </c>
      <c r="U356" s="306" t="s">
        <v>569</v>
      </c>
      <c r="W356"/>
      <c r="X356"/>
      <c r="Y356" s="524"/>
    </row>
    <row r="357" spans="1:25" ht="14.1" customHeight="1">
      <c r="A357" s="15">
        <v>69</v>
      </c>
      <c r="B357" s="64"/>
      <c r="E357" s="25"/>
      <c r="M357" s="65"/>
      <c r="O357" s="149" t="s">
        <v>177</v>
      </c>
      <c r="P357" s="529"/>
      <c r="Q357" s="530"/>
      <c r="R357"/>
      <c r="S357" s="33" t="s">
        <v>177</v>
      </c>
      <c r="T357" s="562" t="str">
        <f>IF(AB140="","",AB140)</f>
        <v/>
      </c>
      <c r="U357" s="563" t="str">
        <f>IF(AB144="","",AB144)</f>
        <v/>
      </c>
      <c r="W357"/>
      <c r="X357"/>
      <c r="Y357" s="524"/>
    </row>
    <row r="358" spans="1:25" ht="14.1" customHeight="1" thickBot="1">
      <c r="A358" s="15">
        <v>70</v>
      </c>
      <c r="B358" s="75"/>
      <c r="C358" s="76"/>
      <c r="D358" s="76"/>
      <c r="E358" s="76"/>
      <c r="F358" s="76"/>
      <c r="G358" s="76"/>
      <c r="H358" s="76"/>
      <c r="I358" s="76"/>
      <c r="J358" s="76"/>
      <c r="K358" s="76"/>
      <c r="L358" s="76"/>
      <c r="M358" s="77"/>
      <c r="O358" s="149" t="s">
        <v>179</v>
      </c>
      <c r="P358" s="529"/>
      <c r="Q358" s="530"/>
      <c r="R358"/>
      <c r="S358" s="33" t="s">
        <v>179</v>
      </c>
      <c r="T358" s="562" t="str">
        <f>IF(AB141="","",AB141)</f>
        <v/>
      </c>
      <c r="U358" s="563" t="str">
        <f>IF(AB145="","",AB145)</f>
        <v/>
      </c>
      <c r="W358"/>
      <c r="X358"/>
      <c r="Y358" s="524"/>
    </row>
    <row r="359" spans="1:25" ht="14.1" customHeight="1" thickTop="1" thickBot="1">
      <c r="A359" s="15">
        <v>71</v>
      </c>
      <c r="C359" s="102" t="s">
        <v>8</v>
      </c>
      <c r="D359" s="320" t="str">
        <f>IF($P$7="","",$P$7)</f>
        <v/>
      </c>
      <c r="E359" s="25"/>
      <c r="F359" s="25"/>
      <c r="G359" s="25"/>
      <c r="H359" s="25"/>
      <c r="I359" s="25"/>
      <c r="J359" s="25"/>
      <c r="K359" s="25"/>
      <c r="L359" s="102" t="s">
        <v>9</v>
      </c>
      <c r="M359" s="321" t="str">
        <f>IF($X$7="","",$X$7)</f>
        <v>Eugene Mah</v>
      </c>
      <c r="O359" s="149" t="s">
        <v>181</v>
      </c>
      <c r="P359" s="529"/>
      <c r="Q359" s="530"/>
      <c r="R359"/>
      <c r="S359" s="33" t="s">
        <v>181</v>
      </c>
      <c r="T359" s="564" t="str">
        <f>IF(AB142="","",AB142)</f>
        <v/>
      </c>
      <c r="U359" s="565" t="str">
        <f>IF(AB146="","",AB146)</f>
        <v/>
      </c>
      <c r="W359"/>
      <c r="X359"/>
      <c r="Y359" s="524"/>
    </row>
    <row r="360" spans="1:25" ht="14.1" customHeight="1" thickBot="1">
      <c r="A360" s="15">
        <v>72</v>
      </c>
      <c r="C360" s="102" t="s">
        <v>111</v>
      </c>
      <c r="D360" s="639" t="str">
        <f>IF($R$14="","",$R$14)</f>
        <v/>
      </c>
      <c r="E360" s="25"/>
      <c r="F360" s="25"/>
      <c r="G360" s="25"/>
      <c r="H360" s="25"/>
      <c r="I360" s="25"/>
      <c r="J360" s="25"/>
      <c r="K360" s="25"/>
      <c r="L360" s="102" t="s">
        <v>29</v>
      </c>
      <c r="M360" s="639" t="str">
        <f>IF($R$13="","",$R$13)</f>
        <v/>
      </c>
      <c r="O360" s="149" t="s">
        <v>207</v>
      </c>
      <c r="P360" s="300" t="str">
        <f>IF(OR(P357="",P358="",P359=""),"",IF(AND(P357&gt;=4,P358&gt;=3,P359&gt;=3),"Pass","Fail"))</f>
        <v/>
      </c>
      <c r="Q360" s="303" t="str">
        <f t="shared" ref="Q360" si="74">IF(OR(Q357="",Q358="",Q359=""),"",IF(AND(Q357&gt;=4,Q358&gt;=3,Q359&gt;=3),"Pass","Fail"))</f>
        <v/>
      </c>
      <c r="R360"/>
      <c r="U360"/>
      <c r="V360"/>
      <c r="W360"/>
      <c r="X360"/>
      <c r="Y360" s="524"/>
    </row>
    <row r="361" spans="1:25" ht="14.1" customHeight="1">
      <c r="A361" s="15">
        <v>1</v>
      </c>
      <c r="M361" s="105" t="str">
        <f>$H$2</f>
        <v>Medical University of South Carolina</v>
      </c>
      <c r="O361" s="28"/>
      <c r="P361" s="3" t="s">
        <v>193</v>
      </c>
      <c r="Q361" s="25" t="s">
        <v>571</v>
      </c>
      <c r="Y361" s="30"/>
    </row>
    <row r="362" spans="1:25" ht="14.1" customHeight="1" thickBot="1">
      <c r="A362" s="15">
        <v>2</v>
      </c>
      <c r="B362" s="76"/>
      <c r="C362" s="76"/>
      <c r="D362" s="76"/>
      <c r="E362" s="76"/>
      <c r="F362" s="76"/>
      <c r="G362" s="76"/>
      <c r="H362" s="439" t="s">
        <v>64</v>
      </c>
      <c r="I362" s="76"/>
      <c r="J362" s="76"/>
      <c r="K362" s="76"/>
      <c r="L362" s="76"/>
      <c r="M362" s="440" t="str">
        <f>$H$5</f>
        <v>Mammography System Compliance Inspection</v>
      </c>
      <c r="O362" s="91"/>
      <c r="P362" s="19" t="s">
        <v>697</v>
      </c>
      <c r="Y362" s="30"/>
    </row>
    <row r="363" spans="1:25" ht="14.1" customHeight="1" thickTop="1">
      <c r="A363" s="15">
        <v>3</v>
      </c>
      <c r="B363" s="64"/>
      <c r="C363" s="70" t="s">
        <v>334</v>
      </c>
      <c r="M363" s="65"/>
      <c r="O363" s="91"/>
      <c r="P363" s="19" t="s">
        <v>698</v>
      </c>
      <c r="Y363" s="30"/>
    </row>
    <row r="364" spans="1:25" ht="14.1" customHeight="1">
      <c r="A364" s="15">
        <v>4</v>
      </c>
      <c r="B364" s="64"/>
      <c r="C364" s="33" t="s">
        <v>43</v>
      </c>
      <c r="D364" s="131" t="str">
        <f>IF(Q407="","",Q407)</f>
        <v>/</v>
      </c>
      <c r="E364" s="33" t="s">
        <v>45</v>
      </c>
      <c r="F364" s="131" t="e">
        <f>IF(S407="","",S407)</f>
        <v>#REF!</v>
      </c>
      <c r="M364" s="65"/>
      <c r="O364" s="91"/>
      <c r="P364" s="19" t="s">
        <v>696</v>
      </c>
      <c r="Y364" s="30"/>
    </row>
    <row r="365" spans="1:25" ht="14.1" customHeight="1" thickBot="1">
      <c r="A365" s="15">
        <v>5</v>
      </c>
      <c r="B365" s="64"/>
      <c r="D365" s="100"/>
      <c r="M365" s="65"/>
      <c r="O365" s="38"/>
      <c r="P365" s="176"/>
      <c r="Q365" s="176"/>
      <c r="R365" s="39"/>
      <c r="S365" s="39"/>
      <c r="T365" s="176"/>
      <c r="U365" s="176"/>
      <c r="V365" s="39"/>
      <c r="W365" s="231"/>
      <c r="X365" s="39"/>
      <c r="Y365" s="40"/>
    </row>
    <row r="366" spans="1:25" ht="14.1" customHeight="1" thickBot="1">
      <c r="A366" s="15">
        <v>6</v>
      </c>
      <c r="B366" s="64"/>
      <c r="C366" s="239" t="s">
        <v>338</v>
      </c>
      <c r="D366" s="239" t="s">
        <v>19</v>
      </c>
      <c r="E366" s="239" t="s">
        <v>331</v>
      </c>
      <c r="F366" s="239" t="s">
        <v>324</v>
      </c>
      <c r="G366" s="239" t="s">
        <v>325</v>
      </c>
      <c r="I366" s="322" t="str">
        <f>IF(F371="","",IF(F371&lt;=0.1,"Pass","Fail"))</f>
        <v/>
      </c>
      <c r="J366" s="19" t="s">
        <v>505</v>
      </c>
      <c r="M366" s="65"/>
      <c r="O366" s="128" t="s">
        <v>317</v>
      </c>
      <c r="P366" s="208"/>
      <c r="Q366" s="208"/>
      <c r="R366" s="21"/>
      <c r="S366" s="21"/>
      <c r="T366" s="208"/>
      <c r="U366" s="208"/>
      <c r="V366" s="21"/>
      <c r="W366" s="21"/>
      <c r="X366" s="21"/>
      <c r="Y366" s="22"/>
    </row>
    <row r="367" spans="1:25" ht="14.1" customHeight="1" thickBot="1">
      <c r="A367" s="15">
        <v>7</v>
      </c>
      <c r="B367" s="64"/>
      <c r="C367" s="10">
        <f t="shared" ref="C367:D370" si="75">IF(P409="","",P409)</f>
        <v>20</v>
      </c>
      <c r="D367" s="11" t="str">
        <f t="shared" si="75"/>
        <v/>
      </c>
      <c r="E367" s="11" t="str">
        <f t="shared" ref="E367:G370" si="76">IF(S409="","",S409)</f>
        <v/>
      </c>
      <c r="F367" s="12" t="str">
        <f t="shared" si="76"/>
        <v/>
      </c>
      <c r="G367" s="11" t="str">
        <f t="shared" si="76"/>
        <v/>
      </c>
      <c r="I367" s="322" t="str">
        <f>IF(O415=3,"NA",IF(O415=1,"Pass","Fail"))</f>
        <v>NA</v>
      </c>
      <c r="J367" s="19" t="s">
        <v>506</v>
      </c>
      <c r="M367" s="65"/>
      <c r="O367" s="28" t="s">
        <v>319</v>
      </c>
      <c r="P367" s="129" t="s">
        <v>750</v>
      </c>
      <c r="R367" s="33" t="s">
        <v>320</v>
      </c>
      <c r="S367" s="234"/>
      <c r="Y367" s="30"/>
    </row>
    <row r="368" spans="1:25" ht="14.1" customHeight="1" thickBot="1">
      <c r="A368" s="15">
        <v>8</v>
      </c>
      <c r="B368" s="64"/>
      <c r="C368" s="10">
        <f t="shared" si="75"/>
        <v>50</v>
      </c>
      <c r="D368" s="11" t="str">
        <f t="shared" si="75"/>
        <v/>
      </c>
      <c r="E368" s="11" t="str">
        <f t="shared" si="76"/>
        <v/>
      </c>
      <c r="F368" s="12" t="str">
        <f t="shared" si="76"/>
        <v/>
      </c>
      <c r="G368" s="11" t="str">
        <f t="shared" si="76"/>
        <v/>
      </c>
      <c r="I368" s="322" t="str">
        <f>IF(O416=3,"NA",IF(O416=2,"Fail",IF(O416=1,"Pass","NA")))</f>
        <v>NA</v>
      </c>
      <c r="J368" s="673" t="s">
        <v>762</v>
      </c>
      <c r="M368" s="65"/>
      <c r="O368" s="28" t="s">
        <v>321</v>
      </c>
      <c r="P368" s="129"/>
      <c r="R368" s="33" t="s">
        <v>322</v>
      </c>
      <c r="S368" s="234"/>
      <c r="Y368" s="30"/>
    </row>
    <row r="369" spans="1:25" ht="14.1" customHeight="1">
      <c r="A369" s="15">
        <v>9</v>
      </c>
      <c r="B369" s="64"/>
      <c r="C369" s="10">
        <f t="shared" si="75"/>
        <v>100</v>
      </c>
      <c r="D369" s="11" t="str">
        <f t="shared" si="75"/>
        <v/>
      </c>
      <c r="E369" s="11" t="str">
        <f t="shared" si="76"/>
        <v/>
      </c>
      <c r="F369" s="12" t="str">
        <f t="shared" si="76"/>
        <v/>
      </c>
      <c r="G369" s="11" t="str">
        <f t="shared" si="76"/>
        <v/>
      </c>
      <c r="M369" s="65"/>
      <c r="O369" s="28"/>
      <c r="S369" s="759" t="s">
        <v>323</v>
      </c>
      <c r="T369" s="759"/>
      <c r="U369" s="759"/>
      <c r="V369" s="759"/>
      <c r="W369" s="759"/>
      <c r="Y369" s="30"/>
    </row>
    <row r="370" spans="1:25" ht="14.1" customHeight="1" thickBot="1">
      <c r="A370" s="15">
        <v>10</v>
      </c>
      <c r="B370" s="64"/>
      <c r="C370" s="10">
        <f t="shared" si="75"/>
        <v>600</v>
      </c>
      <c r="D370" s="11" t="str">
        <f t="shared" si="75"/>
        <v/>
      </c>
      <c r="E370" s="11" t="str">
        <f t="shared" si="76"/>
        <v/>
      </c>
      <c r="F370" s="12" t="str">
        <f t="shared" si="76"/>
        <v/>
      </c>
      <c r="G370" s="11" t="str">
        <f t="shared" si="76"/>
        <v/>
      </c>
      <c r="M370" s="65"/>
      <c r="O370" s="28"/>
      <c r="P370" s="19" t="s">
        <v>62</v>
      </c>
      <c r="Q370" s="100" t="s">
        <v>258</v>
      </c>
      <c r="R370" s="100" t="s">
        <v>63</v>
      </c>
      <c r="S370" s="100" t="s">
        <v>19</v>
      </c>
      <c r="T370" s="100" t="s">
        <v>20</v>
      </c>
      <c r="U370" s="100" t="s">
        <v>21</v>
      </c>
      <c r="V370" s="100" t="s">
        <v>324</v>
      </c>
      <c r="W370" s="100" t="s">
        <v>325</v>
      </c>
      <c r="X370" s="100" t="s">
        <v>481</v>
      </c>
      <c r="Y370" s="30"/>
    </row>
    <row r="371" spans="1:25" ht="14.1" customHeight="1" thickBot="1">
      <c r="A371" s="15">
        <v>11</v>
      </c>
      <c r="B371" s="64"/>
      <c r="E371" s="33" t="s">
        <v>335</v>
      </c>
      <c r="F371" s="242" t="str">
        <f>IF(T413="","",T413)</f>
        <v/>
      </c>
      <c r="M371" s="65"/>
      <c r="O371" s="28"/>
      <c r="P371" s="786" t="str">
        <f>$V$21&amp;"/"&amp;$V$24</f>
        <v>/</v>
      </c>
      <c r="Q371" s="269">
        <f>IF(Sheet2!A4="","",Sheet2!A4)</f>
        <v>24</v>
      </c>
      <c r="R371" s="10">
        <f>IF(Sheet2!B4="","",Sheet2!B4)</f>
        <v>50</v>
      </c>
      <c r="S371" s="11" t="str">
        <f>IF(Sheet2!F4="","",Sheet2!F4)</f>
        <v/>
      </c>
      <c r="T371" s="11" t="str">
        <f>IF(Sheet2!G4="","",Sheet2!G4)</f>
        <v/>
      </c>
      <c r="U371" s="11" t="str">
        <f>IF(Sheet2!H4="","",Sheet2!H4)</f>
        <v/>
      </c>
      <c r="V371" s="12" t="str">
        <f>IF(U371="","",U371/R371)</f>
        <v/>
      </c>
      <c r="W371" s="13" t="str">
        <f>IF(U371="","",U371/(T371/1000))</f>
        <v/>
      </c>
      <c r="X371" s="14" t="str">
        <f>IF(S371="","",(S371-Q371)/Q371)</f>
        <v/>
      </c>
      <c r="Y371" s="30"/>
    </row>
    <row r="372" spans="1:25" ht="14.1" customHeight="1">
      <c r="A372" s="15">
        <v>12</v>
      </c>
      <c r="B372" s="64"/>
      <c r="D372" s="3" t="s">
        <v>193</v>
      </c>
      <c r="E372" s="25" t="s">
        <v>336</v>
      </c>
      <c r="M372" s="65"/>
      <c r="O372" s="28"/>
      <c r="P372" s="787"/>
      <c r="Q372" s="269">
        <f>IF(Sheet2!A5="","",Sheet2!A5)</f>
        <v>25</v>
      </c>
      <c r="R372" s="10">
        <f>IF(Sheet2!B5="","",Sheet2!B5)</f>
        <v>50</v>
      </c>
      <c r="S372" s="11" t="str">
        <f>IF(Sheet2!F6="","",Sheet2!F6)</f>
        <v/>
      </c>
      <c r="T372" s="11" t="str">
        <f>IF(Sheet2!G6="","",Sheet2!G6)</f>
        <v/>
      </c>
      <c r="U372" s="11" t="str">
        <f>IF(Sheet2!H6="","",Sheet2!H6)</f>
        <v/>
      </c>
      <c r="V372" s="12" t="str">
        <f t="shared" ref="V372:V376" si="77">IF(U372="","",U372/R372)</f>
        <v/>
      </c>
      <c r="W372" s="11" t="str">
        <f t="shared" ref="W372:W376" si="78">IF(U372="","",U372/(T372/1000))</f>
        <v/>
      </c>
      <c r="X372" s="14" t="str">
        <f t="shared" ref="X372:X376" si="79">IF(S372="","",(S372-Q372)/Q372)</f>
        <v/>
      </c>
      <c r="Y372" s="30"/>
    </row>
    <row r="373" spans="1:25" ht="14.1" customHeight="1" thickBot="1">
      <c r="A373" s="15">
        <v>13</v>
      </c>
      <c r="B373" s="64"/>
      <c r="C373" s="70" t="s">
        <v>339</v>
      </c>
      <c r="M373" s="65"/>
      <c r="O373" s="28"/>
      <c r="P373" s="787"/>
      <c r="Q373" s="269">
        <f>IF(Sheet2!A6="","",Sheet2!A6)</f>
        <v>26</v>
      </c>
      <c r="R373" s="10">
        <f>IF(Sheet2!B6="","",Sheet2!B6)</f>
        <v>50</v>
      </c>
      <c r="S373" s="11" t="str">
        <f>IF(Sheet2!F8="","",Sheet2!F8)</f>
        <v/>
      </c>
      <c r="T373" s="11" t="str">
        <f>IF(Sheet2!G8="","",Sheet2!G8)</f>
        <v/>
      </c>
      <c r="U373" s="11" t="str">
        <f>IF(Sheet2!H8="","",Sheet2!H8)</f>
        <v/>
      </c>
      <c r="V373" s="12" t="str">
        <f t="shared" si="77"/>
        <v/>
      </c>
      <c r="W373" s="11" t="str">
        <f t="shared" si="78"/>
        <v/>
      </c>
      <c r="X373" s="14" t="str">
        <f t="shared" si="79"/>
        <v/>
      </c>
      <c r="Y373" s="30"/>
    </row>
    <row r="374" spans="1:25" ht="14.1" customHeight="1">
      <c r="A374" s="15">
        <v>14</v>
      </c>
      <c r="B374" s="64"/>
      <c r="C374" s="304" t="s">
        <v>62</v>
      </c>
      <c r="D374" s="305" t="str">
        <f t="shared" ref="D374:F375" si="80">IF(Q418="","",Q418)</f>
        <v>/</v>
      </c>
      <c r="E374" s="305" t="str">
        <f t="shared" si="80"/>
        <v>/</v>
      </c>
      <c r="F374" s="306" t="str">
        <f t="shared" si="80"/>
        <v/>
      </c>
      <c r="G374"/>
      <c r="H374"/>
      <c r="I374"/>
      <c r="J374"/>
      <c r="K374"/>
      <c r="L374"/>
      <c r="M374" s="65"/>
      <c r="O374" s="28"/>
      <c r="P374" s="787"/>
      <c r="Q374" s="269">
        <f>IF(Sheet2!A8="","",Sheet2!A8)</f>
        <v>28</v>
      </c>
      <c r="R374" s="10">
        <f>IF(Sheet2!B8="","",Sheet2!B8)</f>
        <v>50</v>
      </c>
      <c r="S374" s="11" t="str">
        <f>IF(Sheet2!F8="","",AVERAGE(Sheet2!F7:F13))</f>
        <v/>
      </c>
      <c r="T374" s="11" t="str">
        <f>IF(Sheet2!G8="","",AVERAGE(Sheet2!G8:G11))</f>
        <v/>
      </c>
      <c r="U374" s="11" t="str">
        <f>IF(Sheet2!H8="","",AVERAGE(Sheet2!H8:H11))</f>
        <v/>
      </c>
      <c r="V374" s="12" t="str">
        <f t="shared" si="77"/>
        <v/>
      </c>
      <c r="W374" s="11" t="str">
        <f t="shared" si="78"/>
        <v/>
      </c>
      <c r="X374" s="14" t="str">
        <f t="shared" si="79"/>
        <v/>
      </c>
      <c r="Y374" s="30"/>
    </row>
    <row r="375" spans="1:25" ht="14.1" customHeight="1">
      <c r="A375" s="15">
        <v>15</v>
      </c>
      <c r="B375" s="64"/>
      <c r="C375" s="293" t="s">
        <v>19</v>
      </c>
      <c r="D375" s="260">
        <f t="shared" si="80"/>
        <v>28</v>
      </c>
      <c r="E375" s="260">
        <f t="shared" si="80"/>
        <v>28</v>
      </c>
      <c r="F375" s="294" t="str">
        <f t="shared" si="80"/>
        <v/>
      </c>
      <c r="G375"/>
      <c r="H375"/>
      <c r="I375"/>
      <c r="J375"/>
      <c r="K375"/>
      <c r="L375"/>
      <c r="M375" s="65"/>
      <c r="O375" s="28"/>
      <c r="P375" s="787"/>
      <c r="Q375" s="269">
        <f>IF(Sheet2!A14="","",Sheet2!A14)</f>
        <v>30</v>
      </c>
      <c r="R375" s="10">
        <f>IF(Sheet2!B14="","",Sheet2!B14)</f>
        <v>50</v>
      </c>
      <c r="S375" s="11" t="str">
        <f>IF(Sheet2!F14="","",Sheet2!F14)</f>
        <v/>
      </c>
      <c r="T375" s="11" t="str">
        <f>IF(Sheet2!G14="","",Sheet2!G14)</f>
        <v/>
      </c>
      <c r="U375" s="11" t="str">
        <f>IF(Sheet2!H14="","",Sheet2!H14)</f>
        <v/>
      </c>
      <c r="V375" s="12" t="str">
        <f t="shared" si="77"/>
        <v/>
      </c>
      <c r="W375" s="11" t="str">
        <f t="shared" si="78"/>
        <v/>
      </c>
      <c r="X375" s="14" t="str">
        <f t="shared" si="79"/>
        <v/>
      </c>
      <c r="Y375" s="30"/>
    </row>
    <row r="376" spans="1:25" ht="14.1" customHeight="1">
      <c r="A376" s="15">
        <v>16</v>
      </c>
      <c r="B376" s="64"/>
      <c r="C376" s="354" t="s">
        <v>415</v>
      </c>
      <c r="D376" s="266" t="str">
        <f t="shared" ref="D376:F377" si="81">IF(Q423="","",Q423)</f>
        <v/>
      </c>
      <c r="E376" s="266" t="str">
        <f t="shared" si="81"/>
        <v/>
      </c>
      <c r="F376" s="377" t="str">
        <f t="shared" si="81"/>
        <v/>
      </c>
      <c r="G376"/>
      <c r="H376"/>
      <c r="I376"/>
      <c r="J376"/>
      <c r="K376"/>
      <c r="L376"/>
      <c r="M376" s="65"/>
      <c r="O376" s="28"/>
      <c r="P376" s="787"/>
      <c r="Q376" s="269">
        <f>IF(Sheet2!A15="","",Sheet2!A15)</f>
        <v>32</v>
      </c>
      <c r="R376" s="10">
        <f>IF(Sheet2!B15="","",Sheet2!B15)</f>
        <v>50</v>
      </c>
      <c r="S376" s="11" t="str">
        <f>IF(Sheet2!F15="","",Sheet2!F15)</f>
        <v/>
      </c>
      <c r="T376" s="11" t="str">
        <f>IF(Sheet2!G15="","",Sheet2!G15)</f>
        <v/>
      </c>
      <c r="U376" s="11" t="str">
        <f>IF(Sheet2!H15="","",Sheet2!H15)</f>
        <v/>
      </c>
      <c r="V376" s="12" t="str">
        <f t="shared" si="77"/>
        <v/>
      </c>
      <c r="W376" s="11" t="str">
        <f t="shared" si="78"/>
        <v/>
      </c>
      <c r="X376" s="14" t="str">
        <f t="shared" si="79"/>
        <v/>
      </c>
      <c r="Y376" s="30"/>
    </row>
    <row r="377" spans="1:25" ht="14.1" customHeight="1">
      <c r="A377" s="15">
        <v>17</v>
      </c>
      <c r="B377" s="64"/>
      <c r="C377" s="354" t="s">
        <v>507</v>
      </c>
      <c r="D377" s="14" t="str">
        <f t="shared" si="81"/>
        <v/>
      </c>
      <c r="E377" s="14" t="str">
        <f t="shared" si="81"/>
        <v/>
      </c>
      <c r="F377" s="352" t="str">
        <f t="shared" si="81"/>
        <v/>
      </c>
      <c r="G377"/>
      <c r="H377"/>
      <c r="I377"/>
      <c r="J377"/>
      <c r="K377"/>
      <c r="L377"/>
      <c r="M377" s="65"/>
      <c r="O377" s="28"/>
      <c r="P377" s="788"/>
      <c r="Q377" s="269">
        <f>IF(Sheet2!A16="","",Sheet2!A16)</f>
        <v>34</v>
      </c>
      <c r="R377" s="10">
        <f>IF(Sheet2!B16="","",Sheet2!B16)</f>
        <v>50</v>
      </c>
      <c r="S377" s="11" t="str">
        <f>IF(Sheet2!F16="","",Sheet2!F16)</f>
        <v/>
      </c>
      <c r="T377" s="11" t="str">
        <f>IF(Sheet2!G16="","",Sheet2!G16)</f>
        <v/>
      </c>
      <c r="U377" s="11" t="str">
        <f>IF(Sheet2!H16="","",Sheet2!H16)</f>
        <v/>
      </c>
      <c r="V377" s="12" t="str">
        <f t="shared" ref="V377" si="82">IF(U377="","",U377/R377)</f>
        <v/>
      </c>
      <c r="W377" s="11" t="str">
        <f t="shared" ref="W377" si="83">IF(U377="","",U377/(T377/1000))</f>
        <v/>
      </c>
      <c r="X377" s="14" t="str">
        <f t="shared" ref="X377" si="84">IF(S377="","",(S377-Q377)/Q377)</f>
        <v/>
      </c>
      <c r="Y377" s="30"/>
    </row>
    <row r="378" spans="1:25" ht="14.1" customHeight="1" thickBot="1">
      <c r="A378" s="15">
        <v>18</v>
      </c>
      <c r="B378" s="64"/>
      <c r="C378" s="506" t="s">
        <v>207</v>
      </c>
      <c r="D378" s="301" t="str">
        <f>Q425</f>
        <v/>
      </c>
      <c r="E378" s="301" t="str">
        <f>R425</f>
        <v/>
      </c>
      <c r="F378" s="303">
        <f>S425</f>
        <v>0</v>
      </c>
      <c r="G378"/>
      <c r="H378"/>
      <c r="I378"/>
      <c r="J378"/>
      <c r="K378"/>
      <c r="L378"/>
      <c r="M378" s="65"/>
      <c r="O378" s="28"/>
      <c r="P378" s="786" t="str">
        <f>$V$21&amp;"/"&amp;V25</f>
        <v>/</v>
      </c>
      <c r="Q378" s="269">
        <f>IF(Sheet2!A17="","",Sheet2!A17)</f>
        <v>28</v>
      </c>
      <c r="R378" s="10">
        <f>IF(Sheet2!B17="","",Sheet2!B17)</f>
        <v>50</v>
      </c>
      <c r="S378" s="11" t="str">
        <f>IF(Sheet2!F17="","",Sheet2!F17)</f>
        <v/>
      </c>
      <c r="T378" s="11" t="str">
        <f>IF(Sheet2!G17="","",Sheet2!G17)</f>
        <v/>
      </c>
      <c r="U378" s="11" t="str">
        <f>IF(Sheet2!H17="","",Sheet2!H17)</f>
        <v/>
      </c>
      <c r="V378" s="12" t="str">
        <f t="shared" ref="V378:V388" si="85">IF(U378="","",U378/R378)</f>
        <v/>
      </c>
      <c r="W378" s="11" t="str">
        <f t="shared" ref="W378:W388" si="86">IF(U378="","",U378/(T378/1000))</f>
        <v/>
      </c>
      <c r="X378" s="14" t="str">
        <f t="shared" ref="X378:X388" si="87">IF(S378="","",(S378-Q378)/Q378)</f>
        <v/>
      </c>
      <c r="Y378" s="30"/>
    </row>
    <row r="379" spans="1:25" ht="14.1" customHeight="1">
      <c r="A379" s="15">
        <v>19</v>
      </c>
      <c r="B379" s="64"/>
      <c r="C379"/>
      <c r="D379" s="3" t="s">
        <v>193</v>
      </c>
      <c r="E379" s="25" t="s">
        <v>595</v>
      </c>
      <c r="F379"/>
      <c r="G379"/>
      <c r="H379"/>
      <c r="I379"/>
      <c r="J379"/>
      <c r="K379"/>
      <c r="L379"/>
      <c r="M379" s="65"/>
      <c r="O379" s="149"/>
      <c r="P379" s="787"/>
      <c r="Q379" s="269">
        <f>IF(Sheet2!A18="","",Sheet2!A18)</f>
        <v>30</v>
      </c>
      <c r="R379" s="10">
        <f>IF(Sheet2!B18="","",Sheet2!B18)</f>
        <v>50</v>
      </c>
      <c r="S379" s="11" t="str">
        <f>IF(Sheet2!F18="","",Sheet2!F18)</f>
        <v/>
      </c>
      <c r="T379" s="11" t="str">
        <f>IF(Sheet2!G18="","",Sheet2!G18)</f>
        <v/>
      </c>
      <c r="U379" s="11" t="str">
        <f>IF(Sheet2!H18="","",Sheet2!H18)</f>
        <v/>
      </c>
      <c r="V379" s="12" t="str">
        <f t="shared" si="85"/>
        <v/>
      </c>
      <c r="W379" s="11" t="str">
        <f t="shared" si="86"/>
        <v/>
      </c>
      <c r="X379" s="14" t="str">
        <f t="shared" si="87"/>
        <v/>
      </c>
      <c r="Y379" s="30"/>
    </row>
    <row r="380" spans="1:25" ht="14.1" customHeight="1">
      <c r="A380" s="15">
        <v>20</v>
      </c>
      <c r="B380" s="64"/>
      <c r="E380" s="25" t="s">
        <v>758</v>
      </c>
      <c r="M380" s="65"/>
      <c r="O380" s="28"/>
      <c r="P380" s="787"/>
      <c r="Q380" s="269">
        <f>IF(Sheet2!A19="","",Sheet2!A19)</f>
        <v>32</v>
      </c>
      <c r="R380" s="10">
        <f>IF(Sheet2!B19="","",Sheet2!B19)</f>
        <v>50</v>
      </c>
      <c r="S380" s="11" t="str">
        <f>IF(Sheet2!F19="","",Sheet2!F19)</f>
        <v/>
      </c>
      <c r="T380" s="11" t="str">
        <f>IF(Sheet2!G19="","",Sheet2!G19)</f>
        <v/>
      </c>
      <c r="U380" s="11" t="str">
        <f>IF(Sheet2!H19="","",Sheet2!H19)</f>
        <v/>
      </c>
      <c r="V380" s="12" t="str">
        <f t="shared" si="85"/>
        <v/>
      </c>
      <c r="W380" s="11" t="str">
        <f t="shared" si="86"/>
        <v/>
      </c>
      <c r="X380" s="14" t="str">
        <f t="shared" si="87"/>
        <v/>
      </c>
      <c r="Y380" s="30"/>
    </row>
    <row r="381" spans="1:25" ht="14.1" customHeight="1">
      <c r="A381" s="15">
        <v>21</v>
      </c>
      <c r="B381" s="64"/>
      <c r="C381" s="70" t="s">
        <v>308</v>
      </c>
      <c r="M381" s="65"/>
      <c r="O381" s="28"/>
      <c r="P381" s="787"/>
      <c r="Q381" s="269">
        <f>IF(Sheet2!A20="","",Sheet2!A20)</f>
        <v>34</v>
      </c>
      <c r="R381" s="10">
        <f>IF(Sheet2!B20="","",Sheet2!B20)</f>
        <v>50</v>
      </c>
      <c r="S381" s="11" t="str">
        <f>IF(Sheet2!F20="","",Sheet2!F20)</f>
        <v/>
      </c>
      <c r="T381" s="11" t="str">
        <f>IF(Sheet2!G20="","",Sheet2!G20)</f>
        <v/>
      </c>
      <c r="U381" s="11" t="str">
        <f>IF(Sheet2!H20="","",Sheet2!H20)</f>
        <v/>
      </c>
      <c r="V381" s="12" t="str">
        <f t="shared" si="85"/>
        <v/>
      </c>
      <c r="W381" s="11" t="str">
        <f t="shared" si="86"/>
        <v/>
      </c>
      <c r="X381" s="14" t="str">
        <f t="shared" si="87"/>
        <v/>
      </c>
      <c r="Y381" s="30"/>
    </row>
    <row r="382" spans="1:25" ht="14.1" customHeight="1" thickBot="1">
      <c r="A382" s="15">
        <v>22</v>
      </c>
      <c r="B382" s="64"/>
      <c r="D382" s="33" t="s">
        <v>163</v>
      </c>
      <c r="E382" s="131">
        <f>IF(Q459="","",Q459)</f>
        <v>28</v>
      </c>
      <c r="H382" s="100" t="s">
        <v>309</v>
      </c>
      <c r="I382" s="100" t="s">
        <v>310</v>
      </c>
      <c r="J382" s="100" t="s">
        <v>358</v>
      </c>
      <c r="K382" s="100" t="s">
        <v>279</v>
      </c>
      <c r="L382" s="100" t="s">
        <v>280</v>
      </c>
      <c r="M382" s="65"/>
      <c r="O382" s="28"/>
      <c r="P382" s="787"/>
      <c r="Q382" s="269" t="str">
        <f>IF(Sheet2!A21="","",Sheet2!A21)</f>
        <v/>
      </c>
      <c r="R382" s="10" t="str">
        <f>IF(Sheet2!B21="","",Sheet2!B21)</f>
        <v/>
      </c>
      <c r="S382" s="11" t="str">
        <f>IF(Sheet2!F21="","",Sheet2!F21)</f>
        <v/>
      </c>
      <c r="T382" s="11" t="str">
        <f>IF(Sheet2!G21="","",Sheet2!G21)</f>
        <v/>
      </c>
      <c r="U382" s="11" t="str">
        <f>IF(Sheet2!H21="","",Sheet2!H21)</f>
        <v/>
      </c>
      <c r="V382" s="12" t="str">
        <f t="shared" si="85"/>
        <v/>
      </c>
      <c r="W382" s="11" t="str">
        <f t="shared" si="86"/>
        <v/>
      </c>
      <c r="X382" s="14" t="str">
        <f t="shared" si="87"/>
        <v/>
      </c>
      <c r="Y382" s="30"/>
    </row>
    <row r="383" spans="1:25" ht="14.1" customHeight="1" thickBot="1">
      <c r="A383" s="15">
        <v>23</v>
      </c>
      <c r="B383" s="64"/>
      <c r="D383" s="33" t="s">
        <v>166</v>
      </c>
      <c r="E383" s="131">
        <f>IF(Q460="","",Q460)</f>
        <v>100</v>
      </c>
      <c r="G383" s="33" t="s">
        <v>188</v>
      </c>
      <c r="H383" s="401" t="str">
        <f>IF(T463="","",T463)</f>
        <v/>
      </c>
      <c r="I383" s="628" t="str">
        <f>IF(U463="","",U463)</f>
        <v/>
      </c>
      <c r="J383" s="628" t="str">
        <f>IF(W463="","",W463)</f>
        <v/>
      </c>
      <c r="K383" s="403" t="str">
        <f>IF(V463="","",V463)</f>
        <v/>
      </c>
      <c r="L383" s="404" t="str">
        <f>IF(X463="","",X463)</f>
        <v/>
      </c>
      <c r="M383" s="65"/>
      <c r="O383" s="28"/>
      <c r="P383" s="788"/>
      <c r="Q383" s="269" t="str">
        <f>IF(Sheet2!A22="","",Sheet2!A22)</f>
        <v/>
      </c>
      <c r="R383" s="10" t="str">
        <f>IF(Sheet2!B22="","",Sheet2!B22)</f>
        <v/>
      </c>
      <c r="S383" s="11" t="str">
        <f>IF(Sheet2!F22="","",Sheet2!F22)</f>
        <v/>
      </c>
      <c r="T383" s="11" t="str">
        <f>IF(Sheet2!G22="","",Sheet2!G22)</f>
        <v/>
      </c>
      <c r="U383" s="11" t="str">
        <f>IF(Sheet2!H22="","",Sheet2!H22)</f>
        <v/>
      </c>
      <c r="V383" s="12" t="str">
        <f t="shared" si="85"/>
        <v/>
      </c>
      <c r="W383" s="11" t="str">
        <f t="shared" si="86"/>
        <v/>
      </c>
      <c r="X383" s="14" t="str">
        <f t="shared" si="87"/>
        <v/>
      </c>
      <c r="Y383" s="30"/>
    </row>
    <row r="384" spans="1:25" ht="14.1" customHeight="1" thickBot="1">
      <c r="A384" s="15">
        <v>24</v>
      </c>
      <c r="B384" s="64"/>
      <c r="D384" s="33" t="s">
        <v>43</v>
      </c>
      <c r="E384" s="131" t="str">
        <f>IF(Q461="","",Q461)</f>
        <v/>
      </c>
      <c r="G384" s="33" t="s">
        <v>189</v>
      </c>
      <c r="H384" s="402" t="str">
        <f>IF(T464="","",T464)</f>
        <v/>
      </c>
      <c r="I384" s="629" t="str">
        <f>IF(U464="","",U464)</f>
        <v/>
      </c>
      <c r="J384" s="629" t="str">
        <f>IF(W464="","",W464)</f>
        <v/>
      </c>
      <c r="K384" s="405" t="str">
        <f>IF(V464="","",V464)</f>
        <v/>
      </c>
      <c r="L384" s="322" t="str">
        <f>IF(X464="","",X464)</f>
        <v/>
      </c>
      <c r="M384" s="65"/>
      <c r="O384" s="28"/>
      <c r="P384" s="786"/>
      <c r="Q384" s="269"/>
      <c r="R384" s="10"/>
      <c r="S384" s="11"/>
      <c r="T384" s="11"/>
      <c r="U384" s="11"/>
      <c r="V384" s="12"/>
      <c r="W384" s="11"/>
      <c r="X384" s="14"/>
      <c r="Y384" s="30"/>
    </row>
    <row r="385" spans="1:25" ht="14.1" customHeight="1">
      <c r="A385" s="15">
        <v>25</v>
      </c>
      <c r="B385" s="64"/>
      <c r="D385" s="33" t="s">
        <v>45</v>
      </c>
      <c r="E385" s="131" t="str">
        <f>IF(Q462="","",Q462)</f>
        <v/>
      </c>
      <c r="M385" s="65"/>
      <c r="O385" s="28"/>
      <c r="P385" s="787"/>
      <c r="Q385" s="269"/>
      <c r="R385" s="10"/>
      <c r="S385" s="11"/>
      <c r="T385" s="11"/>
      <c r="U385" s="11"/>
      <c r="V385" s="12"/>
      <c r="W385" s="11"/>
      <c r="X385" s="14"/>
      <c r="Y385" s="30"/>
    </row>
    <row r="386" spans="1:25" ht="14.1" customHeight="1">
      <c r="A386" s="15">
        <v>26</v>
      </c>
      <c r="B386" s="64"/>
      <c r="D386" s="3" t="s">
        <v>193</v>
      </c>
      <c r="E386" s="25" t="s">
        <v>359</v>
      </c>
      <c r="M386" s="65"/>
      <c r="O386" s="28"/>
      <c r="P386" s="787"/>
      <c r="Q386" s="269"/>
      <c r="R386" s="10"/>
      <c r="S386" s="11"/>
      <c r="T386" s="11"/>
      <c r="U386" s="11"/>
      <c r="V386" s="12"/>
      <c r="W386" s="11"/>
      <c r="X386" s="14"/>
      <c r="Y386" s="30"/>
    </row>
    <row r="387" spans="1:25" ht="14.1" customHeight="1">
      <c r="A387" s="15">
        <v>27</v>
      </c>
      <c r="B387" s="64"/>
      <c r="E387" s="25" t="s">
        <v>360</v>
      </c>
      <c r="M387" s="65"/>
      <c r="O387" s="28"/>
      <c r="P387" s="787"/>
      <c r="Q387" s="269"/>
      <c r="R387" s="10"/>
      <c r="S387" s="11"/>
      <c r="T387" s="11"/>
      <c r="U387" s="11"/>
      <c r="V387" s="12"/>
      <c r="W387" s="11"/>
      <c r="X387" s="14"/>
      <c r="Y387" s="30"/>
    </row>
    <row r="388" spans="1:25" ht="14.1" customHeight="1">
      <c r="A388" s="15">
        <v>28</v>
      </c>
      <c r="B388" s="64"/>
      <c r="M388" s="65"/>
      <c r="O388" s="28"/>
      <c r="P388" s="788"/>
      <c r="Q388" s="269"/>
      <c r="R388" s="10"/>
      <c r="S388" s="11"/>
      <c r="T388" s="11"/>
      <c r="U388" s="11"/>
      <c r="V388" s="12"/>
      <c r="W388" s="11"/>
      <c r="X388" s="14"/>
      <c r="Y388" s="30"/>
    </row>
    <row r="389" spans="1:25" ht="14.1" customHeight="1">
      <c r="A389" s="15">
        <v>29</v>
      </c>
      <c r="B389" s="64"/>
      <c r="C389" s="70" t="s">
        <v>311</v>
      </c>
      <c r="M389" s="65"/>
      <c r="O389" s="28"/>
      <c r="P389" s="3" t="s">
        <v>193</v>
      </c>
      <c r="Q389" s="25" t="s">
        <v>327</v>
      </c>
      <c r="Y389" s="30"/>
    </row>
    <row r="390" spans="1:25" ht="14.1" customHeight="1" thickBot="1">
      <c r="A390" s="15">
        <v>30</v>
      </c>
      <c r="B390" s="64"/>
      <c r="D390" s="229" t="s">
        <v>312</v>
      </c>
      <c r="E390" s="229"/>
      <c r="F390" s="4"/>
      <c r="G390" s="4"/>
      <c r="H390" s="229" t="s">
        <v>313</v>
      </c>
      <c r="I390" s="229"/>
      <c r="K390" s="4"/>
      <c r="L390" s="270" t="s">
        <v>314</v>
      </c>
      <c r="M390" s="270"/>
      <c r="O390" s="38"/>
      <c r="P390" s="39"/>
      <c r="Q390" s="39"/>
      <c r="R390" s="39"/>
      <c r="S390" s="39"/>
      <c r="T390" s="39"/>
      <c r="U390" s="39"/>
      <c r="V390" s="39"/>
      <c r="W390" s="39"/>
      <c r="X390" s="39"/>
      <c r="Y390" s="40"/>
    </row>
    <row r="391" spans="1:25" ht="14.1" customHeight="1" thickBot="1">
      <c r="A391" s="15">
        <v>31</v>
      </c>
      <c r="B391" s="64"/>
      <c r="C391" s="4"/>
      <c r="D391" s="33" t="s">
        <v>163</v>
      </c>
      <c r="E391" s="406" t="str">
        <f t="shared" ref="E391:E396" si="88">IF(Q432="","",Q432)</f>
        <v/>
      </c>
      <c r="F391" s="4"/>
      <c r="G391" s="33" t="s">
        <v>765</v>
      </c>
      <c r="H391" s="304" t="str">
        <f t="shared" ref="H391:J398" si="89">IF(Q447="","",Q447)</f>
        <v>2D</v>
      </c>
      <c r="I391" s="305" t="str">
        <f t="shared" si="89"/>
        <v/>
      </c>
      <c r="J391" s="306" t="str">
        <f t="shared" si="89"/>
        <v>3D</v>
      </c>
      <c r="K391" s="4"/>
      <c r="L391" s="100" t="s">
        <v>243</v>
      </c>
      <c r="M391" s="230" t="s">
        <v>244</v>
      </c>
      <c r="O391" s="128" t="s">
        <v>328</v>
      </c>
      <c r="P391" s="21"/>
      <c r="Q391" s="21"/>
      <c r="R391" s="21"/>
      <c r="S391" s="21"/>
      <c r="T391" s="21"/>
      <c r="U391" s="21"/>
      <c r="V391" s="21"/>
      <c r="W391" s="21"/>
      <c r="X391" s="21"/>
      <c r="Y391" s="22"/>
    </row>
    <row r="392" spans="1:25" ht="14.1" customHeight="1" thickBot="1">
      <c r="A392" s="15">
        <v>32</v>
      </c>
      <c r="B392" s="64"/>
      <c r="C392" s="4"/>
      <c r="D392" s="33" t="s">
        <v>166</v>
      </c>
      <c r="E392" s="407" t="str">
        <f t="shared" si="88"/>
        <v/>
      </c>
      <c r="F392" s="4"/>
      <c r="G392" s="33" t="s">
        <v>62</v>
      </c>
      <c r="H392" s="293" t="str">
        <f t="shared" si="89"/>
        <v/>
      </c>
      <c r="I392" s="260" t="str">
        <f t="shared" si="89"/>
        <v/>
      </c>
      <c r="J392" s="294" t="str">
        <f t="shared" si="89"/>
        <v/>
      </c>
      <c r="K392" s="4"/>
      <c r="L392" s="33" t="s">
        <v>316</v>
      </c>
      <c r="M392" s="232" t="str">
        <f>IF(R440="","",R440)</f>
        <v/>
      </c>
      <c r="O392" s="28"/>
      <c r="P392" s="278" t="s">
        <v>85</v>
      </c>
      <c r="Q392" s="279" t="str">
        <f>P371</f>
        <v>/</v>
      </c>
      <c r="R392" s="375" t="s">
        <v>163</v>
      </c>
      <c r="S392" s="380">
        <f>Q374</f>
        <v>28</v>
      </c>
      <c r="T392" s="22"/>
      <c r="U392" s="278" t="s">
        <v>85</v>
      </c>
      <c r="V392" s="279" t="str">
        <f>P378</f>
        <v>/</v>
      </c>
      <c r="W392" s="280" t="s">
        <v>163</v>
      </c>
      <c r="X392" s="447">
        <f>Q378</f>
        <v>28</v>
      </c>
      <c r="Y392" s="22"/>
    </row>
    <row r="393" spans="1:25" ht="14.1" customHeight="1">
      <c r="A393" s="15">
        <v>33</v>
      </c>
      <c r="B393" s="64"/>
      <c r="C393" s="4"/>
      <c r="D393" s="33" t="s">
        <v>318</v>
      </c>
      <c r="E393" s="407" t="str">
        <f t="shared" si="88"/>
        <v/>
      </c>
      <c r="F393" s="4"/>
      <c r="G393" s="33" t="s">
        <v>163</v>
      </c>
      <c r="H393" s="293" t="str">
        <f t="shared" si="89"/>
        <v/>
      </c>
      <c r="I393" s="260" t="str">
        <f t="shared" si="89"/>
        <v/>
      </c>
      <c r="J393" s="294" t="str">
        <f t="shared" si="89"/>
        <v/>
      </c>
      <c r="K393" s="33" t="s">
        <v>177</v>
      </c>
      <c r="L393" s="187" t="str">
        <f t="shared" ref="L393:M395" si="90">IF(Q442="","",Q442)</f>
        <v/>
      </c>
      <c r="M393" s="233" t="str">
        <f t="shared" si="90"/>
        <v/>
      </c>
      <c r="O393" s="276"/>
      <c r="P393" s="385"/>
      <c r="R393" s="33" t="s">
        <v>208</v>
      </c>
      <c r="S393" s="131">
        <f>R374</f>
        <v>50</v>
      </c>
      <c r="T393" s="191"/>
      <c r="W393" s="33" t="s">
        <v>208</v>
      </c>
      <c r="X393" s="131">
        <f>R378</f>
        <v>50</v>
      </c>
      <c r="Y393" s="30"/>
    </row>
    <row r="394" spans="1:25" ht="14.1" customHeight="1" thickBot="1">
      <c r="A394" s="15">
        <v>34</v>
      </c>
      <c r="B394" s="64"/>
      <c r="C394" s="4"/>
      <c r="D394" s="33" t="s">
        <v>172</v>
      </c>
      <c r="E394" s="407" t="str">
        <f t="shared" si="88"/>
        <v/>
      </c>
      <c r="F394" s="4"/>
      <c r="G394" s="33" t="s">
        <v>166</v>
      </c>
      <c r="H394" s="293" t="str">
        <f t="shared" si="89"/>
        <v/>
      </c>
      <c r="I394" s="260" t="str">
        <f t="shared" si="89"/>
        <v/>
      </c>
      <c r="J394" s="294" t="str">
        <f t="shared" si="89"/>
        <v/>
      </c>
      <c r="K394" s="33" t="s">
        <v>179</v>
      </c>
      <c r="L394" s="189" t="str">
        <f t="shared" si="90"/>
        <v/>
      </c>
      <c r="M394" s="235" t="str">
        <f t="shared" si="90"/>
        <v/>
      </c>
      <c r="O394" s="277"/>
      <c r="P394" s="281" t="s">
        <v>19</v>
      </c>
      <c r="Q394" s="100" t="s">
        <v>20</v>
      </c>
      <c r="R394" s="100" t="s">
        <v>21</v>
      </c>
      <c r="S394" s="100" t="s">
        <v>324</v>
      </c>
      <c r="T394" s="191" t="s">
        <v>325</v>
      </c>
      <c r="U394" s="286" t="s">
        <v>19</v>
      </c>
      <c r="V394" s="287" t="s">
        <v>20</v>
      </c>
      <c r="W394" s="287" t="s">
        <v>21</v>
      </c>
      <c r="X394" s="287" t="s">
        <v>324</v>
      </c>
      <c r="Y394" s="288" t="s">
        <v>325</v>
      </c>
    </row>
    <row r="395" spans="1:25" ht="14.1" customHeight="1" thickBot="1">
      <c r="A395" s="15">
        <v>35</v>
      </c>
      <c r="B395" s="64"/>
      <c r="C395" s="4"/>
      <c r="D395" s="33" t="s">
        <v>174</v>
      </c>
      <c r="E395" s="407" t="str">
        <f t="shared" si="88"/>
        <v/>
      </c>
      <c r="F395" s="4"/>
      <c r="G395" s="33" t="s">
        <v>177</v>
      </c>
      <c r="H395" s="293" t="str">
        <f t="shared" si="89"/>
        <v/>
      </c>
      <c r="I395" s="260" t="str">
        <f t="shared" si="89"/>
        <v/>
      </c>
      <c r="J395" s="294" t="str">
        <f t="shared" si="89"/>
        <v/>
      </c>
      <c r="K395" s="33" t="s">
        <v>181</v>
      </c>
      <c r="L395" s="190" t="str">
        <f t="shared" si="90"/>
        <v/>
      </c>
      <c r="M395" s="236" t="str">
        <f t="shared" si="90"/>
        <v/>
      </c>
      <c r="O395" s="277"/>
      <c r="P395" s="285" t="str">
        <f>IF(Sheet2!F8="","",Sheet2!F8)</f>
        <v/>
      </c>
      <c r="Q395" s="193" t="str">
        <f>IF(Sheet2!G8="","",Sheet2!G8)</f>
        <v/>
      </c>
      <c r="R395" s="193" t="str">
        <f>IF(Sheet2!H8="","",Sheet2!H8)</f>
        <v/>
      </c>
      <c r="S395" s="215" t="str">
        <f>IF(R395="","",R395/$S$393)</f>
        <v/>
      </c>
      <c r="T395" s="216" t="str">
        <f>IF(OR(R395="",Q395=""),"",R395/(Q395/1000))</f>
        <v/>
      </c>
      <c r="U395" s="285"/>
      <c r="V395" s="193"/>
      <c r="W395" s="193"/>
      <c r="X395" s="215"/>
      <c r="Y395" s="216"/>
    </row>
    <row r="396" spans="1:25" ht="14.1" customHeight="1" thickBot="1">
      <c r="A396" s="15">
        <v>36</v>
      </c>
      <c r="B396" s="64"/>
      <c r="C396" s="4"/>
      <c r="D396" s="33" t="s">
        <v>175</v>
      </c>
      <c r="E396" s="407" t="str">
        <f t="shared" si="88"/>
        <v/>
      </c>
      <c r="F396" s="4"/>
      <c r="G396" s="33" t="s">
        <v>179</v>
      </c>
      <c r="H396" s="293" t="str">
        <f t="shared" si="89"/>
        <v/>
      </c>
      <c r="I396" s="260" t="str">
        <f t="shared" si="89"/>
        <v/>
      </c>
      <c r="J396" s="294" t="str">
        <f t="shared" si="89"/>
        <v/>
      </c>
      <c r="K396" s="4"/>
      <c r="L396" s="33" t="s">
        <v>316</v>
      </c>
      <c r="M396" s="232" t="str">
        <f>IF(V440="","",V440)</f>
        <v/>
      </c>
      <c r="O396" s="277"/>
      <c r="P396" s="282" t="str">
        <f>IF(Sheet2!F9="","",Sheet2!F9)</f>
        <v/>
      </c>
      <c r="Q396" s="11" t="str">
        <f>IF(Sheet2!G9="","",Sheet2!G9)</f>
        <v/>
      </c>
      <c r="R396" s="11" t="str">
        <f>IF(Sheet2!H9="","",Sheet2!H9)</f>
        <v/>
      </c>
      <c r="S396" s="12" t="str">
        <f>IF(R396="","",R396/$S$393)</f>
        <v/>
      </c>
      <c r="T396" s="217" t="str">
        <f>IF(OR(R396="",Q396=""),"",R396/(Q396/1000))</f>
        <v/>
      </c>
      <c r="U396" s="282"/>
      <c r="V396" s="11"/>
      <c r="W396" s="11"/>
      <c r="X396" s="12"/>
      <c r="Y396" s="217"/>
    </row>
    <row r="397" spans="1:25" ht="14.1" customHeight="1" thickBot="1">
      <c r="A397" s="15">
        <v>37</v>
      </c>
      <c r="B397" s="64"/>
      <c r="D397" s="33" t="s">
        <v>177</v>
      </c>
      <c r="E397" s="407" t="str">
        <f>IF(U432="","",U432)</f>
        <v/>
      </c>
      <c r="F397" s="4"/>
      <c r="G397" s="33" t="s">
        <v>181</v>
      </c>
      <c r="H397" s="373" t="str">
        <f t="shared" si="89"/>
        <v/>
      </c>
      <c r="I397" s="359" t="str">
        <f t="shared" si="89"/>
        <v/>
      </c>
      <c r="J397" s="443" t="str">
        <f t="shared" si="89"/>
        <v/>
      </c>
      <c r="K397" s="33" t="s">
        <v>177</v>
      </c>
      <c r="L397" s="187" t="str">
        <f t="shared" ref="L397:M399" si="91">IF(U442="","",U442)</f>
        <v/>
      </c>
      <c r="M397" s="233" t="str">
        <f t="shared" si="91"/>
        <v/>
      </c>
      <c r="O397" s="277"/>
      <c r="P397" s="282" t="str">
        <f>IF(Sheet2!F10="","",Sheet2!F10)</f>
        <v/>
      </c>
      <c r="Q397" s="11" t="str">
        <f>IF(Sheet2!G10="","",Sheet2!G10)</f>
        <v/>
      </c>
      <c r="R397" s="11" t="str">
        <f>IF(Sheet2!H10="","",Sheet2!H10)</f>
        <v/>
      </c>
      <c r="S397" s="12" t="str">
        <f>IF(R397="","",R397/$S$393)</f>
        <v/>
      </c>
      <c r="T397" s="217" t="str">
        <f>IF(OR(R397="",Q397=""),"",R397/(Q397/1000))</f>
        <v/>
      </c>
      <c r="U397" s="282"/>
      <c r="V397" s="11"/>
      <c r="W397" s="11"/>
      <c r="X397" s="12"/>
      <c r="Y397" s="217"/>
    </row>
    <row r="398" spans="1:25" ht="14.1" customHeight="1" thickBot="1">
      <c r="A398" s="15">
        <v>38</v>
      </c>
      <c r="B398" s="64"/>
      <c r="D398" s="33" t="s">
        <v>179</v>
      </c>
      <c r="E398" s="407" t="str">
        <f>IF(U433="","",U433)</f>
        <v/>
      </c>
      <c r="G398" s="33"/>
      <c r="H398" s="373" t="str">
        <f t="shared" si="89"/>
        <v/>
      </c>
      <c r="I398" s="359" t="str">
        <f t="shared" si="89"/>
        <v/>
      </c>
      <c r="J398" s="443" t="str">
        <f t="shared" si="89"/>
        <v/>
      </c>
      <c r="K398" s="33" t="s">
        <v>179</v>
      </c>
      <c r="L398" s="189" t="str">
        <f t="shared" si="91"/>
        <v/>
      </c>
      <c r="M398" s="235" t="str">
        <f t="shared" si="91"/>
        <v/>
      </c>
      <c r="O398" s="277"/>
      <c r="P398" s="390" t="str">
        <f>IF(Sheet2!F11="","",Sheet2!F11)</f>
        <v/>
      </c>
      <c r="Q398" s="210" t="str">
        <f>IF(Sheet2!G11="","",Sheet2!G11)</f>
        <v/>
      </c>
      <c r="R398" s="210" t="str">
        <f>IF(Sheet2!H11="","",Sheet2!H11)</f>
        <v/>
      </c>
      <c r="S398" s="220" t="str">
        <f>IF(R398="","",R398/$S$393)</f>
        <v/>
      </c>
      <c r="T398" s="221" t="str">
        <f>IF(OR(R398="",Q398=""),"",R398/(Q398/1000))</f>
        <v/>
      </c>
      <c r="U398" s="390"/>
      <c r="V398" s="210"/>
      <c r="W398" s="210"/>
      <c r="X398" s="220"/>
      <c r="Y398" s="221"/>
    </row>
    <row r="399" spans="1:25" ht="14.1" customHeight="1" thickBot="1">
      <c r="A399" s="15">
        <v>39</v>
      </c>
      <c r="B399" s="64"/>
      <c r="D399" s="33" t="s">
        <v>181</v>
      </c>
      <c r="E399" s="408" t="str">
        <f>IF(U434="","",U434)</f>
        <v/>
      </c>
      <c r="K399" s="33" t="s">
        <v>181</v>
      </c>
      <c r="L399" s="190" t="str">
        <f t="shared" si="91"/>
        <v/>
      </c>
      <c r="M399" s="236" t="str">
        <f t="shared" si="91"/>
        <v/>
      </c>
      <c r="O399" s="276" t="s">
        <v>199</v>
      </c>
      <c r="P399" s="386" t="str">
        <f t="shared" ref="P399:Y399" si="92">IF(OR(P395="",P396="",P397="",P398=""),"",AVERAGE(P395:P398))</f>
        <v/>
      </c>
      <c r="Q399" s="387" t="str">
        <f t="shared" si="92"/>
        <v/>
      </c>
      <c r="R399" s="265" t="str">
        <f t="shared" si="92"/>
        <v/>
      </c>
      <c r="S399" s="388" t="str">
        <f t="shared" si="92"/>
        <v/>
      </c>
      <c r="T399" s="389" t="str">
        <f t="shared" si="92"/>
        <v/>
      </c>
      <c r="U399" s="386"/>
      <c r="V399" s="387"/>
      <c r="W399" s="265"/>
      <c r="X399" s="388"/>
      <c r="Y399" s="389"/>
    </row>
    <row r="400" spans="1:25" ht="14.1" customHeight="1">
      <c r="A400" s="15">
        <v>40</v>
      </c>
      <c r="B400" s="64"/>
      <c r="D400" s="3" t="s">
        <v>193</v>
      </c>
      <c r="E400" s="671" t="s">
        <v>352</v>
      </c>
      <c r="M400" s="548"/>
      <c r="O400" s="276" t="s">
        <v>330</v>
      </c>
      <c r="P400" s="282" t="str">
        <f t="shared" ref="P400:Y400" si="93">IF(OR(P395="",P396="",P397="",P398=""),"",_xlfn.STDEV.S(P395:P398))</f>
        <v/>
      </c>
      <c r="Q400" s="11" t="str">
        <f t="shared" si="93"/>
        <v/>
      </c>
      <c r="R400" s="11" t="str">
        <f t="shared" si="93"/>
        <v/>
      </c>
      <c r="S400" s="12" t="str">
        <f t="shared" si="93"/>
        <v/>
      </c>
      <c r="T400" s="217" t="str">
        <f t="shared" si="93"/>
        <v/>
      </c>
      <c r="U400" s="282"/>
      <c r="V400" s="11"/>
      <c r="W400" s="11"/>
      <c r="X400" s="12"/>
      <c r="Y400" s="217"/>
    </row>
    <row r="401" spans="1:25" ht="14.1" customHeight="1" thickBot="1">
      <c r="A401" s="15">
        <v>41</v>
      </c>
      <c r="B401" s="317"/>
      <c r="C401" s="318"/>
      <c r="D401" s="318"/>
      <c r="E401" s="318"/>
      <c r="F401" s="318"/>
      <c r="G401" s="318"/>
      <c r="H401" s="318"/>
      <c r="I401" s="318"/>
      <c r="J401" s="318"/>
      <c r="K401" s="318"/>
      <c r="L401" s="318"/>
      <c r="M401" s="319"/>
      <c r="O401" s="276" t="s">
        <v>263</v>
      </c>
      <c r="P401" s="175" t="str">
        <f t="shared" ref="P401:Y401" si="94">IF(OR(P399="",P400=""),"",P400/P399)</f>
        <v/>
      </c>
      <c r="Q401" s="169" t="str">
        <f t="shared" si="94"/>
        <v/>
      </c>
      <c r="R401" s="169" t="str">
        <f t="shared" si="94"/>
        <v/>
      </c>
      <c r="S401" s="283" t="str">
        <f t="shared" si="94"/>
        <v/>
      </c>
      <c r="T401" s="284" t="str">
        <f t="shared" si="94"/>
        <v/>
      </c>
      <c r="U401" s="175"/>
      <c r="V401" s="169"/>
      <c r="W401" s="169"/>
      <c r="X401" s="283"/>
      <c r="Y401" s="284"/>
    </row>
    <row r="402" spans="1:25" ht="14.1" customHeight="1">
      <c r="A402" s="15">
        <v>42</v>
      </c>
      <c r="B402" s="64"/>
      <c r="M402" s="65"/>
      <c r="O402" s="276" t="s">
        <v>332</v>
      </c>
      <c r="P402" s="100"/>
      <c r="Q402" s="100"/>
      <c r="R402" s="273"/>
      <c r="S402" s="274" t="str">
        <f>IF(AB88="","",AB88)</f>
        <v/>
      </c>
      <c r="T402" s="275" t="str">
        <f>IF(AB89="","",AB89)</f>
        <v/>
      </c>
      <c r="U402" s="100"/>
      <c r="V402" s="100"/>
      <c r="W402" s="273"/>
      <c r="X402" s="274" t="str">
        <f>IF(AB90="","",AB90)</f>
        <v/>
      </c>
      <c r="Y402" s="275" t="str">
        <f>IF(AB91="","",AB91)</f>
        <v/>
      </c>
    </row>
    <row r="403" spans="1:25" ht="14.1" customHeight="1">
      <c r="A403" s="15">
        <v>43</v>
      </c>
      <c r="B403" s="64"/>
      <c r="C403" s="70" t="s">
        <v>538</v>
      </c>
      <c r="M403" s="65"/>
      <c r="O403" s="28"/>
      <c r="P403" s="3" t="s">
        <v>193</v>
      </c>
      <c r="Q403" s="25" t="s">
        <v>333</v>
      </c>
      <c r="Y403" s="30"/>
    </row>
    <row r="404" spans="1:25" ht="14.1" customHeight="1">
      <c r="A404" s="15">
        <v>44</v>
      </c>
      <c r="B404" s="64"/>
      <c r="D404" s="33" t="s">
        <v>544</v>
      </c>
      <c r="E404" s="33" t="s">
        <v>541</v>
      </c>
      <c r="F404" s="291">
        <f>IF(R310="","",R310)</f>
        <v>101.3</v>
      </c>
      <c r="M404" s="65"/>
      <c r="O404" s="28"/>
      <c r="Q404" s="25" t="s">
        <v>756</v>
      </c>
      <c r="Y404" s="30"/>
    </row>
    <row r="405" spans="1:25" ht="14.1" customHeight="1" thickBot="1">
      <c r="A405" s="15">
        <v>45</v>
      </c>
      <c r="B405" s="64"/>
      <c r="E405" s="33" t="s">
        <v>542</v>
      </c>
      <c r="F405" s="543">
        <f>IF(R311="","",R311)</f>
        <v>108</v>
      </c>
      <c r="M405" s="65"/>
      <c r="O405" s="38"/>
      <c r="P405" s="39"/>
      <c r="Q405" s="670"/>
      <c r="R405" s="39"/>
      <c r="S405" s="39"/>
      <c r="T405" s="39"/>
      <c r="U405" s="39"/>
      <c r="V405" s="39"/>
      <c r="W405" s="39"/>
      <c r="X405" s="39"/>
      <c r="Y405" s="40"/>
    </row>
    <row r="406" spans="1:25" ht="14.1" customHeight="1" thickBot="1">
      <c r="A406" s="15">
        <v>46</v>
      </c>
      <c r="B406" s="64"/>
      <c r="D406" s="100" t="s">
        <v>540</v>
      </c>
      <c r="E406" s="100" t="s">
        <v>539</v>
      </c>
      <c r="F406" s="100" t="s">
        <v>280</v>
      </c>
      <c r="M406" s="65"/>
      <c r="O406" s="128" t="s">
        <v>334</v>
      </c>
      <c r="P406" s="21"/>
      <c r="Q406" s="21"/>
      <c r="R406" s="21"/>
      <c r="S406" s="21"/>
      <c r="T406" s="21"/>
      <c r="U406" s="21"/>
      <c r="V406" s="21"/>
      <c r="W406" s="21"/>
      <c r="X406" s="21"/>
      <c r="Y406" s="22"/>
    </row>
    <row r="407" spans="1:25" ht="14.1" customHeight="1">
      <c r="A407" s="15">
        <v>47</v>
      </c>
      <c r="B407" s="64"/>
      <c r="C407" s="33" t="s">
        <v>555</v>
      </c>
      <c r="D407" s="304" t="str">
        <f t="shared" ref="D407:F409" si="95">IF(P313="","",P313)</f>
        <v/>
      </c>
      <c r="E407" s="305" t="str">
        <f t="shared" si="95"/>
        <v/>
      </c>
      <c r="F407" s="306" t="str">
        <f t="shared" si="95"/>
        <v/>
      </c>
      <c r="M407" s="65"/>
      <c r="O407" s="28"/>
      <c r="P407" s="33" t="s">
        <v>85</v>
      </c>
      <c r="Q407" s="131" t="str">
        <f>P371</f>
        <v>/</v>
      </c>
      <c r="R407" s="33" t="s">
        <v>163</v>
      </c>
      <c r="S407" s="131" t="e">
        <f>#REF!</f>
        <v>#REF!</v>
      </c>
      <c r="T407" s="100"/>
      <c r="Y407" s="30"/>
    </row>
    <row r="408" spans="1:25" ht="14.1" customHeight="1">
      <c r="A408" s="15">
        <v>48</v>
      </c>
      <c r="B408" s="64"/>
      <c r="C408" s="33" t="s">
        <v>556</v>
      </c>
      <c r="D408" s="293" t="str">
        <f t="shared" si="95"/>
        <v/>
      </c>
      <c r="E408" s="260" t="str">
        <f t="shared" si="95"/>
        <v/>
      </c>
      <c r="F408" s="294" t="str">
        <f t="shared" si="95"/>
        <v/>
      </c>
      <c r="M408" s="65"/>
      <c r="O408" s="28"/>
      <c r="P408" s="100" t="s">
        <v>63</v>
      </c>
      <c r="Q408" s="100" t="s">
        <v>19</v>
      </c>
      <c r="R408" s="100" t="s">
        <v>20</v>
      </c>
      <c r="S408" s="100" t="s">
        <v>21</v>
      </c>
      <c r="T408" s="100" t="s">
        <v>324</v>
      </c>
      <c r="U408" s="100" t="s">
        <v>325</v>
      </c>
      <c r="V408" s="4"/>
      <c r="W408" s="4"/>
      <c r="X408" s="4"/>
      <c r="Y408" s="30"/>
    </row>
    <row r="409" spans="1:25" ht="14.1" customHeight="1" thickBot="1">
      <c r="A409" s="15">
        <v>49</v>
      </c>
      <c r="B409" s="64"/>
      <c r="C409" s="33" t="s">
        <v>557</v>
      </c>
      <c r="D409" s="300" t="str">
        <f t="shared" si="95"/>
        <v/>
      </c>
      <c r="E409" s="301" t="str">
        <f t="shared" si="95"/>
        <v/>
      </c>
      <c r="F409" s="303" t="str">
        <f t="shared" si="95"/>
        <v/>
      </c>
      <c r="M409" s="65"/>
      <c r="O409" s="28"/>
      <c r="P409" s="10">
        <f>IF(Sheet2!B7="","",Sheet2!B7)</f>
        <v>20</v>
      </c>
      <c r="Q409" s="11" t="str">
        <f>IF(Sheet2!F7="","",Sheet2!F7)</f>
        <v/>
      </c>
      <c r="R409" s="66" t="str">
        <f>IF(Sheet2!G7="","",Sheet2!G7)</f>
        <v/>
      </c>
      <c r="S409" s="11" t="str">
        <f>IF(Sheet2!H7="","",Sheet2!H7)</f>
        <v/>
      </c>
      <c r="T409" s="12" t="str">
        <f>IF(S409="","",S409/P409)</f>
        <v/>
      </c>
      <c r="U409" s="11" t="str">
        <f>IF(OR(S409="",R409=""),"",S409/(R409/1000))</f>
        <v/>
      </c>
      <c r="V409" s="4"/>
      <c r="W409" s="4"/>
      <c r="X409" s="4"/>
      <c r="Y409" s="30"/>
    </row>
    <row r="410" spans="1:25" ht="14.1" customHeight="1">
      <c r="A410" s="15">
        <v>50</v>
      </c>
      <c r="B410" s="64"/>
      <c r="D410" s="3" t="str">
        <f>P316</f>
        <v>Criteria:</v>
      </c>
      <c r="E410" s="25" t="str">
        <f>Q316</f>
        <v>x/y measurements within +/- 2% of actual phantom dimensions</v>
      </c>
      <c r="M410" s="65"/>
      <c r="O410" s="28"/>
      <c r="P410" s="10">
        <f>IF(Sheet2!B8="","",Sheet2!B8)</f>
        <v>50</v>
      </c>
      <c r="Q410" s="11" t="str">
        <f>P399</f>
        <v/>
      </c>
      <c r="R410" s="66" t="str">
        <f>Q399</f>
        <v/>
      </c>
      <c r="S410" s="11" t="str">
        <f>R399</f>
        <v/>
      </c>
      <c r="T410" s="12" t="str">
        <f>S399</f>
        <v/>
      </c>
      <c r="U410" s="11" t="str">
        <f>T399</f>
        <v/>
      </c>
      <c r="V410" s="4"/>
      <c r="W410" s="4"/>
      <c r="X410" s="4"/>
      <c r="Y410" s="30"/>
    </row>
    <row r="411" spans="1:25" ht="14.1" customHeight="1">
      <c r="A411" s="15">
        <v>51</v>
      </c>
      <c r="B411" s="64"/>
      <c r="M411" s="65"/>
      <c r="O411" s="28"/>
      <c r="P411" s="10">
        <f>IF(Sheet2!B12="","",Sheet2!B12)</f>
        <v>100</v>
      </c>
      <c r="Q411" s="11" t="str">
        <f>IF(Sheet2!F12="","",Sheet2!F12)</f>
        <v/>
      </c>
      <c r="R411" s="66" t="str">
        <f>IF(Sheet2!G12="","",Sheet2!G12)</f>
        <v/>
      </c>
      <c r="S411" s="11" t="str">
        <f>IF(Sheet2!H12="","",Sheet2!H12)</f>
        <v/>
      </c>
      <c r="T411" s="12" t="str">
        <f>IF(S411="","",S411/P411)</f>
        <v/>
      </c>
      <c r="U411" s="11" t="str">
        <f>IF(OR(S411="",R411=""),"",S411/(R411/1000))</f>
        <v/>
      </c>
      <c r="V411" s="4"/>
      <c r="W411" s="4"/>
      <c r="X411" s="4"/>
      <c r="Y411" s="30"/>
    </row>
    <row r="412" spans="1:25" ht="14.1" customHeight="1">
      <c r="A412" s="15">
        <v>52</v>
      </c>
      <c r="B412" s="64"/>
      <c r="C412" s="70" t="s">
        <v>545</v>
      </c>
      <c r="M412" s="65"/>
      <c r="O412" s="28"/>
      <c r="P412" s="10">
        <f>IF(Sheet2!B13="","",Sheet2!B13)</f>
        <v>600</v>
      </c>
      <c r="Q412" s="11" t="str">
        <f>IF(Sheet2!F13="","",Sheet2!F13)</f>
        <v/>
      </c>
      <c r="R412" s="66" t="str">
        <f>IF(Sheet2!G13="","",Sheet2!G13)</f>
        <v/>
      </c>
      <c r="S412" s="11" t="str">
        <f>IF(Sheet2!H13="","",Sheet2!H13)</f>
        <v/>
      </c>
      <c r="T412" s="12" t="str">
        <f>IF(S412="","",S412/P412)</f>
        <v/>
      </c>
      <c r="U412" s="11" t="str">
        <f>IF(OR(S412="",R412=""),"",S412/(R412/1000))</f>
        <v/>
      </c>
      <c r="V412" s="4"/>
      <c r="W412" s="4"/>
      <c r="X412" s="4"/>
      <c r="Y412" s="30"/>
    </row>
    <row r="413" spans="1:25" ht="14.1" customHeight="1" thickBot="1">
      <c r="A413" s="15">
        <v>53</v>
      </c>
      <c r="B413" s="64"/>
      <c r="D413" s="100" t="s">
        <v>590</v>
      </c>
      <c r="E413" s="100" t="s">
        <v>564</v>
      </c>
      <c r="F413" s="100" t="s">
        <v>565</v>
      </c>
      <c r="G413" s="100" t="s">
        <v>280</v>
      </c>
      <c r="M413" s="65"/>
      <c r="O413" s="28"/>
      <c r="S413" s="33" t="s">
        <v>335</v>
      </c>
      <c r="T413" s="166" t="str">
        <f>IF(OR(T409="",T410="",T411="",T412=""),"",(MAX(T409:T412)-MIN(T409:T412))/(MAX(T409:T412)+MIN(T409:T412)))</f>
        <v/>
      </c>
      <c r="V413" s="4"/>
      <c r="W413" s="4"/>
      <c r="X413" s="4"/>
      <c r="Y413" s="30"/>
    </row>
    <row r="414" spans="1:25" ht="14.1" customHeight="1">
      <c r="A414" s="15">
        <v>54</v>
      </c>
      <c r="B414" s="64"/>
      <c r="C414" s="33" t="s">
        <v>555</v>
      </c>
      <c r="D414" s="304" t="str">
        <f>IF(U319="","",U319)</f>
        <v/>
      </c>
      <c r="E414" s="365" t="str">
        <f>IF(Q349="","",Q349)</f>
        <v/>
      </c>
      <c r="F414" s="365" t="str">
        <f>IF(Q350="","",Q350)</f>
        <v/>
      </c>
      <c r="G414" s="306" t="str">
        <f>IF(OR(R349="",R350=""),"",IF(AND(R349="Pass",R350="Pass"),"Pass","Fail"))</f>
        <v/>
      </c>
      <c r="M414" s="65"/>
      <c r="O414" s="28"/>
      <c r="P414" s="3" t="s">
        <v>193</v>
      </c>
      <c r="Q414" s="25" t="s">
        <v>336</v>
      </c>
      <c r="Y414" s="30"/>
    </row>
    <row r="415" spans="1:25" ht="14.1" customHeight="1">
      <c r="A415" s="15">
        <v>55</v>
      </c>
      <c r="B415" s="64"/>
      <c r="C415" s="33" t="s">
        <v>556</v>
      </c>
      <c r="D415" s="293" t="str">
        <f>IF(U327="","",U327)</f>
        <v/>
      </c>
      <c r="E415" s="266" t="str">
        <f>IF(T349="","",T349)</f>
        <v/>
      </c>
      <c r="F415" s="266" t="str">
        <f>IF(T350="","",T350)</f>
        <v/>
      </c>
      <c r="G415" s="294" t="str">
        <f>IF(OR(U349="",U350=""),"",IF(AND(U349="Pass",U350="Pass"),"Pass","Fail"))</f>
        <v/>
      </c>
      <c r="M415" s="65"/>
      <c r="O415" s="241">
        <f>IF(R412="",3,IF(R412/1000&gt;=3,1,2))</f>
        <v>3</v>
      </c>
      <c r="P415" s="19" t="s">
        <v>337</v>
      </c>
      <c r="Y415" s="30"/>
    </row>
    <row r="416" spans="1:25" ht="14.1" customHeight="1" thickBot="1">
      <c r="A416" s="15">
        <v>56</v>
      </c>
      <c r="B416" s="64"/>
      <c r="C416" s="33" t="s">
        <v>557</v>
      </c>
      <c r="D416" s="300" t="str">
        <f>IF(U334="","",U334)</f>
        <v/>
      </c>
      <c r="E416" s="368" t="str">
        <f>IF(W349="","",W349)</f>
        <v/>
      </c>
      <c r="F416" s="368" t="str">
        <f>IF(W350="","",W350)</f>
        <v/>
      </c>
      <c r="G416" s="303" t="str">
        <f>IF(OR(X349="",X350=""),"",IF(AND(X349="Pass",X350="Pass"),"Pass","Fail"))</f>
        <v/>
      </c>
      <c r="M416" s="65"/>
      <c r="O416" s="286">
        <f>IF(U412="",3,IF(U412&gt;=2.7,1,2))</f>
        <v>3</v>
      </c>
      <c r="P416" s="39" t="s">
        <v>761</v>
      </c>
      <c r="Q416" s="39"/>
      <c r="R416" s="39"/>
      <c r="S416" s="39"/>
      <c r="T416" s="39"/>
      <c r="U416" s="39"/>
      <c r="V416" s="39"/>
      <c r="W416" s="39"/>
      <c r="X416" s="39"/>
      <c r="Y416" s="40"/>
    </row>
    <row r="417" spans="1:25" ht="14.1" customHeight="1" thickBot="1">
      <c r="A417" s="15">
        <v>57</v>
      </c>
      <c r="B417" s="64"/>
      <c r="D417" s="3" t="str">
        <f>P316</f>
        <v>Criteria:</v>
      </c>
      <c r="E417" s="25" t="str">
        <f>Q353</f>
        <v>ASF(a) is &lt; 0.9 for all positions. ASF(b) is &lt; 0.6 for all positions</v>
      </c>
      <c r="M417" s="65"/>
      <c r="O417" s="128" t="s">
        <v>339</v>
      </c>
      <c r="P417" s="21"/>
      <c r="Q417" s="504">
        <v>1</v>
      </c>
      <c r="R417" s="21" t="s">
        <v>482</v>
      </c>
      <c r="S417" s="21"/>
      <c r="T417" s="21"/>
      <c r="U417" s="21"/>
      <c r="V417" s="21"/>
      <c r="W417" s="21"/>
      <c r="X417" s="21"/>
      <c r="Y417" s="22"/>
    </row>
    <row r="418" spans="1:25" ht="14.1" customHeight="1">
      <c r="A418" s="15">
        <v>58</v>
      </c>
      <c r="B418" s="64"/>
      <c r="M418" s="65"/>
      <c r="O418" s="28"/>
      <c r="P418" s="500" t="s">
        <v>62</v>
      </c>
      <c r="Q418" s="501" t="str">
        <f>P371</f>
        <v>/</v>
      </c>
      <c r="R418" s="501" t="str">
        <f>P378</f>
        <v>/</v>
      </c>
      <c r="S418" s="552"/>
      <c r="T418"/>
      <c r="U418"/>
      <c r="V418"/>
      <c r="W418"/>
      <c r="X418"/>
      <c r="Y418" s="30"/>
    </row>
    <row r="419" spans="1:25" ht="14.1" customHeight="1">
      <c r="A419" s="15">
        <v>59</v>
      </c>
      <c r="B419" s="64"/>
      <c r="C419" s="70" t="s">
        <v>567</v>
      </c>
      <c r="M419" s="65"/>
      <c r="O419" s="28"/>
      <c r="P419" s="502" t="s">
        <v>258</v>
      </c>
      <c r="Q419" s="503">
        <f>Q374</f>
        <v>28</v>
      </c>
      <c r="R419" s="503">
        <f>Q378</f>
        <v>28</v>
      </c>
      <c r="S419" s="553"/>
      <c r="T419"/>
      <c r="U419"/>
      <c r="V419"/>
      <c r="W419"/>
      <c r="X419"/>
      <c r="Y419" s="30"/>
    </row>
    <row r="420" spans="1:25" ht="14.1" customHeight="1" thickBot="1">
      <c r="A420" s="15">
        <v>60</v>
      </c>
      <c r="B420" s="64"/>
      <c r="D420" s="100" t="s">
        <v>568</v>
      </c>
      <c r="E420" s="100" t="s">
        <v>569</v>
      </c>
      <c r="G420"/>
      <c r="M420" s="65"/>
      <c r="O420" s="28"/>
      <c r="P420" s="502" t="s">
        <v>340</v>
      </c>
      <c r="Q420" s="792" t="s">
        <v>341</v>
      </c>
      <c r="R420" s="793"/>
      <c r="S420" s="794"/>
      <c r="T420"/>
      <c r="U420"/>
      <c r="V420"/>
      <c r="W420"/>
      <c r="X420"/>
      <c r="Y420" s="30"/>
    </row>
    <row r="421" spans="1:25" ht="14.1" customHeight="1">
      <c r="A421" s="15">
        <v>61</v>
      </c>
      <c r="B421" s="64"/>
      <c r="C421" s="33" t="s">
        <v>177</v>
      </c>
      <c r="D421" s="304" t="str">
        <f t="shared" ref="D421:D424" si="96">IF(P357="","",P357)</f>
        <v/>
      </c>
      <c r="E421" s="306" t="str">
        <f>IF(Q357="","",Q357)</f>
        <v/>
      </c>
      <c r="G421"/>
      <c r="M421" s="65"/>
      <c r="O421" s="28"/>
      <c r="P421" s="502">
        <v>0</v>
      </c>
      <c r="Q421" s="533" t="str">
        <f>IF(Sheet2!G8="","",Sheet2!G8)</f>
        <v/>
      </c>
      <c r="R421" s="533" t="str">
        <f>IF(Sheet2!G17="","",Sheet2!G17)</f>
        <v/>
      </c>
      <c r="S421" s="554"/>
      <c r="T421"/>
      <c r="U421"/>
      <c r="V421"/>
      <c r="W421"/>
      <c r="X421"/>
      <c r="Y421" s="30"/>
    </row>
    <row r="422" spans="1:25" ht="14.1" customHeight="1">
      <c r="A422" s="15">
        <v>62</v>
      </c>
      <c r="B422" s="64"/>
      <c r="C422" s="33" t="s">
        <v>179</v>
      </c>
      <c r="D422" s="293" t="str">
        <f t="shared" si="96"/>
        <v/>
      </c>
      <c r="E422" s="294" t="str">
        <f>IF(Q358="","",Q358)</f>
        <v/>
      </c>
      <c r="G422"/>
      <c r="M422" s="65"/>
      <c r="O422" s="28"/>
      <c r="P422" s="502">
        <v>0</v>
      </c>
      <c r="Q422" s="533" t="str">
        <f>IF(Sheet2!G9="","",Sheet2!G9)</f>
        <v/>
      </c>
      <c r="R422" s="533"/>
      <c r="S422" s="554"/>
      <c r="T422"/>
      <c r="U422"/>
      <c r="V422"/>
      <c r="W422"/>
      <c r="X422"/>
      <c r="Y422" s="30"/>
    </row>
    <row r="423" spans="1:25" ht="14.1" customHeight="1">
      <c r="A423" s="15">
        <v>63</v>
      </c>
      <c r="B423" s="64"/>
      <c r="C423" s="33" t="s">
        <v>181</v>
      </c>
      <c r="D423" s="293" t="str">
        <f t="shared" si="96"/>
        <v/>
      </c>
      <c r="E423" s="294" t="str">
        <f>IF(Q359="","",Q359)</f>
        <v/>
      </c>
      <c r="G423"/>
      <c r="M423" s="65"/>
      <c r="O423" s="28"/>
      <c r="P423" s="502" t="s">
        <v>342</v>
      </c>
      <c r="Q423" s="533" t="str">
        <f>IF(Sheet2!J8="","",AVERAGE(Sheet2!J7:J13))</f>
        <v/>
      </c>
      <c r="R423" s="533" t="str">
        <f>IF(Sheet2!J17="","",Sheet2!J17)</f>
        <v/>
      </c>
      <c r="S423" s="554"/>
      <c r="T423"/>
      <c r="U423"/>
      <c r="V423"/>
      <c r="W423"/>
      <c r="X423"/>
      <c r="Y423" s="30"/>
    </row>
    <row r="424" spans="1:25" ht="14.1" customHeight="1" thickBot="1">
      <c r="A424" s="15">
        <v>64</v>
      </c>
      <c r="B424" s="64"/>
      <c r="C424" s="33" t="s">
        <v>207</v>
      </c>
      <c r="D424" s="300" t="str">
        <f t="shared" si="96"/>
        <v/>
      </c>
      <c r="E424" s="303" t="str">
        <f>IF(Q360="","",Q360)</f>
        <v/>
      </c>
      <c r="G424"/>
      <c r="M424" s="65"/>
      <c r="O424" s="28"/>
      <c r="P424" s="502" t="s">
        <v>343</v>
      </c>
      <c r="Q424" s="532" t="str">
        <f>IF(OR(Q421="",Q422=""),"",ABS(Q422-Q421)/Q421)</f>
        <v/>
      </c>
      <c r="R424" s="532"/>
      <c r="S424" s="555"/>
      <c r="T424"/>
      <c r="U424"/>
      <c r="V424"/>
      <c r="W424"/>
      <c r="X424"/>
      <c r="Y424" s="30"/>
    </row>
    <row r="425" spans="1:25" ht="14.1" customHeight="1" thickBot="1">
      <c r="A425" s="15">
        <v>65</v>
      </c>
      <c r="B425" s="64"/>
      <c r="D425" s="3" t="str">
        <f>P353</f>
        <v>Criteria:</v>
      </c>
      <c r="E425" s="25" t="str">
        <f>Q361</f>
        <v>Must be able to see 4 fibers, 3 speck groups, 3 masses</v>
      </c>
      <c r="M425" s="65"/>
      <c r="O425" s="28"/>
      <c r="P425" s="300" t="s">
        <v>207</v>
      </c>
      <c r="Q425" s="301" t="str">
        <f t="shared" ref="Q425:R425" si="97">IF(Q423="","",IF(Q423&gt;=0.28,"Pass","Fail"))</f>
        <v/>
      </c>
      <c r="R425" s="301" t="str">
        <f t="shared" si="97"/>
        <v/>
      </c>
      <c r="S425" s="303"/>
      <c r="T425"/>
      <c r="U425"/>
      <c r="V425"/>
      <c r="W425"/>
      <c r="X425"/>
      <c r="Y425" s="30"/>
    </row>
    <row r="426" spans="1:25" ht="14.1" customHeight="1">
      <c r="A426" s="15">
        <v>66</v>
      </c>
      <c r="B426" s="64"/>
      <c r="M426" s="65"/>
      <c r="O426" s="28"/>
      <c r="P426" s="3" t="s">
        <v>193</v>
      </c>
      <c r="Q426" s="25" t="s">
        <v>595</v>
      </c>
      <c r="R426" s="449"/>
      <c r="S426" s="449"/>
      <c r="T426" s="449"/>
      <c r="U426" s="449"/>
      <c r="V426" s="449" t="s">
        <v>533</v>
      </c>
      <c r="W426" s="240" t="s">
        <v>533</v>
      </c>
      <c r="X426" s="240" t="s">
        <v>533</v>
      </c>
      <c r="Y426" s="30"/>
    </row>
    <row r="427" spans="1:25" ht="14.1" customHeight="1" thickBot="1">
      <c r="A427" s="15">
        <v>67</v>
      </c>
      <c r="B427" s="64"/>
      <c r="C427" s="291" t="str">
        <f>IF(O362="","",IF(O362=1,"Pass",IF(O362=2,"Fail","NA")))</f>
        <v/>
      </c>
      <c r="D427" s="19" t="s">
        <v>697</v>
      </c>
      <c r="M427" s="65"/>
      <c r="O427" s="38"/>
      <c r="Q427" s="25" t="s">
        <v>758</v>
      </c>
      <c r="R427" s="4"/>
      <c r="S427" s="4"/>
      <c r="T427" s="4"/>
      <c r="U427" s="4"/>
      <c r="V427" s="4"/>
      <c r="W427" s="4"/>
      <c r="X427" s="4"/>
      <c r="Y427" s="40"/>
    </row>
    <row r="428" spans="1:25" ht="14.1" customHeight="1">
      <c r="A428" s="15">
        <v>68</v>
      </c>
      <c r="B428" s="64"/>
      <c r="C428" s="291" t="str">
        <f>IF(O363="","",IF(O363=1,"Pass",IF(O363=2,"Fail","NA")))</f>
        <v/>
      </c>
      <c r="D428" s="19" t="s">
        <v>698</v>
      </c>
      <c r="M428" s="65"/>
      <c r="O428" s="128" t="s">
        <v>311</v>
      </c>
      <c r="P428" s="21"/>
      <c r="Q428" s="21"/>
      <c r="R428" s="21"/>
      <c r="S428" s="21"/>
      <c r="T428" s="21"/>
      <c r="U428" s="21"/>
      <c r="V428" s="21"/>
      <c r="W428" s="21"/>
      <c r="X428" s="21"/>
      <c r="Y428" s="22"/>
    </row>
    <row r="429" spans="1:25" ht="14.1" customHeight="1">
      <c r="A429" s="15">
        <v>69</v>
      </c>
      <c r="B429" s="64"/>
      <c r="C429" s="291" t="str">
        <f>IF(O364="","",IF(O364=1,"Pass",IF(O364=2,"Fail","NA")))</f>
        <v/>
      </c>
      <c r="D429" s="19" t="s">
        <v>696</v>
      </c>
      <c r="M429" s="65"/>
      <c r="O429" s="245" t="s">
        <v>312</v>
      </c>
      <c r="P429" s="33" t="s">
        <v>36</v>
      </c>
      <c r="Q429" s="234"/>
      <c r="R429" s="33" t="s">
        <v>326</v>
      </c>
      <c r="S429" s="234"/>
      <c r="U429" s="33" t="s">
        <v>344</v>
      </c>
      <c r="V429" s="234"/>
      <c r="Y429" s="30"/>
    </row>
    <row r="430" spans="1:25" ht="14.1" customHeight="1" thickBot="1">
      <c r="A430" s="15">
        <v>70</v>
      </c>
      <c r="B430" s="75"/>
      <c r="C430" s="452"/>
      <c r="D430" s="499"/>
      <c r="E430" s="495"/>
      <c r="F430" s="495"/>
      <c r="G430" s="495"/>
      <c r="H430" s="495"/>
      <c r="I430" s="495"/>
      <c r="J430" s="495"/>
      <c r="K430" s="495"/>
      <c r="L430" s="76"/>
      <c r="M430" s="77"/>
      <c r="O430" s="28"/>
      <c r="Y430" s="30"/>
    </row>
    <row r="431" spans="1:25" ht="14.1" customHeight="1" thickTop="1">
      <c r="A431" s="15">
        <v>71</v>
      </c>
      <c r="C431" s="102" t="s">
        <v>8</v>
      </c>
      <c r="D431" s="320" t="str">
        <f>IF($P$7="","",$P$7)</f>
        <v/>
      </c>
      <c r="E431" s="25"/>
      <c r="F431" s="25"/>
      <c r="G431" s="25"/>
      <c r="H431" s="25"/>
      <c r="I431" s="25"/>
      <c r="J431" s="25"/>
      <c r="K431" s="25"/>
      <c r="L431" s="102" t="s">
        <v>9</v>
      </c>
      <c r="M431" s="321" t="str">
        <f>IF($X$7="","",$X$7)</f>
        <v>Eugene Mah</v>
      </c>
      <c r="O431" s="28"/>
      <c r="P431" s="33"/>
      <c r="R431" s="19" t="s">
        <v>310</v>
      </c>
      <c r="V431" s="19" t="s">
        <v>310</v>
      </c>
      <c r="Y431" s="30"/>
    </row>
    <row r="432" spans="1:25" ht="14.1" customHeight="1">
      <c r="A432" s="15">
        <v>72</v>
      </c>
      <c r="C432" s="102" t="s">
        <v>111</v>
      </c>
      <c r="D432" s="321" t="str">
        <f>IF($R$14="","",$R$14)</f>
        <v/>
      </c>
      <c r="E432" s="25"/>
      <c r="F432" s="25"/>
      <c r="G432" s="25"/>
      <c r="H432" s="25"/>
      <c r="I432" s="25"/>
      <c r="J432" s="25"/>
      <c r="K432" s="25"/>
      <c r="L432" s="102" t="s">
        <v>29</v>
      </c>
      <c r="M432" s="321" t="str">
        <f>IF($R$13="","",$R$13)</f>
        <v/>
      </c>
      <c r="O432" s="28"/>
      <c r="P432" s="33" t="s">
        <v>163</v>
      </c>
      <c r="Q432" s="136"/>
      <c r="R432" s="114" t="str">
        <f t="shared" ref="R432:R437" si="98">IF(AB93="","",AB93)</f>
        <v/>
      </c>
      <c r="T432" s="33" t="s">
        <v>177</v>
      </c>
      <c r="U432" s="136"/>
      <c r="V432" s="114" t="str">
        <f>IF(AB99="","",AB99)</f>
        <v/>
      </c>
      <c r="Y432" s="30"/>
    </row>
    <row r="433" spans="1:25" ht="14.1" customHeight="1">
      <c r="A433" s="15">
        <v>1</v>
      </c>
      <c r="M433" s="105" t="str">
        <f>$H$2</f>
        <v>Medical University of South Carolina</v>
      </c>
      <c r="O433" s="28"/>
      <c r="P433" s="33" t="s">
        <v>166</v>
      </c>
      <c r="Q433" s="136"/>
      <c r="R433" s="114" t="str">
        <f t="shared" si="98"/>
        <v/>
      </c>
      <c r="T433" s="33" t="s">
        <v>179</v>
      </c>
      <c r="U433" s="136"/>
      <c r="V433" s="114" t="str">
        <f>IF(AB100="","",AB100)</f>
        <v/>
      </c>
      <c r="Y433" s="30"/>
    </row>
    <row r="434" spans="1:25" ht="14.1" customHeight="1" thickBot="1">
      <c r="A434" s="15">
        <v>2</v>
      </c>
      <c r="H434" s="49" t="s">
        <v>64</v>
      </c>
      <c r="M434" s="3" t="str">
        <f>$H$5</f>
        <v>Mammography System Compliance Inspection</v>
      </c>
      <c r="O434" s="28"/>
      <c r="P434" s="33" t="s">
        <v>318</v>
      </c>
      <c r="Q434" s="136"/>
      <c r="R434" s="114" t="str">
        <f t="shared" si="98"/>
        <v/>
      </c>
      <c r="T434" s="33" t="s">
        <v>181</v>
      </c>
      <c r="U434" s="136"/>
      <c r="V434" s="114" t="str">
        <f>IF(AB101="","",AB101)</f>
        <v/>
      </c>
      <c r="Y434" s="30"/>
    </row>
    <row r="435" spans="1:25" ht="14.1" customHeight="1" thickTop="1" thickBot="1">
      <c r="A435" s="15">
        <v>3</v>
      </c>
      <c r="B435" s="55"/>
      <c r="C435" s="56"/>
      <c r="D435" s="56"/>
      <c r="E435" s="56"/>
      <c r="F435" s="56"/>
      <c r="G435" s="56"/>
      <c r="H435" s="56"/>
      <c r="I435" s="56"/>
      <c r="J435" s="56"/>
      <c r="K435" s="56"/>
      <c r="L435" s="56"/>
      <c r="M435" s="58"/>
      <c r="O435" s="28"/>
      <c r="P435" s="33" t="s">
        <v>172</v>
      </c>
      <c r="Q435" s="136"/>
      <c r="R435" s="114" t="str">
        <f t="shared" si="98"/>
        <v/>
      </c>
      <c r="T435" s="33" t="s">
        <v>207</v>
      </c>
      <c r="U435" s="135" t="str">
        <f>IF(OR(U432="",U433="",U434=""),"",IF(AND(U432&gt;=5,U433&gt;=4,U434&gt;=4),"Pass","Fail"))</f>
        <v/>
      </c>
      <c r="Y435" s="30"/>
    </row>
    <row r="436" spans="1:25" ht="14.1" customHeight="1">
      <c r="A436" s="15">
        <v>4</v>
      </c>
      <c r="B436" s="64"/>
      <c r="C436" s="481" t="s">
        <v>213</v>
      </c>
      <c r="D436" s="441" t="str">
        <f>IF(Q491="","",IF(LEN(Q491)&lt;=135,Q491,IF(LEN(Q491)&lt;=260,LEFT(Q491,SEARCH(" ",Q491,125)),LEFT(Q491,SEARCH(" ",Q491,130)))))</f>
        <v/>
      </c>
      <c r="E436" s="482"/>
      <c r="F436" s="482"/>
      <c r="G436" s="482"/>
      <c r="H436" s="482"/>
      <c r="I436" s="482"/>
      <c r="J436" s="482"/>
      <c r="K436" s="482"/>
      <c r="L436" s="482"/>
      <c r="M436" s="65"/>
      <c r="O436" s="28"/>
      <c r="P436" s="33" t="s">
        <v>174</v>
      </c>
      <c r="Q436" s="136"/>
      <c r="R436" s="114" t="str">
        <f t="shared" si="98"/>
        <v/>
      </c>
      <c r="T436" s="3" t="s">
        <v>193</v>
      </c>
      <c r="U436" s="25" t="s">
        <v>345</v>
      </c>
      <c r="Y436" s="30"/>
    </row>
    <row r="437" spans="1:25" ht="14.1" customHeight="1">
      <c r="A437" s="15">
        <v>5</v>
      </c>
      <c r="B437" s="64"/>
      <c r="C437" s="486"/>
      <c r="D437" s="442" t="str">
        <f>IF(LEN(Q491)&lt;=135,"",IF(LEN(Q491)&lt;=260,RIGHT(Q491,LEN(Q491)-SEARCH(" ",Q491,125)),MID(Q491,SEARCH(" ",Q491,130),IF(LEN(Q491)&lt;=265,LEN(Q491),SEARCH(" ",Q491,255)-SEARCH(" ",Q491,130)))))</f>
        <v/>
      </c>
      <c r="E437" s="487"/>
      <c r="F437" s="487"/>
      <c r="G437" s="487"/>
      <c r="H437" s="487"/>
      <c r="I437" s="487"/>
      <c r="J437" s="487"/>
      <c r="K437" s="487"/>
      <c r="L437" s="487"/>
      <c r="M437" s="65"/>
      <c r="O437" s="28"/>
      <c r="P437" s="33" t="s">
        <v>175</v>
      </c>
      <c r="Q437" s="10" t="str">
        <f>IF(OR(Q435="",Q436=""),"",Q436-Q435)</f>
        <v/>
      </c>
      <c r="R437" s="114" t="str">
        <f t="shared" si="98"/>
        <v/>
      </c>
      <c r="Y437" s="30"/>
    </row>
    <row r="438" spans="1:25" ht="14.1" customHeight="1">
      <c r="A438" s="15">
        <v>6</v>
      </c>
      <c r="B438" s="64"/>
      <c r="C438" s="486"/>
      <c r="D438" s="442" t="str">
        <f>IF(LEN(Q491)&lt;=265,"",RIGHT(Q491,LEN(Q491)-SEARCH(" ",Q491,255)))</f>
        <v/>
      </c>
      <c r="E438" s="487"/>
      <c r="F438" s="487"/>
      <c r="G438" s="487"/>
      <c r="H438" s="487"/>
      <c r="I438" s="487"/>
      <c r="J438" s="487"/>
      <c r="K438" s="487"/>
      <c r="L438" s="487"/>
      <c r="M438" s="65"/>
      <c r="O438" s="28"/>
      <c r="Y438" s="30"/>
    </row>
    <row r="439" spans="1:25" ht="14.1" customHeight="1">
      <c r="A439" s="15">
        <v>7</v>
      </c>
      <c r="B439" s="64"/>
      <c r="C439" s="490"/>
      <c r="D439" s="442" t="str">
        <f>IF(Q493="","",IF(LEN(Q493)&lt;=135,Q493,IF(LEN(Q493)&lt;=260,LEFT(Q493,SEARCH(" ",Q493,125)),LEFT(Q493,SEARCH(" ",Q493,130)))))</f>
        <v/>
      </c>
      <c r="E439" s="487"/>
      <c r="F439" s="487"/>
      <c r="G439" s="487"/>
      <c r="H439" s="487"/>
      <c r="I439" s="487"/>
      <c r="J439" s="487"/>
      <c r="K439" s="487"/>
      <c r="L439" s="487"/>
      <c r="M439" s="65"/>
      <c r="O439" s="245" t="s">
        <v>346</v>
      </c>
      <c r="Y439" s="30"/>
    </row>
    <row r="440" spans="1:25" ht="14.1" customHeight="1">
      <c r="A440" s="15">
        <v>8</v>
      </c>
      <c r="B440" s="64"/>
      <c r="C440" s="490"/>
      <c r="D440" s="442" t="str">
        <f>IF(LEN(Q493)&lt;=135,"",IF(LEN(Q493)&lt;=260,RIGHT(Q493,LEN(Q493)-SEARCH(" ",Q493,125)),MID(Q493,SEARCH(" ",Q493,130),IF(LEN(Q493)&lt;=265,LEN(Q493),SEARCH(" ",Q493,255)-SEARCH(" ",Q493,130)))))</f>
        <v/>
      </c>
      <c r="E440" s="487"/>
      <c r="F440" s="487"/>
      <c r="G440" s="487"/>
      <c r="H440" s="487"/>
      <c r="I440" s="487"/>
      <c r="J440" s="487"/>
      <c r="K440" s="487"/>
      <c r="L440" s="487"/>
      <c r="M440" s="65"/>
      <c r="O440" s="28"/>
      <c r="Q440" s="33" t="s">
        <v>316</v>
      </c>
      <c r="R440" s="234"/>
      <c r="U440" s="33" t="s">
        <v>316</v>
      </c>
      <c r="V440" s="234"/>
      <c r="Y440" s="30"/>
    </row>
    <row r="441" spans="1:25" ht="14.1" customHeight="1">
      <c r="A441" s="15">
        <v>9</v>
      </c>
      <c r="B441" s="64"/>
      <c r="C441" s="490"/>
      <c r="D441" s="442" t="str">
        <f>IF(LEN(Q493)&lt;=265,"",RIGHT(Q493,LEN(Q493)-SEARCH(" ",Q493,255)))</f>
        <v/>
      </c>
      <c r="E441" s="487"/>
      <c r="F441" s="487"/>
      <c r="G441" s="487"/>
      <c r="H441" s="487"/>
      <c r="I441" s="487"/>
      <c r="J441" s="487"/>
      <c r="K441" s="487"/>
      <c r="L441" s="487"/>
      <c r="M441" s="65"/>
      <c r="O441" s="28"/>
      <c r="Q441" s="100" t="s">
        <v>243</v>
      </c>
      <c r="R441" s="100" t="s">
        <v>244</v>
      </c>
      <c r="U441" s="100" t="s">
        <v>243</v>
      </c>
      <c r="V441" s="100" t="s">
        <v>244</v>
      </c>
      <c r="Y441" s="30"/>
    </row>
    <row r="442" spans="1:25" ht="14.1" customHeight="1">
      <c r="A442" s="15">
        <v>10</v>
      </c>
      <c r="B442" s="64"/>
      <c r="C442" s="492"/>
      <c r="D442" s="442" t="str">
        <f>IF(Q495="","",IF(LEN(Q495)&lt;=135,Q495,IF(LEN(Q495)&lt;=260,LEFT(Q495,SEARCH(" ",Q495,125)),LEFT(Q495,SEARCH(" ",Q495,130)))))</f>
        <v/>
      </c>
      <c r="E442" s="487"/>
      <c r="F442" s="487"/>
      <c r="G442" s="487"/>
      <c r="H442" s="487"/>
      <c r="I442" s="487"/>
      <c r="J442" s="487"/>
      <c r="K442" s="487"/>
      <c r="L442" s="487"/>
      <c r="M442" s="65"/>
      <c r="O442" s="149"/>
      <c r="P442" s="33" t="s">
        <v>177</v>
      </c>
      <c r="Q442" s="136"/>
      <c r="R442" s="136"/>
      <c r="T442" s="33" t="s">
        <v>177</v>
      </c>
      <c r="U442" s="136"/>
      <c r="V442" s="136"/>
      <c r="Y442" s="30"/>
    </row>
    <row r="443" spans="1:25" ht="14.1" customHeight="1">
      <c r="A443" s="15">
        <v>11</v>
      </c>
      <c r="B443" s="64"/>
      <c r="C443" s="492"/>
      <c r="D443" s="442" t="str">
        <f>IF(LEN(Q495)&lt;=135,"",IF(LEN(Q495)&lt;=260,RIGHT(Q495,LEN(Q495)-SEARCH(" ",Q495,125)),MID(Q495,SEARCH(" ",Q495,130),IF(LEN(Q495)&lt;=265,LEN(Q495),SEARCH(" ",Q495,255)-SEARCH(" ",Q495,130)))))</f>
        <v/>
      </c>
      <c r="E443" s="487"/>
      <c r="F443" s="487"/>
      <c r="G443" s="487"/>
      <c r="H443" s="487"/>
      <c r="I443" s="487"/>
      <c r="J443" s="487"/>
      <c r="K443" s="487"/>
      <c r="L443" s="487"/>
      <c r="M443" s="65"/>
      <c r="O443" s="149"/>
      <c r="P443" s="33" t="s">
        <v>179</v>
      </c>
      <c r="Q443" s="136"/>
      <c r="R443" s="136"/>
      <c r="T443" s="33" t="s">
        <v>179</v>
      </c>
      <c r="U443" s="136"/>
      <c r="V443" s="136"/>
      <c r="Y443" s="30"/>
    </row>
    <row r="444" spans="1:25" ht="14.1" customHeight="1">
      <c r="A444" s="15">
        <v>12</v>
      </c>
      <c r="B444" s="64"/>
      <c r="C444" s="492"/>
      <c r="D444" s="442" t="str">
        <f>IF(LEN(Q495)&lt;=265,"",RIGHT(Q495,LEN(Q495)-SEARCH(" ",Q495,255)))</f>
        <v/>
      </c>
      <c r="E444" s="487"/>
      <c r="F444" s="487"/>
      <c r="G444" s="487"/>
      <c r="H444" s="487"/>
      <c r="I444" s="487"/>
      <c r="J444" s="487"/>
      <c r="K444" s="487"/>
      <c r="L444" s="487"/>
      <c r="M444" s="65"/>
      <c r="O444" s="149"/>
      <c r="P444" s="33" t="s">
        <v>181</v>
      </c>
      <c r="Q444" s="136"/>
      <c r="R444" s="136"/>
      <c r="T444" s="33" t="s">
        <v>181</v>
      </c>
      <c r="U444" s="136"/>
      <c r="V444" s="136"/>
      <c r="Y444" s="30"/>
    </row>
    <row r="445" spans="1:25" ht="14.1" customHeight="1">
      <c r="A445" s="15">
        <v>13</v>
      </c>
      <c r="B445" s="64"/>
      <c r="C445" s="459"/>
      <c r="D445" s="442" t="str">
        <f>IF(Q497="","",IF(LEN(Q497)&lt;=135,Q497,IF(LEN(Q497)&lt;=260,LEFT(Q497,SEARCH(" ",Q497,125)),LEFT(Q497,SEARCH(" ",Q497,130)))))</f>
        <v/>
      </c>
      <c r="E445" s="487"/>
      <c r="F445" s="487"/>
      <c r="G445" s="487"/>
      <c r="H445" s="487"/>
      <c r="I445" s="487"/>
      <c r="J445" s="487"/>
      <c r="K445" s="487"/>
      <c r="L445" s="487"/>
      <c r="M445" s="65"/>
      <c r="O445" s="28"/>
      <c r="Y445" s="30"/>
    </row>
    <row r="446" spans="1:25" ht="14.1" customHeight="1">
      <c r="A446" s="15">
        <v>14</v>
      </c>
      <c r="B446" s="64"/>
      <c r="C446" s="486"/>
      <c r="D446" s="442" t="str">
        <f>IF(LEN(Q497)&lt;=135,"",IF(LEN(Q497)&lt;=260,RIGHT(Q497,LEN(Q497)-SEARCH(" ",Q497,125)),MID(Q497,SEARCH(" ",Q497,130),IF(LEN(Q497)&lt;=265,LEN(Q497),SEARCH(" ",Q497,255)-SEARCH(" ",Q497,130)))))</f>
        <v/>
      </c>
      <c r="E446" s="487"/>
      <c r="F446" s="487"/>
      <c r="G446" s="487"/>
      <c r="H446" s="487"/>
      <c r="I446" s="487"/>
      <c r="J446" s="487"/>
      <c r="K446" s="487"/>
      <c r="L446" s="487"/>
      <c r="M446" s="65"/>
      <c r="O446" s="245" t="s">
        <v>347</v>
      </c>
      <c r="Q446" s="4"/>
      <c r="R446" s="33" t="s">
        <v>348</v>
      </c>
      <c r="S446" s="549">
        <f>Q259</f>
        <v>0</v>
      </c>
      <c r="Y446" s="30"/>
    </row>
    <row r="447" spans="1:25" ht="14.1" customHeight="1">
      <c r="A447" s="15">
        <v>15</v>
      </c>
      <c r="B447" s="64"/>
      <c r="C447" s="486"/>
      <c r="D447" s="442" t="str">
        <f>IF(LEN(Q497)&lt;=265,"",RIGHT(Q497,LEN(Q497)-SEARCH(" ",Q497,255)))</f>
        <v/>
      </c>
      <c r="E447" s="487"/>
      <c r="F447" s="487"/>
      <c r="G447" s="487"/>
      <c r="H447" s="487"/>
      <c r="I447" s="487"/>
      <c r="J447" s="487"/>
      <c r="K447" s="487"/>
      <c r="L447" s="487"/>
      <c r="M447" s="65"/>
      <c r="O447" s="28"/>
      <c r="P447" s="33" t="s">
        <v>765</v>
      </c>
      <c r="Q447" s="246" t="s">
        <v>596</v>
      </c>
      <c r="R447" s="247"/>
      <c r="S447" s="248" t="s">
        <v>766</v>
      </c>
      <c r="Y447" s="30"/>
    </row>
    <row r="448" spans="1:25" ht="14.1" customHeight="1">
      <c r="A448" s="15">
        <v>16</v>
      </c>
      <c r="B448" s="64"/>
      <c r="C448" s="459"/>
      <c r="D448" s="442" t="str">
        <f>IF(Q499="","",IF(LEN(Q499)&lt;=135,Q499,IF(LEN(Q499)&lt;=260,LEFT(Q499,SEARCH(" ",Q499,125)),LEFT(Q499,SEARCH(" ",Q499,130)))))</f>
        <v/>
      </c>
      <c r="E448" s="487"/>
      <c r="F448" s="487"/>
      <c r="G448" s="487"/>
      <c r="H448" s="487"/>
      <c r="I448" s="487"/>
      <c r="J448" s="487"/>
      <c r="K448" s="487"/>
      <c r="L448" s="487"/>
      <c r="M448" s="65"/>
      <c r="O448" s="28"/>
      <c r="P448" s="33" t="s">
        <v>85</v>
      </c>
      <c r="Q448" s="246"/>
      <c r="R448" s="247"/>
      <c r="S448" s="248"/>
      <c r="T448" s="33" t="s">
        <v>310</v>
      </c>
      <c r="U448" s="33" t="s">
        <v>62</v>
      </c>
      <c r="V448" s="249" t="str">
        <f t="shared" ref="V448:V453" si="99">IF(AB103="","",AB103)</f>
        <v/>
      </c>
      <c r="W448" s="250" t="str">
        <f t="shared" ref="W448:W453" si="100">IF(AB109="","",AB109)</f>
        <v/>
      </c>
      <c r="X448" s="251" t="str">
        <f t="shared" ref="X448:X453" si="101">IF(AB115="","",AB115)</f>
        <v/>
      </c>
      <c r="Y448" s="30"/>
    </row>
    <row r="449" spans="1:30" ht="14.1" customHeight="1">
      <c r="A449" s="15">
        <v>17</v>
      </c>
      <c r="B449" s="64"/>
      <c r="C449" s="486"/>
      <c r="D449" s="442" t="str">
        <f>IF(LEN(Q499)&lt;=135,"",IF(LEN(Q499)&lt;=260,RIGHT(Q499,LEN(Q499)-SEARCH(" ",Q499,125)),MID(Q499,SEARCH(" ",Q499,130),IF(LEN(Q499)&lt;=265,LEN(Q499),SEARCH(" ",Q499,255)-SEARCH(" ",Q499,130)))))</f>
        <v/>
      </c>
      <c r="E449" s="487"/>
      <c r="F449" s="487"/>
      <c r="G449" s="487"/>
      <c r="H449" s="487"/>
      <c r="I449" s="487"/>
      <c r="J449" s="487"/>
      <c r="K449" s="487"/>
      <c r="L449" s="487"/>
      <c r="M449" s="65"/>
      <c r="O449" s="28"/>
      <c r="P449" s="33" t="s">
        <v>163</v>
      </c>
      <c r="Q449" s="246"/>
      <c r="R449" s="247"/>
      <c r="S449" s="248"/>
      <c r="T449" s="4"/>
      <c r="U449" s="33" t="s">
        <v>258</v>
      </c>
      <c r="V449" s="249" t="str">
        <f t="shared" si="99"/>
        <v/>
      </c>
      <c r="W449" s="250" t="str">
        <f t="shared" si="100"/>
        <v/>
      </c>
      <c r="X449" s="251" t="str">
        <f t="shared" si="101"/>
        <v/>
      </c>
      <c r="Y449" s="30"/>
    </row>
    <row r="450" spans="1:30" ht="14.1" customHeight="1">
      <c r="A450" s="15">
        <v>18</v>
      </c>
      <c r="B450" s="64"/>
      <c r="C450" s="486"/>
      <c r="D450" s="442" t="str">
        <f>IF(LEN(Q499)&lt;=265,"",RIGHT(Q499,LEN(Q499)-SEARCH(" ",Q499,255)))</f>
        <v/>
      </c>
      <c r="E450" s="487"/>
      <c r="F450" s="487"/>
      <c r="G450" s="487"/>
      <c r="H450" s="487"/>
      <c r="I450" s="487"/>
      <c r="J450" s="487"/>
      <c r="K450" s="487"/>
      <c r="L450" s="487"/>
      <c r="M450" s="65"/>
      <c r="O450" s="28"/>
      <c r="P450" s="33" t="s">
        <v>208</v>
      </c>
      <c r="Q450" s="252"/>
      <c r="R450" s="253"/>
      <c r="S450" s="254"/>
      <c r="T450" s="4"/>
      <c r="U450" s="33" t="s">
        <v>63</v>
      </c>
      <c r="V450" s="255" t="str">
        <f t="shared" si="99"/>
        <v/>
      </c>
      <c r="W450" s="256" t="str">
        <f t="shared" si="100"/>
        <v/>
      </c>
      <c r="X450" s="257" t="str">
        <f t="shared" si="101"/>
        <v/>
      </c>
      <c r="Y450" s="30"/>
    </row>
    <row r="451" spans="1:30" ht="14.1" customHeight="1">
      <c r="A451" s="15">
        <v>19</v>
      </c>
      <c r="B451" s="64"/>
      <c r="C451" s="459"/>
      <c r="D451" s="442" t="str">
        <f>IF(Q501="","",IF(LEN(Q501)&lt;=135,Q501,IF(LEN(Q501)&lt;=260,LEFT(Q501,SEARCH(" ",Q501,125)),LEFT(Q501,SEARCH(" ",Q501,130)))))</f>
        <v/>
      </c>
      <c r="E451" s="487"/>
      <c r="F451" s="487"/>
      <c r="G451" s="487"/>
      <c r="H451" s="487"/>
      <c r="I451" s="487"/>
      <c r="J451" s="487"/>
      <c r="K451" s="487"/>
      <c r="L451" s="487"/>
      <c r="M451" s="65"/>
      <c r="O451" s="28"/>
      <c r="P451" s="33" t="s">
        <v>177</v>
      </c>
      <c r="Q451" s="252"/>
      <c r="R451" s="253"/>
      <c r="S451" s="254"/>
      <c r="T451" s="4"/>
      <c r="U451" s="33" t="s">
        <v>349</v>
      </c>
      <c r="V451" s="255" t="str">
        <f t="shared" si="99"/>
        <v/>
      </c>
      <c r="W451" s="256" t="str">
        <f t="shared" si="100"/>
        <v/>
      </c>
      <c r="X451" s="257" t="str">
        <f t="shared" si="101"/>
        <v/>
      </c>
      <c r="Y451" s="30"/>
    </row>
    <row r="452" spans="1:30" ht="14.1" customHeight="1">
      <c r="A452" s="15">
        <v>20</v>
      </c>
      <c r="B452" s="64"/>
      <c r="C452" s="486"/>
      <c r="D452" s="442" t="str">
        <f>IF(LEN(Q501)&lt;=135,"",IF(LEN(Q501)&lt;=260,RIGHT(Q501,LEN(Q501)-SEARCH(" ",Q501,125)),MID(Q501,SEARCH(" ",Q501,130),IF(LEN(Q501)&lt;=265,LEN(Q501),SEARCH(" ",Q501,255)-SEARCH(" ",Q501,130)))))</f>
        <v/>
      </c>
      <c r="E452" s="487"/>
      <c r="F452" s="487"/>
      <c r="G452" s="487"/>
      <c r="H452" s="487"/>
      <c r="I452" s="487"/>
      <c r="J452" s="487"/>
      <c r="K452" s="487"/>
      <c r="L452" s="487"/>
      <c r="M452" s="65"/>
      <c r="O452" s="28"/>
      <c r="P452" s="33" t="s">
        <v>179</v>
      </c>
      <c r="Q452" s="252"/>
      <c r="R452" s="253"/>
      <c r="S452" s="254"/>
      <c r="T452" s="4"/>
      <c r="U452" s="33" t="s">
        <v>350</v>
      </c>
      <c r="V452" s="255" t="str">
        <f t="shared" si="99"/>
        <v/>
      </c>
      <c r="W452" s="256" t="str">
        <f t="shared" si="100"/>
        <v/>
      </c>
      <c r="X452" s="257" t="str">
        <f t="shared" si="101"/>
        <v/>
      </c>
      <c r="Y452" s="30"/>
    </row>
    <row r="453" spans="1:30" ht="14.1" customHeight="1">
      <c r="A453" s="15">
        <v>21</v>
      </c>
      <c r="B453" s="64"/>
      <c r="C453" s="486"/>
      <c r="D453" s="442" t="str">
        <f>IF(LEN(Q501)&lt;=265,"",RIGHT(Q501,LEN(Q501)-SEARCH(" ",Q501,255)))</f>
        <v/>
      </c>
      <c r="E453" s="487"/>
      <c r="F453" s="487"/>
      <c r="G453" s="487"/>
      <c r="H453" s="487"/>
      <c r="I453" s="487"/>
      <c r="J453" s="487"/>
      <c r="K453" s="487"/>
      <c r="L453" s="410"/>
      <c r="M453" s="65"/>
      <c r="O453" s="28"/>
      <c r="P453" s="33" t="s">
        <v>181</v>
      </c>
      <c r="Q453" s="252"/>
      <c r="R453" s="253"/>
      <c r="S453" s="254"/>
      <c r="T453" s="4"/>
      <c r="U453" s="33" t="s">
        <v>351</v>
      </c>
      <c r="V453" s="255" t="str">
        <f t="shared" si="99"/>
        <v/>
      </c>
      <c r="W453" s="256" t="str">
        <f t="shared" si="100"/>
        <v/>
      </c>
      <c r="X453" s="257" t="str">
        <f t="shared" si="101"/>
        <v/>
      </c>
      <c r="Y453" s="30"/>
    </row>
    <row r="454" spans="1:30" ht="14.1" customHeight="1">
      <c r="A454" s="15">
        <v>22</v>
      </c>
      <c r="B454" s="64"/>
      <c r="C454" s="459"/>
      <c r="D454" s="442" t="str">
        <f>IF(Q503="","",IF(LEN(Q503)&lt;=135,Q503,IF(LEN(Q503)&lt;=260,LEFT(Q503,SEARCH(" ",Q503,125)),LEFT(Q503,SEARCH(" ",Q503,130)))))</f>
        <v/>
      </c>
      <c r="E454" s="487"/>
      <c r="F454" s="487"/>
      <c r="G454" s="487"/>
      <c r="H454" s="487"/>
      <c r="I454" s="487"/>
      <c r="J454" s="487"/>
      <c r="K454" s="487"/>
      <c r="L454" s="410"/>
      <c r="M454" s="65"/>
      <c r="O454" s="28"/>
      <c r="P454" s="41"/>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0"/>
      <c r="AA454" s="759"/>
      <c r="AB454" s="759"/>
      <c r="AC454" s="759"/>
      <c r="AD454" s="759"/>
    </row>
    <row r="455" spans="1:30" ht="14.1" customHeight="1">
      <c r="A455" s="15">
        <v>23</v>
      </c>
      <c r="B455" s="64"/>
      <c r="D455" s="442" t="str">
        <f>IF(LEN(Q503)&lt;=135,"",IF(LEN(Q503)&lt;=260,RIGHT(Q503,LEN(Q503)-SEARCH(" ",Q503,125)),MID(Q503,SEARCH(" ",Q503,130),IF(LEN(Q503)&lt;=265,LEN(Q503),SEARCH(" ",Q503,255)-SEARCH(" ",Q503,130)))))</f>
        <v/>
      </c>
      <c r="E455" s="410"/>
      <c r="F455" s="410"/>
      <c r="G455" s="410"/>
      <c r="H455" s="410"/>
      <c r="I455" s="410"/>
      <c r="J455" s="410"/>
      <c r="K455" s="410"/>
      <c r="L455" s="410"/>
      <c r="M455" s="65"/>
      <c r="O455" s="28"/>
      <c r="P455" s="3" t="s">
        <v>193</v>
      </c>
      <c r="Q455" s="25" t="s">
        <v>763</v>
      </c>
      <c r="Y455" s="30"/>
      <c r="AA455" s="100"/>
      <c r="AB455" s="100"/>
      <c r="AC455" s="100"/>
      <c r="AD455" s="100"/>
    </row>
    <row r="456" spans="1:30" ht="14.1" customHeight="1" thickBot="1">
      <c r="A456" s="15">
        <v>24</v>
      </c>
      <c r="B456" s="64"/>
      <c r="D456" s="442" t="str">
        <f>IF(LEN(Q503)&lt;=265,"",RIGHT(Q503,LEN(Q503)-SEARCH(" ",Q503,255)))</f>
        <v/>
      </c>
      <c r="E456" s="410"/>
      <c r="F456" s="410"/>
      <c r="G456" s="410"/>
      <c r="H456" s="410"/>
      <c r="I456" s="410"/>
      <c r="J456" s="410"/>
      <c r="K456" s="410"/>
      <c r="L456" s="410"/>
      <c r="M456" s="65"/>
      <c r="O456" s="38"/>
      <c r="P456" s="258"/>
      <c r="Q456" s="669" t="s">
        <v>764</v>
      </c>
      <c r="R456" s="176"/>
      <c r="S456" s="176"/>
      <c r="T456" s="39"/>
      <c r="U456" s="39"/>
      <c r="V456" s="39"/>
      <c r="W456" s="39"/>
      <c r="X456" s="39"/>
      <c r="Y456" s="40"/>
    </row>
    <row r="457" spans="1:30" ht="14.1" customHeight="1">
      <c r="A457" s="15">
        <v>25</v>
      </c>
      <c r="B457" s="64"/>
      <c r="D457" s="442" t="str">
        <f>IF(Q505="","",IF(LEN(Q505)&lt;=135,Q505,IF(LEN(Q505)&lt;=260,LEFT(Q505,SEARCH(" ",Q505,125)),LEFT(Q505,SEARCH(" ",Q505,130)))))</f>
        <v/>
      </c>
      <c r="E457" s="410"/>
      <c r="F457" s="410"/>
      <c r="G457" s="410"/>
      <c r="H457" s="410"/>
      <c r="I457" s="410"/>
      <c r="J457" s="410"/>
      <c r="K457" s="410"/>
      <c r="L457" s="410"/>
      <c r="M457" s="65"/>
      <c r="O457" s="130" t="s">
        <v>353</v>
      </c>
      <c r="Y457" s="30"/>
    </row>
    <row r="458" spans="1:30" ht="14.1" customHeight="1">
      <c r="A458" s="15">
        <v>26</v>
      </c>
      <c r="B458" s="64"/>
      <c r="C458" s="486"/>
      <c r="D458" s="442" t="str">
        <f>IF(LEN(Q505)&lt;=135,"",IF(LEN(Q505)&lt;=260,RIGHT(Q505,LEN(Q505)-SEARCH(" ",Q505,125)),MID(Q505,SEARCH(" ",Q505,130),IF(LEN(Q505)&lt;=265,LEN(Q505),SEARCH(" ",Q505,255)-SEARCH(" ",Q505,130)))))</f>
        <v/>
      </c>
      <c r="E458" s="487"/>
      <c r="F458" s="487"/>
      <c r="G458" s="487"/>
      <c r="H458" s="487"/>
      <c r="I458" s="487"/>
      <c r="J458" s="487"/>
      <c r="K458" s="487"/>
      <c r="L458" s="487"/>
      <c r="M458" s="65"/>
      <c r="O458" s="28"/>
      <c r="T458" s="100" t="s">
        <v>354</v>
      </c>
      <c r="U458" s="100" t="s">
        <v>355</v>
      </c>
      <c r="Y458" s="30"/>
    </row>
    <row r="459" spans="1:30" ht="14.1" customHeight="1">
      <c r="A459" s="15">
        <v>27</v>
      </c>
      <c r="B459" s="64"/>
      <c r="D459" s="442" t="str">
        <f>IF(LEN(Q505)&lt;=265,"",RIGHT(Q505,LEN(Q505)-SEARCH(" ",Q505,255)))</f>
        <v/>
      </c>
      <c r="E459" s="410"/>
      <c r="F459" s="410"/>
      <c r="G459" s="410"/>
      <c r="H459" s="410"/>
      <c r="I459" s="410"/>
      <c r="J459" s="410"/>
      <c r="K459" s="410"/>
      <c r="L459" s="410"/>
      <c r="M459" s="65"/>
      <c r="O459" s="28"/>
      <c r="P459" s="33" t="s">
        <v>163</v>
      </c>
      <c r="Q459" s="129">
        <f>U228</f>
        <v>28</v>
      </c>
      <c r="R459" s="33"/>
      <c r="S459" s="33" t="s">
        <v>356</v>
      </c>
      <c r="T459" s="136" t="str">
        <f>Q237</f>
        <v/>
      </c>
      <c r="U459" s="136"/>
      <c r="Y459" s="30"/>
    </row>
    <row r="460" spans="1:30" ht="14.1" customHeight="1">
      <c r="A460" s="15">
        <v>28</v>
      </c>
      <c r="B460" s="64"/>
      <c r="M460" s="65"/>
      <c r="O460" s="28"/>
      <c r="P460" s="33" t="s">
        <v>166</v>
      </c>
      <c r="Q460" s="129">
        <f>T260</f>
        <v>100</v>
      </c>
      <c r="R460" s="33"/>
      <c r="S460" s="33" t="s">
        <v>357</v>
      </c>
      <c r="T460" s="136" t="str">
        <f>R237</f>
        <v/>
      </c>
      <c r="U460" s="136" t="str">
        <f>S237</f>
        <v/>
      </c>
      <c r="Y460" s="30"/>
    </row>
    <row r="461" spans="1:30" ht="14.1" customHeight="1">
      <c r="A461" s="15">
        <v>29</v>
      </c>
      <c r="B461" s="64"/>
      <c r="M461" s="65"/>
      <c r="O461" s="28"/>
      <c r="P461" s="33" t="s">
        <v>43</v>
      </c>
      <c r="Q461" s="234" t="str">
        <f>V21</f>
        <v/>
      </c>
      <c r="Y461" s="30"/>
    </row>
    <row r="462" spans="1:30" ht="14.1" customHeight="1">
      <c r="A462" s="15">
        <v>30</v>
      </c>
      <c r="B462" s="64"/>
      <c r="M462" s="65"/>
      <c r="O462" s="28"/>
      <c r="P462" s="33" t="s">
        <v>45</v>
      </c>
      <c r="Q462" s="234" t="str">
        <f>V24</f>
        <v/>
      </c>
      <c r="T462" s="100" t="s">
        <v>309</v>
      </c>
      <c r="U462" s="100" t="s">
        <v>310</v>
      </c>
      <c r="V462" s="100" t="s">
        <v>279</v>
      </c>
      <c r="W462" s="100" t="s">
        <v>358</v>
      </c>
      <c r="X462" s="100" t="s">
        <v>280</v>
      </c>
      <c r="Y462" s="30"/>
    </row>
    <row r="463" spans="1:30" ht="14.1" customHeight="1">
      <c r="A463" s="15">
        <v>31</v>
      </c>
      <c r="B463" s="64"/>
      <c r="M463" s="65"/>
      <c r="O463" s="28"/>
      <c r="S463" s="33" t="s">
        <v>188</v>
      </c>
      <c r="T463" s="225" t="str">
        <f>IF(OR(T460="",U460=""),"",(T460-50)/U460)</f>
        <v/>
      </c>
      <c r="U463" s="566" t="str">
        <f>IF(AB121="","",AB121)</f>
        <v/>
      </c>
      <c r="V463" s="166" t="str">
        <f>IF(OR(T463="",W463=""),"",ABS(T463-W463)/W463)</f>
        <v/>
      </c>
      <c r="W463" s="259"/>
      <c r="X463" s="226" t="str">
        <f>IF(OR(T463="",V463=""),"",IF(AND(T463&gt;=40,V463&lt;=0.15),"Pass","Fail"))</f>
        <v/>
      </c>
      <c r="Y463" s="30"/>
    </row>
    <row r="464" spans="1:30" ht="14.1" customHeight="1">
      <c r="A464" s="15">
        <v>32</v>
      </c>
      <c r="B464" s="64"/>
      <c r="M464" s="65"/>
      <c r="O464" s="28"/>
      <c r="S464" s="33" t="s">
        <v>189</v>
      </c>
      <c r="T464" s="225" t="str">
        <f>IF(OR(T460="",T459=""),"",(T460-T459)/U460)</f>
        <v/>
      </c>
      <c r="U464" s="566" t="str">
        <f>IF(AB122="","",AB122)</f>
        <v/>
      </c>
      <c r="V464" s="166" t="str">
        <f>IF(OR(T464="",W464=""),"",ABS(T464-W464)/W464)</f>
        <v/>
      </c>
      <c r="W464" s="259"/>
      <c r="X464" s="10" t="str">
        <f>IF(OR(T464="",V464=""),"",IF(AND(T464&gt;=2,V464&lt;=0.15),"Pass","Fail"))</f>
        <v/>
      </c>
      <c r="Y464" s="30"/>
    </row>
    <row r="465" spans="1:28" ht="14.1" customHeight="1">
      <c r="A465" s="15">
        <v>33</v>
      </c>
      <c r="B465" s="64"/>
      <c r="M465" s="65"/>
      <c r="O465" s="28"/>
      <c r="P465" s="3" t="s">
        <v>193</v>
      </c>
      <c r="Q465" s="25" t="s">
        <v>359</v>
      </c>
      <c r="Y465" s="30"/>
    </row>
    <row r="466" spans="1:28" ht="14.1" customHeight="1">
      <c r="A466" s="15">
        <v>34</v>
      </c>
      <c r="B466" s="64"/>
      <c r="M466" s="65"/>
      <c r="O466" s="28"/>
      <c r="Q466" s="25" t="s">
        <v>360</v>
      </c>
      <c r="Y466" s="30"/>
    </row>
    <row r="467" spans="1:28" ht="14.1" customHeight="1" thickBot="1">
      <c r="A467" s="15">
        <v>35</v>
      </c>
      <c r="B467" s="64"/>
      <c r="M467" s="65"/>
      <c r="O467" s="38"/>
      <c r="P467" s="39"/>
      <c r="Q467" s="39"/>
      <c r="R467" s="39"/>
      <c r="S467" s="39"/>
      <c r="T467" s="39"/>
      <c r="U467" s="39"/>
      <c r="V467" s="39"/>
      <c r="W467" s="39"/>
      <c r="X467" s="39"/>
      <c r="Y467" s="40"/>
    </row>
    <row r="468" spans="1:28" ht="14.1" customHeight="1">
      <c r="A468" s="15">
        <v>36</v>
      </c>
      <c r="B468" s="64"/>
      <c r="M468" s="65"/>
      <c r="O468"/>
      <c r="P468"/>
      <c r="Q468"/>
      <c r="R468"/>
      <c r="S468"/>
      <c r="T468"/>
      <c r="U468"/>
      <c r="V468"/>
      <c r="W468"/>
      <c r="X468"/>
      <c r="Y468"/>
      <c r="AA468"/>
      <c r="AB468"/>
    </row>
    <row r="469" spans="1:28" ht="14.1" customHeight="1">
      <c r="A469" s="15">
        <v>37</v>
      </c>
      <c r="B469" s="64"/>
      <c r="M469" s="65"/>
      <c r="O469"/>
      <c r="P469"/>
      <c r="Q469"/>
      <c r="R469"/>
      <c r="S469"/>
      <c r="T469"/>
      <c r="U469"/>
      <c r="V469"/>
      <c r="W469"/>
      <c r="X469"/>
      <c r="Y469"/>
      <c r="AA469"/>
      <c r="AB469"/>
    </row>
    <row r="470" spans="1:28" ht="14.1" customHeight="1">
      <c r="A470" s="15">
        <v>38</v>
      </c>
      <c r="B470" s="64"/>
      <c r="M470" s="65"/>
      <c r="O470"/>
      <c r="P470"/>
      <c r="Q470"/>
      <c r="R470"/>
      <c r="S470"/>
      <c r="T470"/>
      <c r="U470"/>
      <c r="V470"/>
      <c r="W470"/>
      <c r="X470"/>
      <c r="Y470"/>
      <c r="AA470"/>
      <c r="AB470"/>
    </row>
    <row r="471" spans="1:28" ht="14.1" customHeight="1">
      <c r="A471" s="15">
        <v>39</v>
      </c>
      <c r="B471" s="64"/>
      <c r="M471" s="65"/>
      <c r="O471"/>
      <c r="P471"/>
      <c r="Q471"/>
      <c r="R471"/>
      <c r="S471"/>
      <c r="T471"/>
      <c r="U471"/>
      <c r="V471"/>
      <c r="W471"/>
      <c r="X471"/>
      <c r="Y471"/>
      <c r="AA471"/>
      <c r="AB471"/>
    </row>
    <row r="472" spans="1:28" ht="14.1" customHeight="1">
      <c r="A472" s="15">
        <v>40</v>
      </c>
      <c r="B472" s="64"/>
      <c r="M472" s="65"/>
      <c r="O472"/>
      <c r="P472"/>
      <c r="Q472"/>
      <c r="R472"/>
      <c r="S472"/>
      <c r="T472"/>
      <c r="U472"/>
      <c r="V472"/>
      <c r="W472"/>
      <c r="X472"/>
      <c r="Y472"/>
      <c r="AA472"/>
      <c r="AB472"/>
    </row>
    <row r="473" spans="1:28" ht="14.1" customHeight="1">
      <c r="A473" s="15">
        <v>41</v>
      </c>
      <c r="B473" s="64"/>
      <c r="M473" s="65"/>
      <c r="O473"/>
      <c r="P473"/>
      <c r="Q473"/>
      <c r="R473"/>
      <c r="S473"/>
      <c r="T473"/>
      <c r="U473"/>
      <c r="V473"/>
      <c r="W473"/>
      <c r="X473"/>
      <c r="Y473"/>
      <c r="AA473"/>
      <c r="AB473"/>
    </row>
    <row r="474" spans="1:28" ht="14.1" customHeight="1">
      <c r="A474" s="15">
        <v>42</v>
      </c>
      <c r="B474" s="64"/>
      <c r="M474" s="65"/>
      <c r="O474"/>
      <c r="P474"/>
      <c r="Q474"/>
      <c r="R474"/>
      <c r="S474"/>
      <c r="T474"/>
      <c r="U474"/>
      <c r="V474"/>
      <c r="W474"/>
      <c r="X474"/>
      <c r="Y474"/>
      <c r="AA474"/>
      <c r="AB474"/>
    </row>
    <row r="475" spans="1:28" ht="14.1" customHeight="1">
      <c r="A475" s="15">
        <v>43</v>
      </c>
      <c r="B475" s="64"/>
      <c r="M475" s="65"/>
      <c r="O475"/>
      <c r="P475"/>
      <c r="Q475"/>
      <c r="R475"/>
      <c r="S475"/>
      <c r="T475"/>
      <c r="U475"/>
      <c r="V475"/>
      <c r="W475"/>
      <c r="X475"/>
      <c r="Y475"/>
    </row>
    <row r="476" spans="1:28" ht="14.1" customHeight="1">
      <c r="A476" s="15">
        <v>44</v>
      </c>
      <c r="B476" s="64"/>
      <c r="M476" s="65"/>
      <c r="O476"/>
      <c r="P476"/>
      <c r="Q476"/>
      <c r="R476"/>
      <c r="S476"/>
      <c r="T476"/>
      <c r="U476"/>
      <c r="V476"/>
      <c r="W476"/>
      <c r="X476"/>
      <c r="Y476"/>
    </row>
    <row r="477" spans="1:28" ht="14.1" customHeight="1">
      <c r="A477" s="15">
        <v>45</v>
      </c>
      <c r="B477" s="64"/>
      <c r="M477" s="65"/>
    </row>
    <row r="478" spans="1:28" ht="14.1" customHeight="1">
      <c r="A478" s="15">
        <v>46</v>
      </c>
      <c r="B478" s="64"/>
      <c r="M478" s="65"/>
    </row>
    <row r="479" spans="1:28" ht="14.1" customHeight="1">
      <c r="A479" s="15">
        <v>47</v>
      </c>
      <c r="B479" s="64"/>
      <c r="M479" s="65"/>
    </row>
    <row r="480" spans="1:28" ht="14.1" customHeight="1">
      <c r="A480" s="15">
        <v>48</v>
      </c>
      <c r="B480" s="64"/>
      <c r="M480" s="65"/>
    </row>
    <row r="481" spans="1:25" ht="14.1" customHeight="1">
      <c r="A481" s="15">
        <v>49</v>
      </c>
      <c r="B481" s="64"/>
      <c r="M481" s="65"/>
    </row>
    <row r="482" spans="1:25" ht="14.1" customHeight="1">
      <c r="A482" s="15">
        <v>50</v>
      </c>
      <c r="B482" s="64"/>
      <c r="M482" s="65"/>
    </row>
    <row r="483" spans="1:25" ht="14.1" customHeight="1">
      <c r="A483" s="15">
        <v>51</v>
      </c>
      <c r="B483" s="64"/>
      <c r="M483" s="65"/>
    </row>
    <row r="484" spans="1:25" ht="14.1" customHeight="1">
      <c r="A484" s="15">
        <v>52</v>
      </c>
      <c r="B484" s="64"/>
      <c r="M484" s="65"/>
    </row>
    <row r="485" spans="1:25" ht="14.1" customHeight="1">
      <c r="A485" s="15">
        <v>53</v>
      </c>
      <c r="B485" s="64"/>
      <c r="M485" s="65"/>
    </row>
    <row r="486" spans="1:25" ht="14.1" customHeight="1">
      <c r="A486" s="15">
        <v>54</v>
      </c>
      <c r="B486" s="64"/>
      <c r="M486" s="65"/>
    </row>
    <row r="487" spans="1:25" ht="14.1" customHeight="1">
      <c r="A487" s="15">
        <v>55</v>
      </c>
      <c r="B487" s="64"/>
      <c r="M487" s="65"/>
    </row>
    <row r="488" spans="1:25" ht="14.1" customHeight="1">
      <c r="A488" s="15">
        <v>56</v>
      </c>
      <c r="B488" s="64"/>
      <c r="M488" s="65"/>
      <c r="O488" s="450"/>
      <c r="P488" s="450"/>
      <c r="Q488" s="450"/>
      <c r="R488" s="450"/>
      <c r="S488" s="450"/>
      <c r="T488" s="451" t="s">
        <v>514</v>
      </c>
      <c r="U488" s="450"/>
      <c r="V488" s="450"/>
      <c r="W488" s="450"/>
      <c r="X488" s="450"/>
      <c r="Y488" s="450"/>
    </row>
    <row r="489" spans="1:25" ht="14.1" customHeight="1" thickBot="1">
      <c r="A489" s="15">
        <v>57</v>
      </c>
      <c r="B489" s="64"/>
      <c r="M489" s="65"/>
      <c r="O489" s="450"/>
      <c r="P489" s="452" t="s">
        <v>515</v>
      </c>
      <c r="Q489" s="450"/>
      <c r="R489" s="450"/>
      <c r="S489" s="450"/>
      <c r="T489" s="450"/>
      <c r="U489" s="450"/>
      <c r="V489" s="450"/>
      <c r="W489" s="450"/>
      <c r="X489" s="450"/>
      <c r="Y489" s="450"/>
    </row>
    <row r="490" spans="1:25" ht="14.1" customHeight="1" thickTop="1" thickBot="1">
      <c r="A490" s="15">
        <v>58</v>
      </c>
      <c r="B490" s="75"/>
      <c r="C490" s="76"/>
      <c r="D490" s="76"/>
      <c r="E490" s="76"/>
      <c r="F490" s="76"/>
      <c r="G490" s="76"/>
      <c r="H490" s="76"/>
      <c r="I490" s="76"/>
      <c r="J490" s="76"/>
      <c r="K490" s="76"/>
      <c r="L490" s="76"/>
      <c r="M490" s="77"/>
      <c r="O490" s="453"/>
      <c r="P490" s="454"/>
      <c r="Q490" s="454"/>
      <c r="R490" s="455"/>
      <c r="S490" s="456" t="s">
        <v>516</v>
      </c>
      <c r="T490" s="454"/>
      <c r="U490" s="454"/>
      <c r="V490" s="454"/>
      <c r="W490" s="454"/>
      <c r="X490" s="454"/>
      <c r="Y490" s="457"/>
    </row>
    <row r="491" spans="1:25" ht="14.1" customHeight="1" thickTop="1">
      <c r="A491" s="15">
        <v>59</v>
      </c>
      <c r="O491" s="458"/>
      <c r="P491" s="459" t="s">
        <v>213</v>
      </c>
      <c r="Q491" s="460"/>
      <c r="R491" s="461"/>
      <c r="S491" s="462" t="str">
        <f>IF(OR(AD720=0,AD720=""),"",AD720)</f>
        <v/>
      </c>
      <c r="T491" s="463"/>
      <c r="U491" s="463"/>
      <c r="V491" s="463"/>
      <c r="W491" s="463"/>
      <c r="X491" s="463"/>
      <c r="Y491" s="464"/>
    </row>
    <row r="492" spans="1:25" ht="14.1" customHeight="1">
      <c r="A492" s="15">
        <v>60</v>
      </c>
      <c r="O492" s="465"/>
      <c r="P492" s="466" t="s">
        <v>517</v>
      </c>
      <c r="Q492" s="467"/>
      <c r="R492" s="468">
        <f>LEN(Q491)</f>
        <v>0</v>
      </c>
      <c r="S492" s="469"/>
      <c r="T492" s="470">
        <f>LEN(S491)</f>
        <v>0</v>
      </c>
      <c r="U492" s="471"/>
      <c r="V492" s="472"/>
      <c r="W492" s="472"/>
      <c r="X492" s="472"/>
      <c r="Y492" s="473"/>
    </row>
    <row r="493" spans="1:25" ht="14.1" customHeight="1">
      <c r="A493" s="15">
        <v>61</v>
      </c>
      <c r="O493" s="465"/>
      <c r="P493" s="459" t="s">
        <v>518</v>
      </c>
      <c r="Q493" s="460"/>
      <c r="R493" s="461"/>
      <c r="S493" s="462" t="str">
        <f>IF(OR(AD722=0,AD722=""),"",AD722)</f>
        <v/>
      </c>
      <c r="T493" s="463"/>
      <c r="U493" s="463"/>
      <c r="V493" s="463"/>
      <c r="W493" s="463"/>
      <c r="X493" s="463"/>
      <c r="Y493" s="464"/>
    </row>
    <row r="494" spans="1:25" ht="14.1" customHeight="1">
      <c r="A494" s="15">
        <v>62</v>
      </c>
      <c r="O494" s="465"/>
      <c r="P494" s="466" t="s">
        <v>517</v>
      </c>
      <c r="Q494" s="467"/>
      <c r="R494" s="468">
        <f>LEN(Q493)</f>
        <v>0</v>
      </c>
      <c r="S494" s="469"/>
      <c r="T494" s="470">
        <f>LEN(S493)</f>
        <v>0</v>
      </c>
      <c r="U494" s="471"/>
      <c r="V494" s="463"/>
      <c r="W494" s="463"/>
      <c r="X494" s="463"/>
      <c r="Y494" s="464"/>
    </row>
    <row r="495" spans="1:25" ht="14.1" customHeight="1">
      <c r="A495" s="15">
        <v>63</v>
      </c>
      <c r="O495" s="474"/>
      <c r="P495" s="459" t="s">
        <v>518</v>
      </c>
      <c r="Q495" s="460"/>
      <c r="R495" s="461"/>
      <c r="S495" s="462" t="str">
        <f>IF(OR(AD724=0,AD724=""),"",AD724)</f>
        <v/>
      </c>
      <c r="T495" s="472"/>
      <c r="U495" s="472"/>
      <c r="V495" s="472"/>
      <c r="W495" s="472"/>
      <c r="X495" s="472"/>
      <c r="Y495" s="473"/>
    </row>
    <row r="496" spans="1:25" ht="14.1" customHeight="1">
      <c r="A496" s="15">
        <v>64</v>
      </c>
      <c r="O496" s="465"/>
      <c r="P496" s="466" t="s">
        <v>517</v>
      </c>
      <c r="Q496" s="467"/>
      <c r="R496" s="468">
        <f>LEN(Q495)</f>
        <v>0</v>
      </c>
      <c r="S496" s="469"/>
      <c r="T496" s="470">
        <f>LEN(S495)</f>
        <v>0</v>
      </c>
      <c r="U496" s="471"/>
      <c r="V496" s="463"/>
      <c r="W496" s="463"/>
      <c r="X496" s="463"/>
      <c r="Y496" s="464"/>
    </row>
    <row r="497" spans="1:25" ht="14.1" customHeight="1">
      <c r="A497" s="15">
        <v>65</v>
      </c>
      <c r="O497" s="465"/>
      <c r="P497" s="459" t="s">
        <v>518</v>
      </c>
      <c r="Q497" s="460"/>
      <c r="R497" s="461"/>
      <c r="S497" s="462" t="str">
        <f>IF(OR(AD726=0,AD726=""),"",AD726)</f>
        <v/>
      </c>
      <c r="T497" s="463"/>
      <c r="U497" s="463"/>
      <c r="V497" s="463"/>
      <c r="W497" s="463"/>
      <c r="X497" s="463"/>
      <c r="Y497" s="464"/>
    </row>
    <row r="498" spans="1:25" ht="14.1" customHeight="1">
      <c r="A498" s="15">
        <v>66</v>
      </c>
      <c r="O498" s="474"/>
      <c r="P498" s="466" t="s">
        <v>517</v>
      </c>
      <c r="Q498" s="467"/>
      <c r="R498" s="468">
        <f>LEN(Q497)</f>
        <v>0</v>
      </c>
      <c r="S498" s="469"/>
      <c r="T498" s="470">
        <f>LEN(S497)</f>
        <v>0</v>
      </c>
      <c r="U498" s="471"/>
      <c r="V498" s="472"/>
      <c r="W498" s="472"/>
      <c r="X498" s="472"/>
      <c r="Y498" s="473"/>
    </row>
    <row r="499" spans="1:25" ht="14.1" customHeight="1">
      <c r="A499" s="15">
        <v>67</v>
      </c>
      <c r="O499" s="465"/>
      <c r="P499" s="459" t="s">
        <v>518</v>
      </c>
      <c r="Q499" s="460"/>
      <c r="R499" s="461"/>
      <c r="S499" s="462" t="str">
        <f>IF(OR(AD728=0,AD728=""),"",AD728)</f>
        <v/>
      </c>
      <c r="T499" s="463"/>
      <c r="U499" s="463"/>
      <c r="V499" s="463"/>
      <c r="W499" s="463"/>
      <c r="X499" s="463"/>
      <c r="Y499" s="464"/>
    </row>
    <row r="500" spans="1:25" ht="14.1" customHeight="1">
      <c r="A500" s="15">
        <v>68</v>
      </c>
      <c r="O500" s="465"/>
      <c r="P500" s="466" t="s">
        <v>517</v>
      </c>
      <c r="Q500" s="467"/>
      <c r="R500" s="468">
        <f>LEN(Q499)</f>
        <v>0</v>
      </c>
      <c r="S500" s="469"/>
      <c r="T500" s="470">
        <f>LEN(S499)</f>
        <v>0</v>
      </c>
      <c r="U500" s="471"/>
      <c r="V500" s="463"/>
      <c r="W500" s="463"/>
      <c r="X500" s="463"/>
      <c r="Y500" s="464"/>
    </row>
    <row r="501" spans="1:25" ht="14.1" customHeight="1">
      <c r="A501" s="15">
        <v>69</v>
      </c>
      <c r="O501" s="474"/>
      <c r="P501" s="459" t="s">
        <v>518</v>
      </c>
      <c r="Q501" s="460"/>
      <c r="R501" s="461"/>
      <c r="S501" s="462" t="str">
        <f>IF(OR(AD730=0,AD730=""),"",AD730)</f>
        <v/>
      </c>
      <c r="T501" s="472"/>
      <c r="U501" s="472"/>
      <c r="V501" s="472"/>
      <c r="W501" s="472"/>
      <c r="X501" s="472"/>
      <c r="Y501" s="473"/>
    </row>
    <row r="502" spans="1:25" ht="14.1" customHeight="1">
      <c r="A502" s="15">
        <v>70</v>
      </c>
      <c r="O502" s="465"/>
      <c r="P502" s="466" t="s">
        <v>517</v>
      </c>
      <c r="Q502" s="475"/>
      <c r="R502" s="476">
        <f>LEN(Q501)</f>
        <v>0</v>
      </c>
      <c r="S502" s="477"/>
      <c r="T502" s="478">
        <f>LEN(S501)</f>
        <v>0</v>
      </c>
      <c r="U502" s="479"/>
      <c r="V502" s="480"/>
      <c r="W502" s="480"/>
      <c r="X502" s="480"/>
      <c r="Y502" s="464"/>
    </row>
    <row r="503" spans="1:25" ht="14.1" customHeight="1">
      <c r="A503" s="15">
        <v>71</v>
      </c>
      <c r="C503" s="102" t="s">
        <v>8</v>
      </c>
      <c r="D503" s="320" t="str">
        <f>IF($P$7="","",$P$7)</f>
        <v/>
      </c>
      <c r="E503" s="25"/>
      <c r="F503" s="25"/>
      <c r="G503" s="25"/>
      <c r="H503" s="25"/>
      <c r="I503" s="25"/>
      <c r="J503" s="25"/>
      <c r="K503" s="25"/>
      <c r="L503" s="102" t="s">
        <v>9</v>
      </c>
      <c r="M503" s="321" t="str">
        <f>IF($X$7="","",$X$7)</f>
        <v>Eugene Mah</v>
      </c>
      <c r="O503" s="465"/>
      <c r="P503" s="459" t="s">
        <v>518</v>
      </c>
      <c r="Q503" s="460"/>
      <c r="R503" s="461"/>
      <c r="S503" s="462" t="str">
        <f>IF(OR(AD732=0,AD732=""),"",AD732)</f>
        <v/>
      </c>
      <c r="T503" s="472"/>
      <c r="U503" s="472"/>
      <c r="V503" s="472"/>
      <c r="W503" s="472"/>
      <c r="X503" s="472"/>
      <c r="Y503" s="464"/>
    </row>
    <row r="504" spans="1:25" ht="14.1" customHeight="1">
      <c r="A504" s="15">
        <v>72</v>
      </c>
      <c r="C504" s="102" t="s">
        <v>111</v>
      </c>
      <c r="D504" s="321" t="str">
        <f>IF($R$14="","",$R$14)</f>
        <v/>
      </c>
      <c r="E504" s="25"/>
      <c r="F504" s="25"/>
      <c r="G504" s="25"/>
      <c r="H504" s="25"/>
      <c r="I504" s="25"/>
      <c r="J504" s="25"/>
      <c r="K504" s="25"/>
      <c r="L504" s="102" t="s">
        <v>29</v>
      </c>
      <c r="M504" s="321" t="str">
        <f>IF($R$13="","",$R$13)</f>
        <v/>
      </c>
      <c r="O504" s="474"/>
      <c r="P504" s="466" t="s">
        <v>517</v>
      </c>
      <c r="Q504" s="475"/>
      <c r="R504" s="476">
        <f>LEN(Q503)</f>
        <v>0</v>
      </c>
      <c r="S504" s="477"/>
      <c r="T504" s="478">
        <f>LEN(S503)</f>
        <v>0</v>
      </c>
      <c r="U504" s="479"/>
      <c r="V504" s="480"/>
      <c r="W504" s="480"/>
      <c r="X504" s="480"/>
      <c r="Y504" s="473"/>
    </row>
    <row r="505" spans="1:25" ht="14.1" customHeight="1">
      <c r="O505" s="465"/>
      <c r="P505" s="459" t="s">
        <v>518</v>
      </c>
      <c r="Q505" s="460"/>
      <c r="R505" s="461"/>
      <c r="S505" s="462" t="str">
        <f>IF(OR(AD734=0,AD734=""),"",AD734)</f>
        <v/>
      </c>
      <c r="T505" s="472"/>
      <c r="U505" s="472"/>
      <c r="V505" s="472"/>
      <c r="W505" s="472"/>
      <c r="X505" s="472"/>
      <c r="Y505" s="464"/>
    </row>
    <row r="506" spans="1:25" ht="14.1" customHeight="1">
      <c r="O506" s="465"/>
      <c r="P506" s="466" t="s">
        <v>517</v>
      </c>
      <c r="Q506" s="475"/>
      <c r="R506" s="476">
        <f>LEN(Q505)</f>
        <v>0</v>
      </c>
      <c r="S506" s="477"/>
      <c r="T506" s="478">
        <f>LEN(S505)</f>
        <v>0</v>
      </c>
      <c r="U506" s="479"/>
      <c r="V506" s="480"/>
      <c r="W506" s="480"/>
      <c r="X506" s="480"/>
      <c r="Y506" s="464"/>
    </row>
    <row r="507" spans="1:25" ht="14.1" customHeight="1">
      <c r="O507" s="474"/>
      <c r="P507" s="459"/>
      <c r="Q507" s="483"/>
      <c r="R507" s="484"/>
      <c r="S507" s="485"/>
      <c r="T507" s="486"/>
      <c r="U507" s="486"/>
      <c r="V507" s="486"/>
      <c r="W507" s="486"/>
      <c r="X507" s="486"/>
      <c r="Y507" s="473"/>
    </row>
    <row r="508" spans="1:25" ht="14.1" customHeight="1">
      <c r="O508" s="465"/>
      <c r="P508" s="466"/>
      <c r="Q508" s="475"/>
      <c r="R508" s="476"/>
      <c r="S508" s="476"/>
      <c r="T508" s="476"/>
      <c r="U508" s="488"/>
      <c r="V508" s="480"/>
      <c r="W508" s="480"/>
      <c r="X508" s="480"/>
      <c r="Y508" s="464"/>
    </row>
    <row r="509" spans="1:25" ht="14.1" customHeight="1">
      <c r="O509" s="465"/>
      <c r="P509" s="486"/>
      <c r="Q509" s="489"/>
      <c r="R509" s="484"/>
      <c r="S509" s="485"/>
      <c r="T509" s="480"/>
      <c r="U509" s="480"/>
      <c r="V509" s="480"/>
      <c r="W509" s="480"/>
      <c r="X509" s="480"/>
      <c r="Y509" s="464"/>
    </row>
    <row r="510" spans="1:25" ht="14.1" customHeight="1">
      <c r="O510" s="474"/>
      <c r="P510" s="491"/>
      <c r="Q510" s="491"/>
      <c r="R510" s="484"/>
      <c r="S510" s="486"/>
      <c r="T510" s="486"/>
      <c r="U510" s="486"/>
      <c r="V510" s="486"/>
      <c r="W510" s="486"/>
      <c r="X510" s="486"/>
      <c r="Y510" s="473"/>
    </row>
    <row r="511" spans="1:25" ht="14.1" customHeight="1">
      <c r="O511" s="465"/>
      <c r="P511" s="491"/>
      <c r="Q511" s="491"/>
      <c r="R511" s="484"/>
      <c r="S511" s="480"/>
      <c r="T511" s="480"/>
      <c r="U511" s="480"/>
      <c r="V511" s="480"/>
      <c r="W511" s="480"/>
      <c r="X511" s="480"/>
      <c r="Y511" s="464"/>
    </row>
    <row r="512" spans="1:25" ht="14.1" customHeight="1">
      <c r="O512" s="465"/>
      <c r="P512" s="491"/>
      <c r="Q512" s="491"/>
      <c r="R512" s="484"/>
      <c r="S512" s="480"/>
      <c r="T512" s="480"/>
      <c r="U512" s="480"/>
      <c r="V512" s="480"/>
      <c r="W512" s="480"/>
      <c r="X512" s="480"/>
      <c r="Y512" s="464"/>
    </row>
    <row r="513" spans="15:25" ht="14.1" customHeight="1">
      <c r="O513" s="474"/>
      <c r="P513" s="491"/>
      <c r="Q513" s="491"/>
      <c r="R513" s="484"/>
      <c r="S513" s="493"/>
      <c r="T513" s="486"/>
      <c r="U513" s="486"/>
      <c r="V513" s="480"/>
      <c r="W513" s="480"/>
      <c r="X513" s="480"/>
      <c r="Y513" s="473"/>
    </row>
    <row r="514" spans="15:25" ht="14.1" customHeight="1">
      <c r="O514" s="465"/>
      <c r="P514" s="491"/>
      <c r="Q514" s="491"/>
      <c r="R514" s="484"/>
      <c r="S514" s="480"/>
      <c r="T514" s="484"/>
      <c r="U514" s="480"/>
      <c r="V514" s="484"/>
      <c r="W514" s="480"/>
      <c r="X514" s="480"/>
      <c r="Y514" s="464"/>
    </row>
    <row r="515" spans="15:25" ht="14.1" customHeight="1">
      <c r="O515" s="465"/>
      <c r="P515" s="491"/>
      <c r="Q515" s="491"/>
      <c r="R515" s="484"/>
      <c r="S515" s="480"/>
      <c r="T515" s="484"/>
      <c r="U515" s="480"/>
      <c r="V515" s="484"/>
      <c r="W515" s="480"/>
      <c r="X515" s="480"/>
      <c r="Y515" s="464"/>
    </row>
    <row r="516" spans="15:25" ht="14.1" customHeight="1">
      <c r="O516" s="474"/>
      <c r="P516" s="491"/>
      <c r="Q516" s="491"/>
      <c r="R516" s="484"/>
      <c r="S516" s="480"/>
      <c r="T516" s="484"/>
      <c r="U516" s="480"/>
      <c r="V516" s="484"/>
      <c r="W516" s="480"/>
      <c r="X516" s="480"/>
      <c r="Y516" s="473"/>
    </row>
    <row r="517" spans="15:25" ht="14.1" customHeight="1" thickBot="1">
      <c r="O517" s="494"/>
      <c r="P517" s="495"/>
      <c r="Q517" s="496"/>
      <c r="R517" s="497"/>
      <c r="S517" s="495"/>
      <c r="T517" s="495"/>
      <c r="U517" s="495"/>
      <c r="V517" s="495"/>
      <c r="W517" s="495"/>
      <c r="X517" s="495"/>
      <c r="Y517" s="498"/>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C229:C230">
    <cfRule type="cellIs" dxfId="152" priority="48" operator="equal">
      <formula>"NO"</formula>
    </cfRule>
    <cfRule type="cellIs" dxfId="151" priority="49" operator="equal">
      <formula>"TBD"</formula>
    </cfRule>
  </conditionalFormatting>
  <conditionalFormatting sqref="C427:C429">
    <cfRule type="cellIs" dxfId="150" priority="37" operator="equal">
      <formula>"Fail"</formula>
    </cfRule>
  </conditionalFormatting>
  <conditionalFormatting sqref="D421:E421">
    <cfRule type="cellIs" dxfId="149" priority="6" operator="lessThan">
      <formula>4</formula>
    </cfRule>
  </conditionalFormatting>
  <conditionalFormatting sqref="D422:E423">
    <cfRule type="cellIs" dxfId="148" priority="5" operator="lessThan">
      <formula>3</formula>
    </cfRule>
  </conditionalFormatting>
  <conditionalFormatting sqref="D378:F378 Q425:S425">
    <cfRule type="cellIs" dxfId="147" priority="34" operator="equal">
      <formula>"Fail"</formula>
    </cfRule>
  </conditionalFormatting>
  <conditionalFormatting sqref="E343">
    <cfRule type="cellIs" dxfId="146" priority="167" stopIfTrue="1" operator="equal">
      <formula>"Pass"</formula>
    </cfRule>
    <cfRule type="cellIs" dxfId="145" priority="168" stopIfTrue="1" operator="equal">
      <formula>"Fail"</formula>
    </cfRule>
  </conditionalFormatting>
  <conditionalFormatting sqref="E414:E416">
    <cfRule type="cellIs" dxfId="144" priority="8" operator="greaterThan">
      <formula>0.9</formula>
    </cfRule>
  </conditionalFormatting>
  <conditionalFormatting sqref="F279">
    <cfRule type="cellIs" dxfId="143" priority="13" operator="greaterThan">
      <formula>$G$279</formula>
    </cfRule>
  </conditionalFormatting>
  <conditionalFormatting sqref="F280">
    <cfRule type="cellIs" dxfId="142" priority="12" operator="greaterThan">
      <formula>$G$280</formula>
    </cfRule>
  </conditionalFormatting>
  <conditionalFormatting sqref="F281">
    <cfRule type="cellIs" dxfId="141" priority="11" operator="greaterThan">
      <formula>$G$281</formula>
    </cfRule>
  </conditionalFormatting>
  <conditionalFormatting sqref="F407:F409 G414:G416">
    <cfRule type="cellIs" dxfId="140" priority="29" operator="equal">
      <formula>"Fail"</formula>
    </cfRule>
  </conditionalFormatting>
  <conditionalFormatting sqref="F414:F416">
    <cfRule type="cellIs" dxfId="139" priority="7" operator="greaterThan">
      <formula>0.6</formula>
    </cfRule>
  </conditionalFormatting>
  <conditionalFormatting sqref="H194:H196">
    <cfRule type="cellIs" dxfId="138" priority="52" operator="equal">
      <formula>"Fail"</formula>
    </cfRule>
  </conditionalFormatting>
  <conditionalFormatting sqref="H205">
    <cfRule type="cellIs" dxfId="137" priority="51" operator="equal">
      <formula>"Fail"</formula>
    </cfRule>
  </conditionalFormatting>
  <conditionalFormatting sqref="H279:H281">
    <cfRule type="cellIs" dxfId="136" priority="42" operator="equal">
      <formula>"Fail"</formula>
    </cfRule>
  </conditionalFormatting>
  <conditionalFormatting sqref="H395:J395">
    <cfRule type="cellIs" dxfId="135" priority="4" operator="lessThan">
      <formula>5</formula>
    </cfRule>
  </conditionalFormatting>
  <conditionalFormatting sqref="H396:J397">
    <cfRule type="cellIs" dxfId="134" priority="3" operator="lessThan">
      <formula>4</formula>
    </cfRule>
  </conditionalFormatting>
  <conditionalFormatting sqref="H398:J398 Q454:S454">
    <cfRule type="cellIs" dxfId="133" priority="32" operator="equal">
      <formula>"Fail"</formula>
    </cfRule>
  </conditionalFormatting>
  <conditionalFormatting sqref="I366:I368">
    <cfRule type="cellIs" dxfId="132" priority="1" operator="equal">
      <formula>"Fail"</formula>
    </cfRule>
  </conditionalFormatting>
  <conditionalFormatting sqref="J154:J156">
    <cfRule type="cellIs" dxfId="131" priority="59" operator="equal">
      <formula>"TBD"</formula>
    </cfRule>
  </conditionalFormatting>
  <conditionalFormatting sqref="J156 P360:Q360 D424:E424">
    <cfRule type="cellIs" dxfId="130" priority="58" operator="equal">
      <formula>"Fail"</formula>
    </cfRule>
  </conditionalFormatting>
  <conditionalFormatting sqref="J343">
    <cfRule type="cellIs" dxfId="129" priority="165" stopIfTrue="1" operator="equal">
      <formula>"Pass"</formula>
    </cfRule>
    <cfRule type="cellIs" dxfId="128" priority="166" stopIfTrue="1" operator="equal">
      <formula>"Fail"</formula>
    </cfRule>
  </conditionalFormatting>
  <conditionalFormatting sqref="K154:K155">
    <cfRule type="cellIs" dxfId="127" priority="60" operator="equal">
      <formula>"NO"</formula>
    </cfRule>
  </conditionalFormatting>
  <conditionalFormatting sqref="K226">
    <cfRule type="cellIs" dxfId="126" priority="50" operator="equal">
      <formula>"Fail"</formula>
    </cfRule>
  </conditionalFormatting>
  <conditionalFormatting sqref="K270">
    <cfRule type="cellIs" dxfId="125" priority="43" operator="greaterThan">
      <formula>3</formula>
    </cfRule>
  </conditionalFormatting>
  <conditionalFormatting sqref="L45:L50 L52:L64 L76:L107 L109:L125 L128:L132 L135:L141">
    <cfRule type="cellIs" dxfId="124" priority="62" operator="equal">
      <formula>"TBD"</formula>
    </cfRule>
  </conditionalFormatting>
  <conditionalFormatting sqref="L181">
    <cfRule type="cellIs" dxfId="123" priority="53" operator="equal">
      <formula>"NO"</formula>
    </cfRule>
  </conditionalFormatting>
  <conditionalFormatting sqref="L302 L307 L312">
    <cfRule type="cellIs" dxfId="122" priority="14" operator="equal">
      <formula>"Fail"</formula>
    </cfRule>
  </conditionalFormatting>
  <conditionalFormatting sqref="L383:L384">
    <cfRule type="cellIs" dxfId="121" priority="26" operator="equal">
      <formula>"Fail"</formula>
    </cfRule>
  </conditionalFormatting>
  <conditionalFormatting sqref="M45:M50 M52:M64 M76:M107 M109:M125 M128:M132 M135:M141">
    <cfRule type="cellIs" dxfId="120" priority="63" operator="equal">
      <formula>"NO"</formula>
    </cfRule>
  </conditionalFormatting>
  <conditionalFormatting sqref="M283">
    <cfRule type="cellIs" dxfId="119" priority="39" operator="equal">
      <formula>"Fail"</formula>
    </cfRule>
  </conditionalFormatting>
  <conditionalFormatting sqref="M353">
    <cfRule type="cellIs" dxfId="118" priority="24" operator="equal">
      <formula>"Fail"</formula>
    </cfRule>
  </conditionalFormatting>
  <conditionalFormatting sqref="P313:P315">
    <cfRule type="cellIs" dxfId="117" priority="70" operator="between">
      <formula>$R$310*0.98</formula>
      <formula>$R$310*1.02</formula>
    </cfRule>
  </conditionalFormatting>
  <conditionalFormatting sqref="P357:Q357">
    <cfRule type="cellIs" dxfId="116" priority="106" operator="lessThan">
      <formula>4</formula>
    </cfRule>
    <cfRule type="cellIs" dxfId="115" priority="107" operator="greaterThanOrEqual">
      <formula>4</formula>
    </cfRule>
  </conditionalFormatting>
  <conditionalFormatting sqref="P358:Q359">
    <cfRule type="cellIs" dxfId="114" priority="104" operator="lessThan">
      <formula>3</formula>
    </cfRule>
    <cfRule type="cellIs" dxfId="113" priority="105" operator="greaterThanOrEqual">
      <formula>3</formula>
    </cfRule>
  </conditionalFormatting>
  <conditionalFormatting sqref="P401:S401">
    <cfRule type="cellIs" dxfId="112" priority="195" operator="greaterThan">
      <formula>0.02</formula>
    </cfRule>
    <cfRule type="cellIs" dxfId="111" priority="196" operator="lessThan">
      <formula>0.02</formula>
    </cfRule>
  </conditionalFormatting>
  <conditionalFormatting sqref="P239:V239">
    <cfRule type="cellIs" dxfId="110" priority="211" operator="lessThan">
      <formula>0.05</formula>
    </cfRule>
    <cfRule type="cellIs" dxfId="109" priority="212" operator="greaterThan">
      <formula>0.05</formula>
    </cfRule>
  </conditionalFormatting>
  <conditionalFormatting sqref="Q313:Q315">
    <cfRule type="cellIs" dxfId="108" priority="69" operator="between">
      <formula>$R$311*0.98</formula>
      <formula>$R$311*1.02</formula>
    </cfRule>
  </conditionalFormatting>
  <conditionalFormatting sqref="Q349 T349 W349">
    <cfRule type="cellIs" dxfId="107" priority="91" operator="lessThan">
      <formula>0.9</formula>
    </cfRule>
    <cfRule type="cellIs" dxfId="106" priority="92" operator="greaterThanOrEqual">
      <formula>0.9</formula>
    </cfRule>
  </conditionalFormatting>
  <conditionalFormatting sqref="Q350 T350 W350">
    <cfRule type="cellIs" dxfId="105" priority="89" operator="lessThan">
      <formula>0.6</formula>
    </cfRule>
    <cfRule type="cellIs" dxfId="104" priority="90" operator="greaterThanOrEqual">
      <formula>0.6</formula>
    </cfRule>
  </conditionalFormatting>
  <conditionalFormatting sqref="Q392">
    <cfRule type="cellIs" dxfId="103" priority="231" stopIfTrue="1" operator="equal">
      <formula>"Pass"</formula>
    </cfRule>
    <cfRule type="cellIs" dxfId="102" priority="232" stopIfTrue="1" operator="equal">
      <formula>"Fail"</formula>
    </cfRule>
  </conditionalFormatting>
  <conditionalFormatting sqref="Q407">
    <cfRule type="cellIs" dxfId="101" priority="233" stopIfTrue="1" operator="equal">
      <formula>"Pass"</formula>
    </cfRule>
    <cfRule type="cellIs" dxfId="100" priority="234" stopIfTrue="1" operator="equal">
      <formula>"Fail"</formula>
    </cfRule>
  </conditionalFormatting>
  <conditionalFormatting sqref="Q210:R210">
    <cfRule type="cellIs" dxfId="99" priority="117" operator="lessThan">
      <formula>6</formula>
    </cfRule>
    <cfRule type="cellIs" dxfId="98" priority="118" operator="greaterThan">
      <formula>6</formula>
    </cfRule>
  </conditionalFormatting>
  <conditionalFormatting sqref="Q211:R211">
    <cfRule type="containsText" dxfId="97" priority="186" operator="containsText" text="Fail">
      <formula>NOT(ISERROR(SEARCH("Fail",Q211)))</formula>
    </cfRule>
    <cfRule type="containsText" dxfId="96" priority="187" operator="containsText" text="Pass">
      <formula>NOT(ISERROR(SEARCH("Pass",Q211)))</formula>
    </cfRule>
  </conditionalFormatting>
  <conditionalFormatting sqref="Q166:S166">
    <cfRule type="cellIs" dxfId="95" priority="9" operator="equal">
      <formula>"Pass"</formula>
    </cfRule>
    <cfRule type="cellIs" dxfId="94" priority="10" operator="equal">
      <formula>"Fail"</formula>
    </cfRule>
  </conditionalFormatting>
  <conditionalFormatting sqref="Q188:S189 U188:W189">
    <cfRule type="cellIs" dxfId="93" priority="207" operator="lessThan">
      <formula>13</formula>
    </cfRule>
    <cfRule type="cellIs" dxfId="92" priority="208" operator="greaterThan">
      <formula>13</formula>
    </cfRule>
  </conditionalFormatting>
  <conditionalFormatting sqref="Q200:S200 U200:W200">
    <cfRule type="cellIs" dxfId="91" priority="205" operator="lessThan">
      <formula>6.5</formula>
    </cfRule>
    <cfRule type="cellIs" dxfId="90" priority="206" operator="greaterThan">
      <formula>6.5</formula>
    </cfRule>
  </conditionalFormatting>
  <conditionalFormatting sqref="Q201:S201 U201:W201">
    <cfRule type="cellIs" dxfId="89" priority="203" operator="lessThan">
      <formula>5</formula>
    </cfRule>
    <cfRule type="cellIs" dxfId="88" priority="204" operator="greaterThan">
      <formula>5</formula>
    </cfRule>
  </conditionalFormatting>
  <conditionalFormatting sqref="Q254:S254">
    <cfRule type="cellIs" dxfId="87" priority="161" operator="lessThan">
      <formula>0.07</formula>
    </cfRule>
    <cfRule type="cellIs" dxfId="86" priority="162" operator="greaterThan">
      <formula>0.07</formula>
    </cfRule>
  </conditionalFormatting>
  <conditionalFormatting sqref="Q255:S255 D260:F260">
    <cfRule type="cellIs" dxfId="85" priority="45" operator="equal">
      <formula>"Fail"</formula>
    </cfRule>
  </conditionalFormatting>
  <conditionalFormatting sqref="Q255:S255">
    <cfRule type="cellIs" dxfId="84" priority="44" operator="equal">
      <formula>"Pass"</formula>
    </cfRule>
  </conditionalFormatting>
  <conditionalFormatting sqref="Q260:S260">
    <cfRule type="cellIs" dxfId="83" priority="22" stopIfTrue="1" operator="equal">
      <formula>"Pass"</formula>
    </cfRule>
    <cfRule type="cellIs" dxfId="82" priority="23" stopIfTrue="1" operator="equal">
      <formula>"Fail"</formula>
    </cfRule>
  </conditionalFormatting>
  <conditionalFormatting sqref="Q423:S423">
    <cfRule type="cellIs" dxfId="81" priority="97" operator="lessThan">
      <formula>0.28</formula>
    </cfRule>
    <cfRule type="cellIs" dxfId="80" priority="98" operator="greaterThan">
      <formula>0.28</formula>
    </cfRule>
  </conditionalFormatting>
  <conditionalFormatting sqref="Q424:S424">
    <cfRule type="cellIs" dxfId="79" priority="16" operator="lessThan">
      <formula>0.02</formula>
    </cfRule>
    <cfRule type="cellIs" dxfId="78" priority="17" operator="greaterThan">
      <formula>0.02</formula>
    </cfRule>
  </conditionalFormatting>
  <conditionalFormatting sqref="Q425:S425">
    <cfRule type="cellIs" dxfId="77" priority="35" operator="equal">
      <formula>"Pass"</formula>
    </cfRule>
  </conditionalFormatting>
  <conditionalFormatting sqref="Q454:S454">
    <cfRule type="cellIs" dxfId="76" priority="33" operator="equal">
      <formula>"Pass"</formula>
    </cfRule>
  </conditionalFormatting>
  <conditionalFormatting sqref="R141">
    <cfRule type="cellIs" dxfId="75" priority="77" operator="equal">
      <formula>"Pass"</formula>
    </cfRule>
    <cfRule type="cellIs" dxfId="74" priority="78" operator="equal">
      <formula>"Fail"</formula>
    </cfRule>
  </conditionalFormatting>
  <conditionalFormatting sqref="R147:R154">
    <cfRule type="cellIs" dxfId="73" priority="121" operator="lessThan">
      <formula>0.5</formula>
    </cfRule>
    <cfRule type="cellIs" dxfId="72" priority="122" operator="greaterThan">
      <formula>0.5</formula>
    </cfRule>
  </conditionalFormatting>
  <conditionalFormatting sqref="R313:R315">
    <cfRule type="cellIs" dxfId="71" priority="30" operator="equal">
      <formula>"Fail"</formula>
    </cfRule>
    <cfRule type="cellIs" dxfId="70" priority="31" operator="equal">
      <formula>"Pass"</formula>
    </cfRule>
  </conditionalFormatting>
  <conditionalFormatting sqref="R349:R350 U349:U350 X349:X350">
    <cfRule type="containsText" dxfId="69" priority="154" operator="containsText" text="Pass">
      <formula>NOT(ISERROR(SEARCH("Pass",R349)))</formula>
    </cfRule>
    <cfRule type="containsText" dxfId="68" priority="155" operator="containsText" text="Fail">
      <formula>NOT(ISERROR(SEARCH("Fail",R349)))</formula>
    </cfRule>
  </conditionalFormatting>
  <conditionalFormatting sqref="S274">
    <cfRule type="cellIs" dxfId="67" priority="87" operator="lessThan">
      <formula>$U$274</formula>
    </cfRule>
    <cfRule type="cellIs" dxfId="66" priority="88" operator="greaterThan">
      <formula>$U$274</formula>
    </cfRule>
  </conditionalFormatting>
  <conditionalFormatting sqref="S275">
    <cfRule type="cellIs" dxfId="65" priority="85" operator="lessThan">
      <formula>$U$275</formula>
    </cfRule>
    <cfRule type="cellIs" dxfId="64" priority="86" operator="greaterThan">
      <formula>$U$274</formula>
    </cfRule>
  </conditionalFormatting>
  <conditionalFormatting sqref="S276">
    <cfRule type="cellIs" dxfId="63" priority="83" operator="lessThan">
      <formula>$U$276</formula>
    </cfRule>
    <cfRule type="cellIs" dxfId="62" priority="84" operator="greaterThan">
      <formula>$U$276</formula>
    </cfRule>
  </conditionalFormatting>
  <conditionalFormatting sqref="S306:T306">
    <cfRule type="cellIs" dxfId="61" priority="112" operator="lessThan">
      <formula>3</formula>
    </cfRule>
    <cfRule type="cellIs" dxfId="60" priority="113" operator="greaterThanOrEqual">
      <formula>3</formula>
    </cfRule>
  </conditionalFormatting>
  <conditionalFormatting sqref="T232:T236">
    <cfRule type="cellIs" dxfId="59" priority="20" operator="lessThan">
      <formula>40</formula>
    </cfRule>
    <cfRule type="cellIs" dxfId="58" priority="21" operator="greaterThan">
      <formula>40</formula>
    </cfRule>
  </conditionalFormatting>
  <conditionalFormatting sqref="T399">
    <cfRule type="cellIs" dxfId="57" priority="180" operator="lessThan">
      <formula>2.7</formula>
    </cfRule>
    <cfRule type="cellIs" dxfId="56" priority="181" operator="greaterThan">
      <formula>2.7</formula>
    </cfRule>
  </conditionalFormatting>
  <conditionalFormatting sqref="T413">
    <cfRule type="cellIs" dxfId="55" priority="99" operator="lessThan">
      <formula>0.1</formula>
    </cfRule>
    <cfRule type="cellIs" dxfId="54" priority="100" operator="greaterThan">
      <formula>0.1</formula>
    </cfRule>
  </conditionalFormatting>
  <conditionalFormatting sqref="T463">
    <cfRule type="cellIs" dxfId="53" priority="217" operator="lessThan">
      <formula>40</formula>
    </cfRule>
    <cfRule type="cellIs" dxfId="52" priority="218" operator="greaterThan">
      <formula>40</formula>
    </cfRule>
  </conditionalFormatting>
  <conditionalFormatting sqref="T464">
    <cfRule type="cellIs" dxfId="51" priority="219" operator="lessThan">
      <formula>2</formula>
    </cfRule>
    <cfRule type="cellIs" dxfId="50" priority="220" operator="greaterThan">
      <formula>2</formula>
    </cfRule>
  </conditionalFormatting>
  <conditionalFormatting sqref="U175">
    <cfRule type="cellIs" dxfId="49" priority="119" operator="lessThan">
      <formula>160</formula>
    </cfRule>
    <cfRule type="cellIs" dxfId="48" priority="120" operator="greaterThan">
      <formula>160</formula>
    </cfRule>
  </conditionalFormatting>
  <conditionalFormatting sqref="U218:U220">
    <cfRule type="cellIs" dxfId="47" priority="222" operator="lessThan">
      <formula>0.1</formula>
    </cfRule>
    <cfRule type="cellIs" dxfId="46" priority="223" operator="greaterThan">
      <formula>0.1</formula>
    </cfRule>
  </conditionalFormatting>
  <conditionalFormatting sqref="U232:U236">
    <cfRule type="cellIs" dxfId="45" priority="18" operator="lessThan">
      <formula>2</formula>
    </cfRule>
    <cfRule type="cellIs" dxfId="44" priority="19" operator="greaterThan">
      <formula>2</formula>
    </cfRule>
  </conditionalFormatting>
  <conditionalFormatting sqref="U432 Q442:R442 U442:V442 Q451:R451">
    <cfRule type="cellIs" dxfId="43" priority="95" operator="lessThan">
      <formula>5</formula>
    </cfRule>
    <cfRule type="cellIs" dxfId="42" priority="96" operator="greaterThanOrEqual">
      <formula>5</formula>
    </cfRule>
  </conditionalFormatting>
  <conditionalFormatting sqref="U433:U434 Q443:R444 U443:V444 Q452:R453">
    <cfRule type="cellIs" dxfId="41" priority="93" operator="lessThan">
      <formula>4</formula>
    </cfRule>
    <cfRule type="cellIs" dxfId="40" priority="94" operator="greaterThanOrEqual">
      <formula>4</formula>
    </cfRule>
  </conditionalFormatting>
  <conditionalFormatting sqref="U247:W251">
    <cfRule type="cellIs" dxfId="39" priority="75" operator="lessThan">
      <formula>0.07</formula>
    </cfRule>
    <cfRule type="cellIs" dxfId="38" priority="76" operator="greaterThanOrEqual">
      <formula>0.07</formula>
    </cfRule>
  </conditionalFormatting>
  <conditionalFormatting sqref="U401:X401">
    <cfRule type="cellIs" dxfId="37" priority="182" operator="greaterThan">
      <formula>0.02</formula>
    </cfRule>
    <cfRule type="cellIs" dxfId="36" priority="183" operator="lessThan">
      <formula>0.02</formula>
    </cfRule>
  </conditionalFormatting>
  <conditionalFormatting sqref="V274:V276">
    <cfRule type="cellIs" dxfId="35" priority="40" operator="equal">
      <formula>"Pass"</formula>
    </cfRule>
    <cfRule type="cellIs" dxfId="34" priority="41" operator="equal">
      <formula>"Fail"</formula>
    </cfRule>
    <cfRule type="containsText" dxfId="33" priority="150" operator="containsText" text="Pass">
      <formula>NOT(ISERROR(SEARCH("Pass",V274)))</formula>
    </cfRule>
    <cfRule type="containsText" dxfId="32" priority="151" operator="containsText" text="Fail">
      <formula>NOT(ISERROR(SEARCH("Fail",V274)))</formula>
    </cfRule>
  </conditionalFormatting>
  <conditionalFormatting sqref="V304">
    <cfRule type="cellIs" dxfId="31" priority="71" operator="equal">
      <formula>"Pass"</formula>
    </cfRule>
    <cfRule type="cellIs" dxfId="30" priority="72" operator="equal">
      <formula>"Fail"</formula>
    </cfRule>
  </conditionalFormatting>
  <conditionalFormatting sqref="V392">
    <cfRule type="cellIs" dxfId="29" priority="184" stopIfTrue="1" operator="equal">
      <formula>"Pass"</formula>
    </cfRule>
    <cfRule type="cellIs" dxfId="28" priority="185" stopIfTrue="1" operator="equal">
      <formula>"Fail"</formula>
    </cfRule>
  </conditionalFormatting>
  <conditionalFormatting sqref="V463:V464">
    <cfRule type="cellIs" dxfId="27" priority="215" operator="greaterThan">
      <formula>0.15</formula>
    </cfRule>
    <cfRule type="cellIs" dxfId="26" priority="216" operator="lessThan">
      <formula>0.15</formula>
    </cfRule>
  </conditionalFormatting>
  <conditionalFormatting sqref="X175">
    <cfRule type="cellIs" dxfId="25" priority="56" operator="equal">
      <formula>"NO"</formula>
    </cfRule>
    <cfRule type="cellIs" dxfId="24" priority="57" operator="equal">
      <formula>"YES"</formula>
    </cfRule>
  </conditionalFormatting>
  <conditionalFormatting sqref="X220">
    <cfRule type="cellIs" dxfId="23" priority="209" operator="lessThan">
      <formula>0.05</formula>
    </cfRule>
    <cfRule type="cellIs" dxfId="22" priority="210" operator="greaterThan">
      <formula>0.05</formula>
    </cfRule>
  </conditionalFormatting>
  <conditionalFormatting sqref="X221">
    <cfRule type="cellIs" dxfId="21" priority="54" operator="equal">
      <formula>"Fail"</formula>
    </cfRule>
    <cfRule type="cellIs" dxfId="20" priority="55" operator="equal">
      <formula>"Pass"</formula>
    </cfRule>
  </conditionalFormatting>
  <conditionalFormatting sqref="X265">
    <cfRule type="cellIs" dxfId="19" priority="199" operator="lessThan">
      <formula>3</formula>
    </cfRule>
    <cfRule type="cellIs" dxfId="18" priority="200" operator="greaterThan">
      <formula>3</formula>
    </cfRule>
  </conditionalFormatting>
  <conditionalFormatting sqref="X269 X288 X299">
    <cfRule type="cellIs" dxfId="17" priority="114" operator="lessThan">
      <formula>-0.15</formula>
    </cfRule>
    <cfRule type="cellIs" dxfId="16" priority="115" operator="greaterThan">
      <formula>0.15</formula>
    </cfRule>
    <cfRule type="cellIs" dxfId="15" priority="116" operator="between">
      <formula>-0.15</formula>
      <formula>0.15</formula>
    </cfRule>
  </conditionalFormatting>
  <conditionalFormatting sqref="X284">
    <cfRule type="cellIs" dxfId="14" priority="143" operator="lessThan">
      <formula>3</formula>
    </cfRule>
    <cfRule type="cellIs" dxfId="13" priority="144" operator="greaterThan">
      <formula>3</formula>
    </cfRule>
  </conditionalFormatting>
  <conditionalFormatting sqref="X295">
    <cfRule type="cellIs" dxfId="12" priority="138" operator="lessThan">
      <formula>3</formula>
    </cfRule>
    <cfRule type="cellIs" dxfId="11" priority="139" operator="greaterThan">
      <formula>3</formula>
    </cfRule>
  </conditionalFormatting>
  <conditionalFormatting sqref="X371:X388">
    <cfRule type="cellIs" dxfId="10" priority="101" operator="lessThan">
      <formula>-0.05</formula>
    </cfRule>
    <cfRule type="cellIs" dxfId="9" priority="102" operator="greaterThan">
      <formula>0.05</formula>
    </cfRule>
    <cfRule type="cellIs" dxfId="8" priority="103" operator="between">
      <formula>-0.05</formula>
      <formula>0.05</formula>
    </cfRule>
  </conditionalFormatting>
  <conditionalFormatting sqref="X463:X464">
    <cfRule type="cellIs" dxfId="7" priority="73" operator="equal">
      <formula>"Pass"</formula>
    </cfRule>
    <cfRule type="cellIs" dxfId="6" priority="74" operator="equal">
      <formula>"Fail"</formula>
    </cfRule>
  </conditionalFormatting>
  <conditionalFormatting sqref="X237:Y237">
    <cfRule type="cellIs" dxfId="5" priority="213" operator="lessThan">
      <formula>0.15</formula>
    </cfRule>
    <cfRule type="cellIs" dxfId="4" priority="214" operator="greaterThan">
      <formula>0.15</formula>
    </cfRule>
  </conditionalFormatting>
  <conditionalFormatting sqref="X238:Y238 P240 V240 K243:L243 D245 J245">
    <cfRule type="cellIs" dxfId="3" priority="47" operator="equal">
      <formula>"Fail"</formula>
    </cfRule>
  </conditionalFormatting>
  <conditionalFormatting sqref="X238:Y238 P240 V240 P360:Q360">
    <cfRule type="cellIs" dxfId="2" priority="46" operator="equal">
      <formula>"Pass"</formula>
    </cfRule>
  </conditionalFormatting>
  <conditionalFormatting sqref="Y399">
    <cfRule type="cellIs" dxfId="1" priority="178" operator="lessThan">
      <formula>2.7</formula>
    </cfRule>
    <cfRule type="cellIs" dxfId="0" priority="179" operator="greaterThan">
      <formula>2.7</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heetViews>
  <sheetFormatPr defaultRowHeight="13.8"/>
  <cols>
    <col min="1" max="16384" width="8.796875" style="803"/>
  </cols>
  <sheetData>
    <row r="1" spans="1:13">
      <c r="A1" s="802" t="s">
        <v>771</v>
      </c>
      <c r="M1" s="802" t="s">
        <v>771</v>
      </c>
    </row>
    <row r="3" spans="1:13">
      <c r="A3" s="804" t="s">
        <v>772</v>
      </c>
      <c r="B3" s="804" t="s">
        <v>773</v>
      </c>
      <c r="C3" s="804" t="s">
        <v>17</v>
      </c>
      <c r="D3" s="804" t="s">
        <v>18</v>
      </c>
      <c r="E3" s="804" t="s">
        <v>774</v>
      </c>
      <c r="F3" s="804" t="s">
        <v>775</v>
      </c>
      <c r="G3" s="804" t="s">
        <v>776</v>
      </c>
      <c r="H3" s="804" t="s">
        <v>777</v>
      </c>
      <c r="I3" s="804" t="s">
        <v>778</v>
      </c>
      <c r="J3" s="804" t="s">
        <v>779</v>
      </c>
      <c r="K3" s="804" t="s">
        <v>780</v>
      </c>
      <c r="M3" s="804" t="s">
        <v>781</v>
      </c>
    </row>
    <row r="4" spans="1:13">
      <c r="A4" s="803">
        <v>24</v>
      </c>
      <c r="B4" s="803">
        <v>50</v>
      </c>
      <c r="C4" s="803" t="s">
        <v>782</v>
      </c>
      <c r="D4" s="803" t="s">
        <v>46</v>
      </c>
      <c r="E4" s="803" t="s">
        <v>783</v>
      </c>
    </row>
    <row r="5" spans="1:13">
      <c r="A5" s="803">
        <v>25</v>
      </c>
      <c r="B5" s="803">
        <v>50</v>
      </c>
      <c r="C5" s="803" t="s">
        <v>782</v>
      </c>
      <c r="D5" s="803" t="s">
        <v>46</v>
      </c>
      <c r="E5" s="803" t="s">
        <v>783</v>
      </c>
    </row>
    <row r="6" spans="1:13">
      <c r="A6" s="803">
        <v>26</v>
      </c>
      <c r="B6" s="803">
        <v>50</v>
      </c>
      <c r="C6" s="803" t="s">
        <v>782</v>
      </c>
      <c r="D6" s="803" t="s">
        <v>46</v>
      </c>
      <c r="E6" s="803" t="s">
        <v>783</v>
      </c>
    </row>
    <row r="7" spans="1:13">
      <c r="A7" s="803">
        <v>28</v>
      </c>
      <c r="B7" s="803">
        <v>20</v>
      </c>
      <c r="C7" s="803" t="s">
        <v>782</v>
      </c>
      <c r="D7" s="803" t="s">
        <v>46</v>
      </c>
      <c r="E7" s="803" t="s">
        <v>783</v>
      </c>
    </row>
    <row r="8" spans="1:13">
      <c r="A8" s="803">
        <v>28</v>
      </c>
      <c r="B8" s="803">
        <v>50</v>
      </c>
      <c r="C8" s="803" t="s">
        <v>782</v>
      </c>
      <c r="D8" s="803" t="s">
        <v>46</v>
      </c>
      <c r="E8" s="803" t="s">
        <v>783</v>
      </c>
    </row>
    <row r="9" spans="1:13">
      <c r="A9" s="803">
        <v>28</v>
      </c>
      <c r="B9" s="803">
        <v>50</v>
      </c>
      <c r="C9" s="803" t="s">
        <v>782</v>
      </c>
      <c r="D9" s="803" t="s">
        <v>46</v>
      </c>
      <c r="E9" s="803" t="s">
        <v>783</v>
      </c>
    </row>
    <row r="10" spans="1:13">
      <c r="A10" s="803">
        <v>28</v>
      </c>
      <c r="B10" s="803">
        <v>50</v>
      </c>
      <c r="C10" s="803" t="s">
        <v>782</v>
      </c>
      <c r="D10" s="803" t="s">
        <v>46</v>
      </c>
      <c r="E10" s="803" t="s">
        <v>783</v>
      </c>
    </row>
    <row r="11" spans="1:13">
      <c r="A11" s="803">
        <v>28</v>
      </c>
      <c r="B11" s="803">
        <v>50</v>
      </c>
      <c r="C11" s="803" t="s">
        <v>782</v>
      </c>
      <c r="D11" s="803" t="s">
        <v>46</v>
      </c>
      <c r="E11" s="803" t="s">
        <v>783</v>
      </c>
    </row>
    <row r="12" spans="1:13">
      <c r="A12" s="803">
        <v>28</v>
      </c>
      <c r="B12" s="803">
        <v>100</v>
      </c>
      <c r="C12" s="803" t="s">
        <v>782</v>
      </c>
      <c r="D12" s="803" t="s">
        <v>46</v>
      </c>
      <c r="E12" s="803" t="s">
        <v>783</v>
      </c>
    </row>
    <row r="13" spans="1:13">
      <c r="A13" s="803">
        <v>28</v>
      </c>
      <c r="B13" s="803">
        <v>600</v>
      </c>
      <c r="C13" s="803" t="s">
        <v>782</v>
      </c>
      <c r="D13" s="803" t="s">
        <v>46</v>
      </c>
      <c r="E13" s="803" t="s">
        <v>783</v>
      </c>
    </row>
    <row r="14" spans="1:13">
      <c r="A14" s="803">
        <v>30</v>
      </c>
      <c r="B14" s="803">
        <v>50</v>
      </c>
      <c r="C14" s="803" t="s">
        <v>782</v>
      </c>
      <c r="D14" s="803" t="s">
        <v>46</v>
      </c>
      <c r="E14" s="803" t="s">
        <v>783</v>
      </c>
    </row>
    <row r="15" spans="1:13">
      <c r="A15" s="803">
        <v>32</v>
      </c>
      <c r="B15" s="803">
        <v>50</v>
      </c>
      <c r="C15" s="803" t="s">
        <v>782</v>
      </c>
      <c r="D15" s="803" t="s">
        <v>46</v>
      </c>
      <c r="E15" s="803" t="s">
        <v>783</v>
      </c>
    </row>
    <row r="16" spans="1:13">
      <c r="A16" s="803">
        <v>34</v>
      </c>
      <c r="B16" s="803">
        <v>50</v>
      </c>
      <c r="C16" s="803" t="s">
        <v>782</v>
      </c>
      <c r="D16" s="803" t="s">
        <v>46</v>
      </c>
      <c r="E16" s="803" t="s">
        <v>783</v>
      </c>
    </row>
    <row r="17" spans="1:5">
      <c r="A17" s="803">
        <v>28</v>
      </c>
      <c r="B17" s="803">
        <v>50</v>
      </c>
      <c r="C17" s="803" t="s">
        <v>782</v>
      </c>
      <c r="D17" s="803" t="s">
        <v>46</v>
      </c>
      <c r="E17" s="803" t="s">
        <v>783</v>
      </c>
    </row>
    <row r="18" spans="1:5">
      <c r="A18" s="803">
        <v>30</v>
      </c>
      <c r="B18" s="803">
        <v>50</v>
      </c>
      <c r="C18" s="803" t="s">
        <v>782</v>
      </c>
      <c r="D18" s="803" t="s">
        <v>46</v>
      </c>
      <c r="E18" s="803" t="s">
        <v>783</v>
      </c>
    </row>
    <row r="19" spans="1:5">
      <c r="A19" s="803">
        <v>32</v>
      </c>
      <c r="B19" s="803">
        <v>50</v>
      </c>
      <c r="C19" s="803" t="s">
        <v>782</v>
      </c>
      <c r="D19" s="803" t="s">
        <v>46</v>
      </c>
      <c r="E19" s="803" t="s">
        <v>783</v>
      </c>
    </row>
    <row r="20" spans="1:5">
      <c r="A20" s="803">
        <v>34</v>
      </c>
      <c r="B20" s="803">
        <v>50</v>
      </c>
      <c r="C20" s="803" t="s">
        <v>782</v>
      </c>
      <c r="D20" s="803" t="s">
        <v>46</v>
      </c>
      <c r="E20" s="803" t="s">
        <v>783</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zoomScale="75" zoomScaleNormal="75" workbookViewId="0"/>
  </sheetViews>
  <sheetFormatPr defaultColWidth="9" defaultRowHeight="14.1" customHeight="1"/>
  <cols>
    <col min="1" max="30" width="10.59765625" style="19" customWidth="1"/>
    <col min="31" max="16384" width="9" style="19"/>
  </cols>
  <sheetData>
    <row r="1" spans="1:30" ht="14.1" customHeight="1" thickBot="1">
      <c r="A1" s="70" t="s">
        <v>407</v>
      </c>
      <c r="K1" s="70" t="s">
        <v>408</v>
      </c>
      <c r="U1" s="19" t="s">
        <v>409</v>
      </c>
    </row>
    <row r="2" spans="1:30" ht="14.1" customHeight="1">
      <c r="A2" s="267"/>
      <c r="B2" s="795" t="s">
        <v>19</v>
      </c>
      <c r="C2" s="795"/>
      <c r="D2" s="795"/>
      <c r="E2" s="795"/>
      <c r="F2" s="795"/>
      <c r="G2" s="795"/>
      <c r="H2" s="795"/>
      <c r="I2" s="795"/>
      <c r="J2" s="795"/>
      <c r="K2" s="267"/>
      <c r="L2" s="795" t="s">
        <v>19</v>
      </c>
      <c r="M2" s="795"/>
      <c r="N2" s="795"/>
      <c r="O2" s="795"/>
      <c r="P2" s="795"/>
      <c r="Q2" s="795"/>
      <c r="R2" s="795"/>
      <c r="S2" s="795"/>
      <c r="T2" s="795"/>
      <c r="U2" s="267"/>
      <c r="V2" s="795" t="s">
        <v>19</v>
      </c>
      <c r="W2" s="795"/>
      <c r="X2" s="795"/>
      <c r="Y2" s="795"/>
      <c r="Z2" s="795"/>
      <c r="AA2" s="795"/>
      <c r="AB2" s="795"/>
      <c r="AC2" s="795"/>
      <c r="AD2" s="795"/>
    </row>
    <row r="3" spans="1:30" ht="14.1" customHeight="1">
      <c r="A3" s="189" t="s">
        <v>342</v>
      </c>
      <c r="B3" s="10">
        <v>23</v>
      </c>
      <c r="C3" s="10">
        <v>24</v>
      </c>
      <c r="D3" s="10">
        <v>25</v>
      </c>
      <c r="E3" s="10">
        <v>26</v>
      </c>
      <c r="F3" s="10">
        <v>27</v>
      </c>
      <c r="G3" s="10">
        <v>28</v>
      </c>
      <c r="H3" s="10">
        <v>29</v>
      </c>
      <c r="I3" s="10">
        <v>30</v>
      </c>
      <c r="J3" s="90">
        <v>31</v>
      </c>
      <c r="K3" s="189" t="s">
        <v>342</v>
      </c>
      <c r="L3" s="10">
        <v>23</v>
      </c>
      <c r="M3" s="10">
        <v>24</v>
      </c>
      <c r="N3" s="10">
        <v>25</v>
      </c>
      <c r="O3" s="10">
        <v>26</v>
      </c>
      <c r="P3" s="10">
        <v>27</v>
      </c>
      <c r="Q3" s="10">
        <v>28</v>
      </c>
      <c r="R3" s="10">
        <v>29</v>
      </c>
      <c r="S3" s="10">
        <v>30</v>
      </c>
      <c r="T3" s="90">
        <v>31</v>
      </c>
      <c r="U3" s="189" t="s">
        <v>342</v>
      </c>
      <c r="V3" s="10">
        <v>23</v>
      </c>
      <c r="W3" s="10">
        <v>24</v>
      </c>
      <c r="X3" s="10">
        <v>25</v>
      </c>
      <c r="Y3" s="10">
        <v>26</v>
      </c>
      <c r="Z3" s="10">
        <v>27</v>
      </c>
      <c r="AA3" s="10">
        <v>28</v>
      </c>
      <c r="AB3" s="10">
        <v>29</v>
      </c>
      <c r="AC3" s="10">
        <v>30</v>
      </c>
      <c r="AD3" s="90">
        <v>31</v>
      </c>
    </row>
    <row r="4" spans="1:30" ht="14.1" customHeight="1">
      <c r="A4" s="189">
        <v>0.23</v>
      </c>
      <c r="B4" s="10">
        <v>116</v>
      </c>
      <c r="C4" s="10"/>
      <c r="D4" s="10"/>
      <c r="E4" s="10"/>
      <c r="F4" s="10"/>
      <c r="G4" s="10"/>
      <c r="H4" s="10"/>
      <c r="I4" s="10"/>
      <c r="J4" s="90"/>
      <c r="K4" s="189">
        <v>0.23</v>
      </c>
      <c r="L4" s="10"/>
      <c r="M4" s="10"/>
      <c r="N4" s="10"/>
      <c r="O4" s="10"/>
      <c r="P4" s="10"/>
      <c r="Q4" s="10"/>
      <c r="R4" s="10"/>
      <c r="S4" s="10"/>
      <c r="T4" s="90"/>
      <c r="U4" s="189">
        <v>0.23</v>
      </c>
      <c r="V4" s="10"/>
      <c r="W4" s="10"/>
      <c r="X4" s="10"/>
      <c r="Y4" s="10"/>
      <c r="Z4" s="10"/>
      <c r="AA4" s="10"/>
      <c r="AB4" s="10"/>
      <c r="AC4" s="10"/>
      <c r="AD4" s="90"/>
    </row>
    <row r="5" spans="1:30" ht="14.1" customHeight="1">
      <c r="A5" s="189">
        <v>0.24</v>
      </c>
      <c r="B5" s="10">
        <v>121</v>
      </c>
      <c r="C5" s="10">
        <v>124</v>
      </c>
      <c r="D5" s="10"/>
      <c r="E5" s="10"/>
      <c r="F5" s="10"/>
      <c r="G5" s="10"/>
      <c r="H5" s="10"/>
      <c r="I5" s="10"/>
      <c r="J5" s="90"/>
      <c r="K5" s="189">
        <v>0.24</v>
      </c>
      <c r="L5" s="10"/>
      <c r="M5" s="10"/>
      <c r="N5" s="10"/>
      <c r="O5" s="10"/>
      <c r="P5" s="10"/>
      <c r="Q5" s="10"/>
      <c r="R5" s="10"/>
      <c r="S5" s="10"/>
      <c r="T5" s="90"/>
      <c r="U5" s="189">
        <v>0.24</v>
      </c>
      <c r="V5" s="10"/>
      <c r="W5" s="10"/>
      <c r="X5" s="10"/>
      <c r="Y5" s="10"/>
      <c r="Z5" s="10"/>
      <c r="AA5" s="10"/>
      <c r="AB5" s="10"/>
      <c r="AC5" s="10"/>
      <c r="AD5" s="90"/>
    </row>
    <row r="6" spans="1:30" ht="14.1" customHeight="1">
      <c r="A6" s="189">
        <v>0.25</v>
      </c>
      <c r="B6" s="10">
        <v>126</v>
      </c>
      <c r="C6" s="10">
        <v>129</v>
      </c>
      <c r="D6" s="10">
        <v>131</v>
      </c>
      <c r="E6" s="10"/>
      <c r="F6" s="10"/>
      <c r="G6" s="10"/>
      <c r="H6" s="10"/>
      <c r="I6" s="10"/>
      <c r="J6" s="90"/>
      <c r="K6" s="189">
        <v>0.25</v>
      </c>
      <c r="L6" s="10"/>
      <c r="M6" s="10"/>
      <c r="N6" s="10"/>
      <c r="O6" s="10"/>
      <c r="P6" s="10"/>
      <c r="Q6" s="10"/>
      <c r="R6" s="10"/>
      <c r="S6" s="10"/>
      <c r="T6" s="90"/>
      <c r="U6" s="189">
        <v>0.25</v>
      </c>
      <c r="V6" s="10"/>
      <c r="W6" s="10"/>
      <c r="X6" s="10"/>
      <c r="Y6" s="10"/>
      <c r="Z6" s="10"/>
      <c r="AA6" s="10"/>
      <c r="AB6" s="10"/>
      <c r="AC6" s="10"/>
      <c r="AD6" s="90"/>
    </row>
    <row r="7" spans="1:30" ht="14.1" customHeight="1">
      <c r="A7" s="189">
        <v>0.26</v>
      </c>
      <c r="B7" s="10">
        <v>130</v>
      </c>
      <c r="C7" s="10">
        <v>133</v>
      </c>
      <c r="D7" s="10">
        <v>135</v>
      </c>
      <c r="E7" s="10">
        <v>138</v>
      </c>
      <c r="F7" s="10"/>
      <c r="G7" s="10"/>
      <c r="H7" s="10"/>
      <c r="I7" s="10"/>
      <c r="J7" s="90"/>
      <c r="K7" s="189">
        <v>0.26</v>
      </c>
      <c r="L7" s="10"/>
      <c r="M7" s="10"/>
      <c r="N7" s="10"/>
      <c r="O7" s="10"/>
      <c r="P7" s="10"/>
      <c r="Q7" s="10"/>
      <c r="R7" s="10"/>
      <c r="S7" s="10"/>
      <c r="T7" s="90"/>
      <c r="U7" s="189">
        <v>0.26</v>
      </c>
      <c r="V7" s="10"/>
      <c r="W7" s="10"/>
      <c r="X7" s="10"/>
      <c r="Y7" s="10"/>
      <c r="Z7" s="10"/>
      <c r="AA7" s="10"/>
      <c r="AB7" s="10"/>
      <c r="AC7" s="10"/>
      <c r="AD7" s="90"/>
    </row>
    <row r="8" spans="1:30" ht="14.1" customHeight="1">
      <c r="A8" s="189">
        <v>0.27</v>
      </c>
      <c r="B8" s="10">
        <v>135</v>
      </c>
      <c r="C8" s="10">
        <v>138</v>
      </c>
      <c r="D8" s="10">
        <v>140</v>
      </c>
      <c r="E8" s="10">
        <v>142</v>
      </c>
      <c r="F8" s="10">
        <v>143</v>
      </c>
      <c r="G8" s="10"/>
      <c r="H8" s="10"/>
      <c r="I8" s="10"/>
      <c r="J8" s="90"/>
      <c r="K8" s="189">
        <v>0.27</v>
      </c>
      <c r="L8" s="10"/>
      <c r="M8" s="10"/>
      <c r="N8" s="10"/>
      <c r="O8" s="10"/>
      <c r="P8" s="10"/>
      <c r="Q8" s="10"/>
      <c r="R8" s="10"/>
      <c r="S8" s="10"/>
      <c r="T8" s="90"/>
      <c r="U8" s="189">
        <v>0.27</v>
      </c>
      <c r="V8" s="10"/>
      <c r="W8" s="10"/>
      <c r="X8" s="10"/>
      <c r="Y8" s="10"/>
      <c r="Z8" s="10"/>
      <c r="AA8" s="10"/>
      <c r="AB8" s="10"/>
      <c r="AC8" s="10"/>
      <c r="AD8" s="90"/>
    </row>
    <row r="9" spans="1:30" ht="14.1" customHeight="1">
      <c r="A9" s="189">
        <v>0.28000000000000003</v>
      </c>
      <c r="B9" s="10">
        <v>140</v>
      </c>
      <c r="C9" s="10">
        <v>142</v>
      </c>
      <c r="D9" s="10">
        <v>144</v>
      </c>
      <c r="E9" s="10">
        <v>146</v>
      </c>
      <c r="F9" s="10">
        <v>147</v>
      </c>
      <c r="G9" s="10">
        <v>149</v>
      </c>
      <c r="H9" s="10"/>
      <c r="I9" s="10"/>
      <c r="J9" s="90"/>
      <c r="K9" s="189">
        <v>0.28000000000000003</v>
      </c>
      <c r="L9" s="10"/>
      <c r="M9" s="10"/>
      <c r="N9" s="10">
        <v>149</v>
      </c>
      <c r="O9" s="10">
        <v>151</v>
      </c>
      <c r="P9" s="10">
        <v>154</v>
      </c>
      <c r="Q9" s="10"/>
      <c r="R9" s="10"/>
      <c r="S9" s="10"/>
      <c r="T9" s="90"/>
      <c r="U9" s="189">
        <v>0.28000000000000003</v>
      </c>
      <c r="V9" s="10"/>
      <c r="W9" s="10"/>
      <c r="X9" s="10">
        <v>150</v>
      </c>
      <c r="Y9" s="10">
        <v>155</v>
      </c>
      <c r="Z9" s="10">
        <v>159</v>
      </c>
      <c r="AA9" s="10"/>
      <c r="AB9" s="10"/>
      <c r="AC9" s="10"/>
      <c r="AD9" s="90"/>
    </row>
    <row r="10" spans="1:30" ht="14.1" customHeight="1">
      <c r="A10" s="189">
        <v>0.28999999999999998</v>
      </c>
      <c r="B10" s="10">
        <v>144</v>
      </c>
      <c r="C10" s="10">
        <v>146</v>
      </c>
      <c r="D10" s="10">
        <v>148</v>
      </c>
      <c r="E10" s="10">
        <v>150</v>
      </c>
      <c r="F10" s="10">
        <v>151</v>
      </c>
      <c r="G10" s="10">
        <v>153</v>
      </c>
      <c r="H10" s="10">
        <v>154</v>
      </c>
      <c r="I10" s="10"/>
      <c r="J10" s="90"/>
      <c r="K10" s="189">
        <v>0.28999999999999998</v>
      </c>
      <c r="L10" s="10"/>
      <c r="M10" s="10"/>
      <c r="N10" s="10">
        <v>154</v>
      </c>
      <c r="O10" s="10">
        <v>156</v>
      </c>
      <c r="P10" s="10">
        <v>158</v>
      </c>
      <c r="Q10" s="10">
        <v>159</v>
      </c>
      <c r="R10" s="10"/>
      <c r="S10" s="10"/>
      <c r="T10" s="90"/>
      <c r="U10" s="189">
        <v>0.28999999999999998</v>
      </c>
      <c r="V10" s="10"/>
      <c r="W10" s="10"/>
      <c r="X10" s="10">
        <v>155</v>
      </c>
      <c r="Y10" s="10">
        <v>160</v>
      </c>
      <c r="Z10" s="10">
        <v>164</v>
      </c>
      <c r="AA10" s="10">
        <v>168</v>
      </c>
      <c r="AB10" s="10"/>
      <c r="AC10" s="10"/>
      <c r="AD10" s="90"/>
    </row>
    <row r="11" spans="1:30" ht="14.1" customHeight="1">
      <c r="A11" s="189">
        <v>0.3</v>
      </c>
      <c r="B11" s="10">
        <v>149</v>
      </c>
      <c r="C11" s="10">
        <v>151</v>
      </c>
      <c r="D11" s="10">
        <v>153</v>
      </c>
      <c r="E11" s="10">
        <v>155</v>
      </c>
      <c r="F11" s="10">
        <v>156</v>
      </c>
      <c r="G11" s="10">
        <v>157</v>
      </c>
      <c r="H11" s="10">
        <v>158</v>
      </c>
      <c r="I11" s="10">
        <v>159</v>
      </c>
      <c r="J11" s="90"/>
      <c r="K11" s="189">
        <v>0.3</v>
      </c>
      <c r="L11" s="10"/>
      <c r="M11" s="10"/>
      <c r="N11" s="10">
        <v>158</v>
      </c>
      <c r="O11" s="10">
        <v>160</v>
      </c>
      <c r="P11" s="10">
        <v>162</v>
      </c>
      <c r="Q11" s="10">
        <v>162</v>
      </c>
      <c r="R11" s="10">
        <v>163</v>
      </c>
      <c r="S11" s="10"/>
      <c r="T11" s="90"/>
      <c r="U11" s="189">
        <v>0.3</v>
      </c>
      <c r="V11" s="10"/>
      <c r="W11" s="10"/>
      <c r="X11" s="10">
        <v>160</v>
      </c>
      <c r="Y11" s="10">
        <v>164</v>
      </c>
      <c r="Z11" s="10">
        <v>168</v>
      </c>
      <c r="AA11" s="10">
        <v>172</v>
      </c>
      <c r="AB11" s="10">
        <v>176</v>
      </c>
      <c r="AC11" s="10"/>
      <c r="AD11" s="90"/>
    </row>
    <row r="12" spans="1:30" ht="14.1" customHeight="1">
      <c r="A12" s="189">
        <v>0.31</v>
      </c>
      <c r="B12" s="10">
        <v>154</v>
      </c>
      <c r="C12" s="10">
        <v>156</v>
      </c>
      <c r="D12" s="10">
        <v>157</v>
      </c>
      <c r="E12" s="10">
        <v>159</v>
      </c>
      <c r="F12" s="10">
        <v>160</v>
      </c>
      <c r="G12" s="10">
        <v>161</v>
      </c>
      <c r="H12" s="10">
        <v>162</v>
      </c>
      <c r="I12" s="10">
        <v>163</v>
      </c>
      <c r="J12" s="90">
        <v>164</v>
      </c>
      <c r="K12" s="189">
        <v>0.31</v>
      </c>
      <c r="L12" s="10"/>
      <c r="M12" s="10"/>
      <c r="N12" s="10">
        <v>163</v>
      </c>
      <c r="O12" s="10">
        <v>164</v>
      </c>
      <c r="P12" s="10">
        <v>166</v>
      </c>
      <c r="Q12" s="10">
        <v>166</v>
      </c>
      <c r="R12" s="10">
        <v>167</v>
      </c>
      <c r="S12" s="10">
        <v>167</v>
      </c>
      <c r="T12" s="90"/>
      <c r="U12" s="189">
        <v>0.31</v>
      </c>
      <c r="V12" s="10"/>
      <c r="W12" s="10"/>
      <c r="X12" s="10">
        <v>165</v>
      </c>
      <c r="Y12" s="10">
        <v>168</v>
      </c>
      <c r="Z12" s="10">
        <v>172</v>
      </c>
      <c r="AA12" s="10">
        <v>174</v>
      </c>
      <c r="AB12" s="10">
        <v>180</v>
      </c>
      <c r="AC12" s="10">
        <v>182</v>
      </c>
      <c r="AD12" s="90"/>
    </row>
    <row r="13" spans="1:30" ht="14.1" customHeight="1">
      <c r="A13" s="189">
        <v>0.32</v>
      </c>
      <c r="B13" s="10">
        <v>158</v>
      </c>
      <c r="C13" s="10">
        <v>160</v>
      </c>
      <c r="D13" s="10">
        <v>162</v>
      </c>
      <c r="E13" s="10">
        <v>163</v>
      </c>
      <c r="F13" s="10">
        <v>164</v>
      </c>
      <c r="G13" s="10">
        <v>166</v>
      </c>
      <c r="H13" s="10">
        <v>167</v>
      </c>
      <c r="I13" s="10">
        <v>168</v>
      </c>
      <c r="J13" s="90">
        <v>168</v>
      </c>
      <c r="K13" s="189">
        <v>0.32</v>
      </c>
      <c r="L13" s="10"/>
      <c r="M13" s="10"/>
      <c r="N13" s="10">
        <v>167</v>
      </c>
      <c r="O13" s="10">
        <v>169</v>
      </c>
      <c r="P13" s="10">
        <v>171</v>
      </c>
      <c r="Q13" s="10">
        <v>171</v>
      </c>
      <c r="R13" s="10">
        <v>171</v>
      </c>
      <c r="S13" s="10">
        <v>172</v>
      </c>
      <c r="T13" s="90">
        <v>172</v>
      </c>
      <c r="U13" s="189">
        <v>0.32</v>
      </c>
      <c r="V13" s="10"/>
      <c r="W13" s="10"/>
      <c r="X13" s="10">
        <v>169</v>
      </c>
      <c r="Y13" s="10">
        <v>173</v>
      </c>
      <c r="Z13" s="10">
        <v>177</v>
      </c>
      <c r="AA13" s="10">
        <v>181</v>
      </c>
      <c r="AB13" s="10">
        <v>184</v>
      </c>
      <c r="AC13" s="10">
        <v>186</v>
      </c>
      <c r="AD13" s="90">
        <v>188</v>
      </c>
    </row>
    <row r="14" spans="1:30" ht="14.1" customHeight="1">
      <c r="A14" s="189">
        <v>0.33</v>
      </c>
      <c r="B14" s="10">
        <v>163</v>
      </c>
      <c r="C14" s="10">
        <v>165</v>
      </c>
      <c r="D14" s="10">
        <v>166</v>
      </c>
      <c r="E14" s="10">
        <v>168</v>
      </c>
      <c r="F14" s="10">
        <v>169</v>
      </c>
      <c r="G14" s="10">
        <v>170</v>
      </c>
      <c r="H14" s="10">
        <v>171</v>
      </c>
      <c r="I14" s="10">
        <v>173</v>
      </c>
      <c r="J14" s="90">
        <v>173</v>
      </c>
      <c r="K14" s="189">
        <v>0.33</v>
      </c>
      <c r="L14" s="10"/>
      <c r="M14" s="10"/>
      <c r="N14" s="10">
        <v>171</v>
      </c>
      <c r="O14" s="10">
        <v>173</v>
      </c>
      <c r="P14" s="10">
        <v>175</v>
      </c>
      <c r="Q14" s="10">
        <v>176</v>
      </c>
      <c r="R14" s="10">
        <v>176</v>
      </c>
      <c r="S14" s="10">
        <v>176</v>
      </c>
      <c r="T14" s="90">
        <v>176</v>
      </c>
      <c r="U14" s="189">
        <v>0.33</v>
      </c>
      <c r="V14" s="10"/>
      <c r="W14" s="10"/>
      <c r="X14" s="10">
        <v>174</v>
      </c>
      <c r="Y14" s="10">
        <v>178</v>
      </c>
      <c r="Z14" s="10">
        <v>181</v>
      </c>
      <c r="AA14" s="10">
        <v>185</v>
      </c>
      <c r="AB14" s="10">
        <v>188</v>
      </c>
      <c r="AC14" s="10">
        <v>190</v>
      </c>
      <c r="AD14" s="90">
        <v>192</v>
      </c>
    </row>
    <row r="15" spans="1:30" ht="14.1" customHeight="1">
      <c r="A15" s="189">
        <v>0.34</v>
      </c>
      <c r="B15" s="10">
        <v>168</v>
      </c>
      <c r="C15" s="10">
        <v>170</v>
      </c>
      <c r="D15" s="10">
        <v>171</v>
      </c>
      <c r="E15" s="10">
        <v>172</v>
      </c>
      <c r="F15" s="10">
        <v>173</v>
      </c>
      <c r="G15" s="10">
        <v>174</v>
      </c>
      <c r="H15" s="10">
        <v>175</v>
      </c>
      <c r="I15" s="10">
        <v>176</v>
      </c>
      <c r="J15" s="90">
        <v>177</v>
      </c>
      <c r="K15" s="189">
        <v>0.34</v>
      </c>
      <c r="L15" s="10"/>
      <c r="M15" s="10"/>
      <c r="N15" s="10">
        <v>176</v>
      </c>
      <c r="O15" s="10">
        <v>178</v>
      </c>
      <c r="P15" s="10">
        <v>179</v>
      </c>
      <c r="Q15" s="10">
        <v>179</v>
      </c>
      <c r="R15" s="10">
        <v>180</v>
      </c>
      <c r="S15" s="10">
        <v>180</v>
      </c>
      <c r="T15" s="90">
        <v>180</v>
      </c>
      <c r="U15" s="189">
        <v>0.34</v>
      </c>
      <c r="V15" s="10"/>
      <c r="W15" s="10"/>
      <c r="X15" s="10">
        <v>179</v>
      </c>
      <c r="Y15" s="10">
        <v>183</v>
      </c>
      <c r="Z15" s="10">
        <v>186</v>
      </c>
      <c r="AA15" s="10">
        <v>190</v>
      </c>
      <c r="AB15" s="10">
        <v>193</v>
      </c>
      <c r="AC15" s="10">
        <v>195</v>
      </c>
      <c r="AD15" s="90">
        <v>196</v>
      </c>
    </row>
    <row r="16" spans="1:30" ht="14.1" customHeight="1">
      <c r="A16" s="189">
        <v>0.35</v>
      </c>
      <c r="B16" s="10"/>
      <c r="C16" s="10">
        <v>174</v>
      </c>
      <c r="D16" s="10">
        <v>175</v>
      </c>
      <c r="E16" s="10">
        <v>176</v>
      </c>
      <c r="F16" s="10">
        <v>177</v>
      </c>
      <c r="G16" s="10">
        <v>178</v>
      </c>
      <c r="H16" s="10">
        <v>179</v>
      </c>
      <c r="I16" s="10">
        <v>180</v>
      </c>
      <c r="J16" s="90">
        <v>181</v>
      </c>
      <c r="K16" s="189">
        <v>0.35</v>
      </c>
      <c r="L16" s="10"/>
      <c r="M16" s="10"/>
      <c r="N16" s="10">
        <v>180</v>
      </c>
      <c r="O16" s="10">
        <v>181</v>
      </c>
      <c r="P16" s="10">
        <v>183</v>
      </c>
      <c r="Q16" s="10">
        <v>183</v>
      </c>
      <c r="R16" s="10">
        <v>184</v>
      </c>
      <c r="S16" s="10">
        <v>185</v>
      </c>
      <c r="T16" s="90">
        <v>185</v>
      </c>
      <c r="U16" s="189">
        <v>0.35</v>
      </c>
      <c r="V16" s="10"/>
      <c r="W16" s="10"/>
      <c r="X16" s="10">
        <v>184</v>
      </c>
      <c r="Y16" s="10">
        <v>187</v>
      </c>
      <c r="Z16" s="10">
        <v>190</v>
      </c>
      <c r="AA16" s="10">
        <v>194</v>
      </c>
      <c r="AB16" s="10">
        <v>197</v>
      </c>
      <c r="AC16" s="10">
        <v>199</v>
      </c>
      <c r="AD16" s="90">
        <v>201</v>
      </c>
    </row>
    <row r="17" spans="1:30" ht="14.1" customHeight="1">
      <c r="A17" s="189">
        <v>0.36</v>
      </c>
      <c r="B17" s="10"/>
      <c r="C17" s="10"/>
      <c r="D17" s="10">
        <v>179</v>
      </c>
      <c r="E17" s="10">
        <v>181</v>
      </c>
      <c r="F17" s="10">
        <v>182</v>
      </c>
      <c r="G17" s="10">
        <v>183</v>
      </c>
      <c r="H17" s="10">
        <v>184</v>
      </c>
      <c r="I17" s="10">
        <v>185</v>
      </c>
      <c r="J17" s="90">
        <v>185</v>
      </c>
      <c r="K17" s="189">
        <v>0.36</v>
      </c>
      <c r="L17" s="10"/>
      <c r="M17" s="10"/>
      <c r="N17" s="10">
        <v>185</v>
      </c>
      <c r="O17" s="10">
        <v>186</v>
      </c>
      <c r="P17" s="10">
        <v>187</v>
      </c>
      <c r="Q17" s="10">
        <v>187</v>
      </c>
      <c r="R17" s="10">
        <v>188</v>
      </c>
      <c r="S17" s="10">
        <v>188</v>
      </c>
      <c r="T17" s="90">
        <v>189</v>
      </c>
      <c r="U17" s="189">
        <v>0.36</v>
      </c>
      <c r="V17" s="10"/>
      <c r="W17" s="10"/>
      <c r="X17" s="10">
        <v>189</v>
      </c>
      <c r="Y17" s="10">
        <v>192</v>
      </c>
      <c r="Z17" s="10">
        <v>195</v>
      </c>
      <c r="AA17" s="10">
        <v>198</v>
      </c>
      <c r="AB17" s="10">
        <v>201</v>
      </c>
      <c r="AC17" s="10">
        <v>204</v>
      </c>
      <c r="AD17" s="90">
        <v>205</v>
      </c>
    </row>
    <row r="18" spans="1:30" ht="14.1" customHeight="1">
      <c r="A18" s="189">
        <v>0.37</v>
      </c>
      <c r="B18" s="10"/>
      <c r="C18" s="10"/>
      <c r="D18" s="10"/>
      <c r="E18" s="10">
        <v>185</v>
      </c>
      <c r="F18" s="10">
        <v>186</v>
      </c>
      <c r="G18" s="10">
        <v>187</v>
      </c>
      <c r="H18" s="10">
        <v>188</v>
      </c>
      <c r="I18" s="10">
        <v>189</v>
      </c>
      <c r="J18" s="90">
        <v>190</v>
      </c>
      <c r="K18" s="189">
        <v>0.37</v>
      </c>
      <c r="L18" s="10"/>
      <c r="M18" s="10"/>
      <c r="N18" s="10">
        <v>189</v>
      </c>
      <c r="O18" s="10">
        <v>190</v>
      </c>
      <c r="P18" s="10">
        <v>191</v>
      </c>
      <c r="Q18" s="10">
        <v>191</v>
      </c>
      <c r="R18" s="10">
        <v>192</v>
      </c>
      <c r="S18" s="10">
        <v>193</v>
      </c>
      <c r="T18" s="90">
        <v>193</v>
      </c>
      <c r="U18" s="189">
        <v>0.37</v>
      </c>
      <c r="V18" s="10"/>
      <c r="W18" s="10"/>
      <c r="X18" s="10">
        <v>193</v>
      </c>
      <c r="Y18" s="10">
        <v>196</v>
      </c>
      <c r="Z18" s="10">
        <v>199</v>
      </c>
      <c r="AA18" s="10">
        <v>202</v>
      </c>
      <c r="AB18" s="10">
        <v>205</v>
      </c>
      <c r="AC18" s="10">
        <v>207</v>
      </c>
      <c r="AD18" s="90">
        <v>209</v>
      </c>
    </row>
    <row r="19" spans="1:30" ht="14.1" customHeight="1">
      <c r="A19" s="189">
        <v>0.38</v>
      </c>
      <c r="B19" s="10"/>
      <c r="C19" s="10"/>
      <c r="D19" s="10"/>
      <c r="E19" s="10"/>
      <c r="F19" s="10">
        <v>190</v>
      </c>
      <c r="G19" s="10">
        <v>191</v>
      </c>
      <c r="H19" s="10">
        <v>192</v>
      </c>
      <c r="I19" s="10">
        <v>193</v>
      </c>
      <c r="J19" s="90">
        <v>194</v>
      </c>
      <c r="K19" s="189">
        <v>0.38</v>
      </c>
      <c r="L19" s="10"/>
      <c r="M19" s="10"/>
      <c r="N19" s="10">
        <v>193</v>
      </c>
      <c r="O19" s="10">
        <v>194</v>
      </c>
      <c r="P19" s="10">
        <v>196</v>
      </c>
      <c r="Q19" s="10">
        <v>196</v>
      </c>
      <c r="R19" s="10">
        <v>197</v>
      </c>
      <c r="S19" s="10">
        <v>197</v>
      </c>
      <c r="T19" s="90">
        <v>197</v>
      </c>
      <c r="U19" s="189">
        <v>0.38</v>
      </c>
      <c r="V19" s="10"/>
      <c r="W19" s="10"/>
      <c r="X19" s="10">
        <v>198</v>
      </c>
      <c r="Y19" s="10">
        <v>201</v>
      </c>
      <c r="Z19" s="10">
        <v>204</v>
      </c>
      <c r="AA19" s="10">
        <v>207</v>
      </c>
      <c r="AB19" s="10">
        <v>209</v>
      </c>
      <c r="AC19" s="10">
        <v>211</v>
      </c>
      <c r="AD19" s="90">
        <v>213</v>
      </c>
    </row>
    <row r="20" spans="1:30" ht="14.1" customHeight="1">
      <c r="A20" s="189">
        <v>0.39</v>
      </c>
      <c r="B20" s="10"/>
      <c r="C20" s="10"/>
      <c r="D20" s="10"/>
      <c r="E20" s="10"/>
      <c r="F20" s="10"/>
      <c r="G20" s="10">
        <v>196</v>
      </c>
      <c r="H20" s="10">
        <v>197</v>
      </c>
      <c r="I20" s="10">
        <v>198</v>
      </c>
      <c r="J20" s="90">
        <v>198</v>
      </c>
      <c r="K20" s="189">
        <v>0.39</v>
      </c>
      <c r="L20" s="10"/>
      <c r="M20" s="10"/>
      <c r="N20" s="10">
        <v>198</v>
      </c>
      <c r="O20" s="10">
        <v>199</v>
      </c>
      <c r="P20" s="10">
        <v>200</v>
      </c>
      <c r="Q20" s="10">
        <v>200</v>
      </c>
      <c r="R20" s="10">
        <v>201</v>
      </c>
      <c r="S20" s="10">
        <v>201</v>
      </c>
      <c r="T20" s="90">
        <v>202</v>
      </c>
      <c r="U20" s="189">
        <v>0.39</v>
      </c>
      <c r="V20" s="10"/>
      <c r="W20" s="10"/>
      <c r="X20" s="10">
        <v>203</v>
      </c>
      <c r="Y20" s="10">
        <v>206</v>
      </c>
      <c r="Z20" s="10">
        <v>208</v>
      </c>
      <c r="AA20" s="10">
        <v>211</v>
      </c>
      <c r="AB20" s="10">
        <v>214</v>
      </c>
      <c r="AC20" s="10">
        <v>216</v>
      </c>
      <c r="AD20" s="90">
        <v>217</v>
      </c>
    </row>
    <row r="21" spans="1:30" ht="14.1" customHeight="1">
      <c r="A21" s="189">
        <v>0.4</v>
      </c>
      <c r="B21" s="10"/>
      <c r="C21" s="10"/>
      <c r="D21" s="10"/>
      <c r="E21" s="10"/>
      <c r="F21" s="10"/>
      <c r="G21" s="10"/>
      <c r="H21" s="10">
        <v>201</v>
      </c>
      <c r="I21" s="10">
        <v>202</v>
      </c>
      <c r="J21" s="90">
        <v>203</v>
      </c>
      <c r="K21" s="189">
        <v>0.4</v>
      </c>
      <c r="L21" s="10"/>
      <c r="M21" s="10"/>
      <c r="N21" s="10">
        <v>202</v>
      </c>
      <c r="O21" s="10">
        <v>203</v>
      </c>
      <c r="P21" s="10">
        <v>204</v>
      </c>
      <c r="Q21" s="10">
        <v>204</v>
      </c>
      <c r="R21" s="10">
        <v>205</v>
      </c>
      <c r="S21" s="10">
        <v>205</v>
      </c>
      <c r="T21" s="90">
        <v>206</v>
      </c>
      <c r="U21" s="189">
        <v>0.4</v>
      </c>
      <c r="V21" s="10"/>
      <c r="W21" s="10"/>
      <c r="X21" s="10">
        <v>208</v>
      </c>
      <c r="Y21" s="10">
        <v>211</v>
      </c>
      <c r="Z21" s="10">
        <v>213</v>
      </c>
      <c r="AA21" s="10">
        <v>216</v>
      </c>
      <c r="AB21" s="10">
        <v>218</v>
      </c>
      <c r="AC21" s="10">
        <v>220</v>
      </c>
      <c r="AD21" s="90">
        <v>221</v>
      </c>
    </row>
    <row r="22" spans="1:30" ht="14.1" customHeight="1">
      <c r="A22" s="189">
        <v>0.41</v>
      </c>
      <c r="B22" s="10"/>
      <c r="C22" s="10"/>
      <c r="D22" s="10"/>
      <c r="E22" s="10"/>
      <c r="F22" s="10"/>
      <c r="G22" s="10"/>
      <c r="H22" s="10"/>
      <c r="I22" s="10">
        <v>206</v>
      </c>
      <c r="J22" s="90">
        <v>207</v>
      </c>
      <c r="K22" s="189">
        <v>0.41</v>
      </c>
      <c r="L22" s="10"/>
      <c r="M22" s="10"/>
      <c r="N22" s="10">
        <v>206</v>
      </c>
      <c r="O22" s="10">
        <v>207</v>
      </c>
      <c r="P22" s="10">
        <v>208</v>
      </c>
      <c r="Q22" s="10">
        <v>208</v>
      </c>
      <c r="R22" s="10">
        <v>209</v>
      </c>
      <c r="S22" s="10">
        <v>209</v>
      </c>
      <c r="T22" s="90">
        <v>210</v>
      </c>
      <c r="U22" s="189">
        <v>0.41</v>
      </c>
      <c r="V22" s="10"/>
      <c r="W22" s="10"/>
      <c r="X22" s="10">
        <v>213</v>
      </c>
      <c r="Y22" s="10">
        <v>215</v>
      </c>
      <c r="Z22" s="10">
        <v>217</v>
      </c>
      <c r="AA22" s="10">
        <v>220</v>
      </c>
      <c r="AB22" s="10">
        <v>222</v>
      </c>
      <c r="AC22" s="10">
        <v>224</v>
      </c>
      <c r="AD22" s="90">
        <v>225</v>
      </c>
    </row>
    <row r="23" spans="1:30" ht="14.1" customHeight="1" thickBot="1">
      <c r="A23" s="190">
        <v>0.42</v>
      </c>
      <c r="B23" s="94"/>
      <c r="C23" s="94"/>
      <c r="D23" s="94"/>
      <c r="E23" s="94"/>
      <c r="F23" s="94"/>
      <c r="G23" s="94"/>
      <c r="H23" s="94"/>
      <c r="I23" s="94"/>
      <c r="J23" s="95">
        <v>211</v>
      </c>
      <c r="K23" s="190">
        <v>0.42</v>
      </c>
      <c r="L23" s="94"/>
      <c r="M23" s="94"/>
      <c r="N23" s="94">
        <v>211</v>
      </c>
      <c r="O23" s="94">
        <v>211</v>
      </c>
      <c r="P23" s="94">
        <v>212</v>
      </c>
      <c r="Q23" s="94">
        <v>212</v>
      </c>
      <c r="R23" s="94">
        <v>213</v>
      </c>
      <c r="S23" s="94">
        <v>213</v>
      </c>
      <c r="T23" s="95">
        <v>214</v>
      </c>
      <c r="U23" s="190">
        <v>0.42</v>
      </c>
      <c r="V23" s="94"/>
      <c r="W23" s="94"/>
      <c r="X23" s="94">
        <v>218</v>
      </c>
      <c r="Y23" s="94">
        <v>220</v>
      </c>
      <c r="Z23" s="94">
        <v>222</v>
      </c>
      <c r="AA23" s="94">
        <v>224</v>
      </c>
      <c r="AB23" s="94">
        <v>226</v>
      </c>
      <c r="AC23" s="94">
        <v>228</v>
      </c>
      <c r="AD23" s="95">
        <v>229</v>
      </c>
    </row>
    <row r="25" spans="1:30" ht="14.1" customHeight="1" thickBot="1">
      <c r="A25" s="70" t="s">
        <v>410</v>
      </c>
      <c r="N25" s="70" t="s">
        <v>411</v>
      </c>
    </row>
    <row r="26" spans="1:30" ht="14.1" customHeight="1">
      <c r="A26" s="267"/>
      <c r="B26" s="796" t="s">
        <v>19</v>
      </c>
      <c r="C26" s="796"/>
      <c r="D26" s="796"/>
      <c r="E26" s="796"/>
      <c r="F26" s="796"/>
      <c r="G26" s="796"/>
      <c r="H26" s="796"/>
      <c r="I26" s="796"/>
      <c r="J26" s="796"/>
      <c r="K26" s="796"/>
      <c r="L26" s="796"/>
      <c r="M26" s="200"/>
      <c r="N26" s="267"/>
      <c r="O26" s="795" t="s">
        <v>19</v>
      </c>
      <c r="P26" s="795"/>
      <c r="Q26" s="795"/>
      <c r="R26" s="795"/>
      <c r="S26" s="795"/>
      <c r="T26" s="795"/>
      <c r="U26" s="795"/>
      <c r="V26" s="795"/>
      <c r="W26" s="795"/>
      <c r="X26" s="795"/>
      <c r="Y26" s="795"/>
      <c r="Z26" s="795"/>
      <c r="AA26" s="795"/>
    </row>
    <row r="27" spans="1:30" ht="14.1" customHeight="1">
      <c r="A27" s="189" t="s">
        <v>342</v>
      </c>
      <c r="B27" s="10">
        <v>22</v>
      </c>
      <c r="C27" s="10">
        <v>23</v>
      </c>
      <c r="D27" s="10">
        <v>24</v>
      </c>
      <c r="E27" s="10">
        <v>25</v>
      </c>
      <c r="F27" s="10">
        <v>26</v>
      </c>
      <c r="G27" s="10">
        <v>27</v>
      </c>
      <c r="H27" s="10">
        <v>28</v>
      </c>
      <c r="I27" s="10">
        <v>29</v>
      </c>
      <c r="J27" s="10">
        <v>30</v>
      </c>
      <c r="K27" s="10">
        <v>31</v>
      </c>
      <c r="L27" s="10">
        <v>32</v>
      </c>
      <c r="M27" s="90">
        <v>33</v>
      </c>
      <c r="N27" s="189" t="s">
        <v>342</v>
      </c>
      <c r="O27" s="10">
        <v>27</v>
      </c>
      <c r="P27" s="10">
        <v>28</v>
      </c>
      <c r="Q27" s="10">
        <v>29</v>
      </c>
      <c r="R27" s="10">
        <v>30</v>
      </c>
      <c r="S27" s="10">
        <v>31</v>
      </c>
      <c r="T27" s="10">
        <v>32</v>
      </c>
      <c r="U27" s="10">
        <v>33</v>
      </c>
      <c r="V27" s="10">
        <v>34</v>
      </c>
      <c r="W27" s="10">
        <v>35</v>
      </c>
      <c r="X27" s="10">
        <v>36</v>
      </c>
      <c r="Y27" s="10">
        <v>37</v>
      </c>
      <c r="Z27" s="10">
        <v>38</v>
      </c>
      <c r="AA27" s="90">
        <v>39</v>
      </c>
    </row>
    <row r="28" spans="1:30" ht="14.1" customHeight="1">
      <c r="A28" s="189">
        <v>0.3</v>
      </c>
      <c r="B28" s="10">
        <v>152</v>
      </c>
      <c r="C28" s="10">
        <v>157</v>
      </c>
      <c r="D28" s="10">
        <v>163</v>
      </c>
      <c r="E28" s="10">
        <v>166</v>
      </c>
      <c r="F28" s="10">
        <v>170</v>
      </c>
      <c r="G28" s="10">
        <v>173</v>
      </c>
      <c r="H28" s="10">
        <v>175</v>
      </c>
      <c r="I28" s="10">
        <v>177</v>
      </c>
      <c r="J28" s="10">
        <v>179</v>
      </c>
      <c r="K28" s="10">
        <v>182</v>
      </c>
      <c r="L28" s="10">
        <v>184</v>
      </c>
      <c r="M28" s="90">
        <v>187</v>
      </c>
      <c r="N28" s="189">
        <v>0.4</v>
      </c>
      <c r="O28" s="10">
        <v>222</v>
      </c>
      <c r="P28" s="10">
        <v>226</v>
      </c>
      <c r="Q28" s="10">
        <v>229</v>
      </c>
      <c r="R28" s="10">
        <v>231</v>
      </c>
      <c r="S28" s="10">
        <v>234</v>
      </c>
      <c r="T28" s="10">
        <v>236</v>
      </c>
      <c r="U28" s="10">
        <v>239</v>
      </c>
      <c r="V28" s="10">
        <v>241</v>
      </c>
      <c r="W28" s="10">
        <v>244</v>
      </c>
      <c r="X28" s="10">
        <v>246</v>
      </c>
      <c r="Y28" s="10">
        <v>248</v>
      </c>
      <c r="Z28" s="10">
        <v>250</v>
      </c>
      <c r="AA28" s="90">
        <v>252</v>
      </c>
    </row>
    <row r="29" spans="1:30" ht="14.1" customHeight="1">
      <c r="A29" s="189">
        <v>0.32500000000000001</v>
      </c>
      <c r="B29" s="10">
        <v>163</v>
      </c>
      <c r="C29" s="10">
        <v>169</v>
      </c>
      <c r="D29" s="10">
        <v>174</v>
      </c>
      <c r="E29" s="10">
        <v>177</v>
      </c>
      <c r="F29" s="10">
        <v>181</v>
      </c>
      <c r="G29" s="10">
        <v>183</v>
      </c>
      <c r="H29" s="10">
        <v>186</v>
      </c>
      <c r="I29" s="10">
        <v>188</v>
      </c>
      <c r="J29" s="10">
        <v>190</v>
      </c>
      <c r="K29" s="10">
        <v>192</v>
      </c>
      <c r="L29" s="10">
        <v>195</v>
      </c>
      <c r="M29" s="90">
        <v>197</v>
      </c>
      <c r="N29" s="189">
        <v>0.42499999999999999</v>
      </c>
      <c r="O29" s="10">
        <v>233</v>
      </c>
      <c r="P29" s="10">
        <v>236</v>
      </c>
      <c r="Q29" s="10">
        <v>239</v>
      </c>
      <c r="R29" s="10">
        <v>242</v>
      </c>
      <c r="S29" s="10">
        <v>244</v>
      </c>
      <c r="T29" s="10">
        <v>246</v>
      </c>
      <c r="U29" s="10">
        <v>248</v>
      </c>
      <c r="V29" s="10">
        <v>251</v>
      </c>
      <c r="W29" s="10">
        <v>253</v>
      </c>
      <c r="X29" s="10">
        <v>256</v>
      </c>
      <c r="Y29" s="10">
        <v>258</v>
      </c>
      <c r="Z29" s="10">
        <v>260</v>
      </c>
      <c r="AA29" s="90">
        <v>262</v>
      </c>
    </row>
    <row r="30" spans="1:30" ht="14.1" customHeight="1">
      <c r="A30" s="189">
        <v>0.35</v>
      </c>
      <c r="B30" s="10">
        <v>175</v>
      </c>
      <c r="C30" s="10">
        <v>180</v>
      </c>
      <c r="D30" s="10">
        <v>185</v>
      </c>
      <c r="E30" s="10">
        <v>188</v>
      </c>
      <c r="F30" s="10">
        <v>191</v>
      </c>
      <c r="G30" s="10">
        <v>194</v>
      </c>
      <c r="H30" s="10">
        <v>196</v>
      </c>
      <c r="I30" s="10">
        <v>198</v>
      </c>
      <c r="J30" s="10">
        <v>200</v>
      </c>
      <c r="K30" s="10">
        <v>202</v>
      </c>
      <c r="L30" s="10">
        <v>205</v>
      </c>
      <c r="M30" s="90">
        <v>207</v>
      </c>
      <c r="N30" s="189">
        <v>0.45</v>
      </c>
      <c r="O30" s="10">
        <v>244</v>
      </c>
      <c r="P30" s="10">
        <v>247</v>
      </c>
      <c r="Q30" s="10">
        <v>249</v>
      </c>
      <c r="R30" s="10">
        <v>252</v>
      </c>
      <c r="S30" s="10">
        <v>254</v>
      </c>
      <c r="T30" s="10">
        <v>256</v>
      </c>
      <c r="U30" s="10">
        <v>258</v>
      </c>
      <c r="V30" s="10">
        <v>260</v>
      </c>
      <c r="W30" s="10">
        <v>263</v>
      </c>
      <c r="X30" s="10">
        <v>265</v>
      </c>
      <c r="Y30" s="10">
        <v>267</v>
      </c>
      <c r="Z30" s="10">
        <v>269</v>
      </c>
      <c r="AA30" s="90">
        <v>271</v>
      </c>
    </row>
    <row r="31" spans="1:30" ht="14.1" customHeight="1">
      <c r="A31" s="189">
        <v>0.375</v>
      </c>
      <c r="B31" s="10">
        <v>186</v>
      </c>
      <c r="C31" s="10">
        <v>191</v>
      </c>
      <c r="D31" s="10">
        <v>196</v>
      </c>
      <c r="E31" s="10">
        <v>199</v>
      </c>
      <c r="F31" s="10">
        <v>202</v>
      </c>
      <c r="G31" s="10">
        <v>205</v>
      </c>
      <c r="H31" s="10">
        <v>207</v>
      </c>
      <c r="I31" s="10">
        <v>209</v>
      </c>
      <c r="J31" s="10">
        <v>211</v>
      </c>
      <c r="K31" s="10">
        <v>213</v>
      </c>
      <c r="L31" s="10">
        <v>215</v>
      </c>
      <c r="M31" s="90">
        <v>218</v>
      </c>
      <c r="N31" s="189">
        <v>0.47499999999999998</v>
      </c>
      <c r="O31" s="10">
        <v>254</v>
      </c>
      <c r="P31" s="10">
        <v>257</v>
      </c>
      <c r="Q31" s="10">
        <v>260</v>
      </c>
      <c r="R31" s="10">
        <v>262</v>
      </c>
      <c r="S31" s="10">
        <v>264</v>
      </c>
      <c r="T31" s="10">
        <v>266</v>
      </c>
      <c r="U31" s="10">
        <v>268</v>
      </c>
      <c r="V31" s="10">
        <v>270</v>
      </c>
      <c r="W31" s="10">
        <v>273</v>
      </c>
      <c r="X31" s="10">
        <v>275</v>
      </c>
      <c r="Y31" s="10">
        <v>277</v>
      </c>
      <c r="Z31" s="10">
        <v>279</v>
      </c>
      <c r="AA31" s="90">
        <v>281</v>
      </c>
    </row>
    <row r="32" spans="1:30" ht="14.1" customHeight="1">
      <c r="A32" s="189">
        <v>0.4</v>
      </c>
      <c r="B32" s="10">
        <v>198</v>
      </c>
      <c r="C32" s="10">
        <v>203</v>
      </c>
      <c r="D32" s="10">
        <v>207</v>
      </c>
      <c r="E32" s="10">
        <v>210</v>
      </c>
      <c r="F32" s="10">
        <v>213</v>
      </c>
      <c r="G32" s="10">
        <v>215</v>
      </c>
      <c r="H32" s="10">
        <v>217</v>
      </c>
      <c r="I32" s="10">
        <v>219</v>
      </c>
      <c r="J32" s="10">
        <v>221</v>
      </c>
      <c r="K32" s="10">
        <v>223</v>
      </c>
      <c r="L32" s="10">
        <v>226</v>
      </c>
      <c r="M32" s="90">
        <v>228</v>
      </c>
      <c r="N32" s="189">
        <v>0.5</v>
      </c>
      <c r="O32" s="10">
        <v>265</v>
      </c>
      <c r="P32" s="10">
        <v>267</v>
      </c>
      <c r="Q32" s="10">
        <v>270</v>
      </c>
      <c r="R32" s="10">
        <v>272</v>
      </c>
      <c r="S32" s="10">
        <v>274</v>
      </c>
      <c r="T32" s="10">
        <v>276</v>
      </c>
      <c r="U32" s="10">
        <v>278</v>
      </c>
      <c r="V32" s="10">
        <v>280</v>
      </c>
      <c r="W32" s="10">
        <v>282</v>
      </c>
      <c r="X32" s="10">
        <v>284</v>
      </c>
      <c r="Y32" s="10">
        <v>286</v>
      </c>
      <c r="Z32" s="10">
        <v>288</v>
      </c>
      <c r="AA32" s="90">
        <v>290</v>
      </c>
    </row>
    <row r="33" spans="1:27" ht="14.1" customHeight="1">
      <c r="A33" s="189">
        <v>0.42499999999999999</v>
      </c>
      <c r="B33" s="10">
        <v>209</v>
      </c>
      <c r="C33" s="10">
        <v>214</v>
      </c>
      <c r="D33" s="10">
        <v>218</v>
      </c>
      <c r="E33" s="10">
        <v>221</v>
      </c>
      <c r="F33" s="10">
        <v>224</v>
      </c>
      <c r="G33" s="10">
        <v>226</v>
      </c>
      <c r="H33" s="10">
        <v>228</v>
      </c>
      <c r="I33" s="10">
        <v>230</v>
      </c>
      <c r="J33" s="10">
        <v>232</v>
      </c>
      <c r="K33" s="10">
        <v>234</v>
      </c>
      <c r="L33" s="10">
        <v>236</v>
      </c>
      <c r="M33" s="90">
        <v>238</v>
      </c>
      <c r="N33" s="189">
        <v>0.52500000000000002</v>
      </c>
      <c r="O33" s="10">
        <v>275</v>
      </c>
      <c r="P33" s="10">
        <v>278</v>
      </c>
      <c r="Q33" s="10">
        <v>280</v>
      </c>
      <c r="R33" s="10">
        <v>282</v>
      </c>
      <c r="S33" s="10">
        <v>284</v>
      </c>
      <c r="T33" s="10">
        <v>286</v>
      </c>
      <c r="U33" s="10">
        <v>288</v>
      </c>
      <c r="V33" s="10">
        <v>290</v>
      </c>
      <c r="W33" s="10">
        <v>292</v>
      </c>
      <c r="X33" s="10">
        <v>294</v>
      </c>
      <c r="Y33" s="10">
        <v>296</v>
      </c>
      <c r="Z33" s="10">
        <v>298</v>
      </c>
      <c r="AA33" s="90">
        <v>300</v>
      </c>
    </row>
    <row r="34" spans="1:27" ht="14.1" customHeight="1">
      <c r="A34" s="189">
        <v>0.45</v>
      </c>
      <c r="B34" s="10">
        <v>221</v>
      </c>
      <c r="C34" s="10">
        <v>226</v>
      </c>
      <c r="D34" s="10">
        <v>230</v>
      </c>
      <c r="E34" s="10">
        <v>232</v>
      </c>
      <c r="F34" s="10">
        <v>235</v>
      </c>
      <c r="G34" s="10">
        <v>237</v>
      </c>
      <c r="H34" s="10">
        <v>238</v>
      </c>
      <c r="I34" s="10">
        <v>240</v>
      </c>
      <c r="J34" s="10">
        <v>242</v>
      </c>
      <c r="K34" s="10">
        <v>244</v>
      </c>
      <c r="L34" s="10">
        <v>246</v>
      </c>
      <c r="M34" s="90">
        <v>248</v>
      </c>
      <c r="N34" s="189">
        <v>0.55000000000000004</v>
      </c>
      <c r="O34" s="10">
        <v>286</v>
      </c>
      <c r="P34" s="10">
        <v>288</v>
      </c>
      <c r="Q34" s="10">
        <v>290</v>
      </c>
      <c r="R34" s="10">
        <v>292</v>
      </c>
      <c r="S34" s="10">
        <v>294</v>
      </c>
      <c r="T34" s="10">
        <v>296</v>
      </c>
      <c r="U34" s="10">
        <v>298</v>
      </c>
      <c r="V34" s="10">
        <v>299</v>
      </c>
      <c r="W34" s="10">
        <v>301</v>
      </c>
      <c r="X34" s="10">
        <v>303</v>
      </c>
      <c r="Y34" s="10">
        <v>305</v>
      </c>
      <c r="Z34" s="10">
        <v>307</v>
      </c>
      <c r="AA34" s="90">
        <v>309</v>
      </c>
    </row>
    <row r="35" spans="1:27" ht="14.1" customHeight="1">
      <c r="A35" s="189">
        <v>0.47499999999999998</v>
      </c>
      <c r="B35" s="10">
        <v>233</v>
      </c>
      <c r="C35" s="10">
        <v>237</v>
      </c>
      <c r="D35" s="10">
        <v>241</v>
      </c>
      <c r="E35" s="10">
        <v>243</v>
      </c>
      <c r="F35" s="10">
        <v>245</v>
      </c>
      <c r="G35" s="10">
        <v>247</v>
      </c>
      <c r="H35" s="10">
        <v>249</v>
      </c>
      <c r="I35" s="10">
        <v>251</v>
      </c>
      <c r="J35" s="10">
        <v>253</v>
      </c>
      <c r="K35" s="10">
        <v>254</v>
      </c>
      <c r="L35" s="10">
        <v>256</v>
      </c>
      <c r="M35" s="90">
        <v>258</v>
      </c>
      <c r="N35" s="189">
        <v>0.57499999999999996</v>
      </c>
      <c r="O35" s="10">
        <v>296</v>
      </c>
      <c r="P35" s="10">
        <v>298</v>
      </c>
      <c r="Q35" s="10">
        <v>300</v>
      </c>
      <c r="R35" s="10">
        <v>302</v>
      </c>
      <c r="S35" s="10">
        <v>304</v>
      </c>
      <c r="T35" s="10">
        <v>305</v>
      </c>
      <c r="U35" s="10">
        <v>307</v>
      </c>
      <c r="V35" s="10">
        <v>309</v>
      </c>
      <c r="W35" s="10">
        <v>311</v>
      </c>
      <c r="X35" s="10">
        <v>313</v>
      </c>
      <c r="Y35" s="10">
        <v>315</v>
      </c>
      <c r="Z35" s="10">
        <v>317</v>
      </c>
      <c r="AA35" s="90">
        <v>318</v>
      </c>
    </row>
    <row r="36" spans="1:27" ht="14.1" customHeight="1">
      <c r="A36" s="189">
        <v>0.5</v>
      </c>
      <c r="B36" s="10">
        <v>244</v>
      </c>
      <c r="C36" s="10">
        <v>248</v>
      </c>
      <c r="D36" s="10">
        <v>252</v>
      </c>
      <c r="E36" s="10">
        <v>254</v>
      </c>
      <c r="F36" s="10">
        <v>256</v>
      </c>
      <c r="G36" s="10">
        <v>258</v>
      </c>
      <c r="H36" s="10">
        <v>260</v>
      </c>
      <c r="I36" s="10">
        <v>261</v>
      </c>
      <c r="J36" s="10">
        <v>263</v>
      </c>
      <c r="K36" s="10">
        <v>265</v>
      </c>
      <c r="L36" s="10">
        <v>267</v>
      </c>
      <c r="M36" s="90">
        <v>269</v>
      </c>
      <c r="N36" s="189">
        <v>0.6</v>
      </c>
      <c r="O36" s="10">
        <v>306</v>
      </c>
      <c r="P36" s="10">
        <v>308</v>
      </c>
      <c r="Q36" s="10">
        <v>310</v>
      </c>
      <c r="R36" s="10">
        <v>312</v>
      </c>
      <c r="S36" s="10">
        <v>313</v>
      </c>
      <c r="T36" s="10">
        <v>315</v>
      </c>
      <c r="U36" s="10">
        <v>317</v>
      </c>
      <c r="V36" s="10">
        <v>319</v>
      </c>
      <c r="W36" s="10">
        <v>320</v>
      </c>
      <c r="X36" s="10">
        <v>322</v>
      </c>
      <c r="Y36" s="10">
        <v>324</v>
      </c>
      <c r="Z36" s="10">
        <v>326</v>
      </c>
      <c r="AA36" s="90">
        <v>328</v>
      </c>
    </row>
    <row r="37" spans="1:27" ht="14.1" customHeight="1">
      <c r="A37" s="189">
        <v>0.52500000000000002</v>
      </c>
      <c r="B37" s="10">
        <v>256</v>
      </c>
      <c r="C37" s="10">
        <v>260</v>
      </c>
      <c r="D37" s="10">
        <v>263</v>
      </c>
      <c r="E37" s="10">
        <v>265</v>
      </c>
      <c r="F37" s="10">
        <v>267</v>
      </c>
      <c r="G37" s="10">
        <v>269</v>
      </c>
      <c r="H37" s="10">
        <v>270</v>
      </c>
      <c r="I37" s="10">
        <v>272</v>
      </c>
      <c r="J37" s="10">
        <v>273</v>
      </c>
      <c r="K37" s="10">
        <v>275</v>
      </c>
      <c r="L37" s="10">
        <v>277</v>
      </c>
      <c r="M37" s="90">
        <v>279</v>
      </c>
      <c r="N37" s="189">
        <v>0.625</v>
      </c>
      <c r="O37" s="10">
        <v>316</v>
      </c>
      <c r="P37" s="10">
        <v>318</v>
      </c>
      <c r="Q37" s="10">
        <v>320</v>
      </c>
      <c r="R37" s="10">
        <v>322</v>
      </c>
      <c r="S37" s="10">
        <v>323</v>
      </c>
      <c r="T37" s="10">
        <v>325</v>
      </c>
      <c r="U37" s="10">
        <v>326</v>
      </c>
      <c r="V37" s="10">
        <v>328</v>
      </c>
      <c r="W37" s="10">
        <v>330</v>
      </c>
      <c r="X37" s="10">
        <v>332</v>
      </c>
      <c r="Y37" s="10">
        <v>333</v>
      </c>
      <c r="Z37" s="10">
        <v>335</v>
      </c>
      <c r="AA37" s="90">
        <v>337</v>
      </c>
    </row>
    <row r="38" spans="1:27" ht="14.1" customHeight="1">
      <c r="A38" s="189">
        <v>0.55000000000000004</v>
      </c>
      <c r="B38" s="10">
        <v>267</v>
      </c>
      <c r="C38" s="10">
        <v>271</v>
      </c>
      <c r="D38" s="10">
        <v>274</v>
      </c>
      <c r="E38" s="10">
        <v>276</v>
      </c>
      <c r="F38" s="10">
        <v>278</v>
      </c>
      <c r="G38" s="10">
        <v>279</v>
      </c>
      <c r="H38" s="10">
        <v>281</v>
      </c>
      <c r="I38" s="10">
        <v>282</v>
      </c>
      <c r="J38" s="10">
        <v>284</v>
      </c>
      <c r="K38" s="10">
        <v>285</v>
      </c>
      <c r="L38" s="10">
        <v>287</v>
      </c>
      <c r="M38" s="90">
        <v>289</v>
      </c>
      <c r="N38" s="189">
        <v>0.65</v>
      </c>
      <c r="O38" s="10">
        <v>326</v>
      </c>
      <c r="P38" s="10">
        <v>328</v>
      </c>
      <c r="Q38" s="10">
        <v>330</v>
      </c>
      <c r="R38" s="10">
        <v>331</v>
      </c>
      <c r="S38" s="10">
        <v>333</v>
      </c>
      <c r="T38" s="10">
        <v>334</v>
      </c>
      <c r="U38" s="10">
        <v>336</v>
      </c>
      <c r="V38" s="10">
        <v>338</v>
      </c>
      <c r="W38" s="10">
        <v>339</v>
      </c>
      <c r="X38" s="10">
        <v>341</v>
      </c>
      <c r="Y38" s="10">
        <v>343</v>
      </c>
      <c r="Z38" s="10">
        <v>344</v>
      </c>
      <c r="AA38" s="90">
        <v>346</v>
      </c>
    </row>
    <row r="39" spans="1:27" ht="14.1" customHeight="1">
      <c r="A39" s="189">
        <v>0.57499999999999996</v>
      </c>
      <c r="B39" s="10">
        <v>279</v>
      </c>
      <c r="C39" s="10">
        <v>282</v>
      </c>
      <c r="D39" s="10">
        <v>285</v>
      </c>
      <c r="E39" s="10">
        <v>287</v>
      </c>
      <c r="F39" s="10">
        <v>288</v>
      </c>
      <c r="G39" s="10">
        <v>290</v>
      </c>
      <c r="H39" s="10">
        <v>291</v>
      </c>
      <c r="I39" s="10">
        <v>292</v>
      </c>
      <c r="J39" s="10">
        <v>294</v>
      </c>
      <c r="K39" s="10">
        <v>296</v>
      </c>
      <c r="L39" s="10">
        <v>297</v>
      </c>
      <c r="M39" s="90">
        <v>299</v>
      </c>
      <c r="N39" s="189">
        <v>0.67500000000000004</v>
      </c>
      <c r="O39" s="10">
        <v>336</v>
      </c>
      <c r="P39" s="10">
        <v>338</v>
      </c>
      <c r="Q39" s="10">
        <v>339</v>
      </c>
      <c r="R39" s="10">
        <v>341</v>
      </c>
      <c r="S39" s="10">
        <v>342</v>
      </c>
      <c r="T39" s="10">
        <v>344</v>
      </c>
      <c r="U39" s="10">
        <v>345</v>
      </c>
      <c r="V39" s="10">
        <v>347</v>
      </c>
      <c r="W39" s="10">
        <v>349</v>
      </c>
      <c r="X39" s="10">
        <v>350</v>
      </c>
      <c r="Y39" s="10">
        <v>352</v>
      </c>
      <c r="Z39" s="10">
        <v>354</v>
      </c>
      <c r="AA39" s="90">
        <v>355</v>
      </c>
    </row>
    <row r="40" spans="1:27" ht="14.1" customHeight="1">
      <c r="A40" s="189">
        <v>0.6</v>
      </c>
      <c r="B40" s="10">
        <v>290</v>
      </c>
      <c r="C40" s="10">
        <v>293</v>
      </c>
      <c r="D40" s="10">
        <v>296</v>
      </c>
      <c r="E40" s="10">
        <v>297</v>
      </c>
      <c r="F40" s="10">
        <v>299</v>
      </c>
      <c r="G40" s="10">
        <v>300</v>
      </c>
      <c r="H40" s="10">
        <v>301</v>
      </c>
      <c r="I40" s="10">
        <v>303</v>
      </c>
      <c r="J40" s="10">
        <v>304</v>
      </c>
      <c r="K40" s="10">
        <v>306</v>
      </c>
      <c r="L40" s="10">
        <v>308</v>
      </c>
      <c r="M40" s="90">
        <v>310</v>
      </c>
      <c r="N40" s="189">
        <v>0.7</v>
      </c>
      <c r="O40" s="10">
        <v>346</v>
      </c>
      <c r="P40" s="10">
        <v>348</v>
      </c>
      <c r="Q40" s="10">
        <v>349</v>
      </c>
      <c r="R40" s="10">
        <v>350</v>
      </c>
      <c r="S40" s="10">
        <v>352</v>
      </c>
      <c r="T40" s="10">
        <v>353</v>
      </c>
      <c r="U40" s="10">
        <v>355</v>
      </c>
      <c r="V40" s="10">
        <v>356</v>
      </c>
      <c r="W40" s="10">
        <v>358</v>
      </c>
      <c r="X40" s="10">
        <v>359</v>
      </c>
      <c r="Y40" s="10">
        <v>361</v>
      </c>
      <c r="Z40" s="10">
        <v>363</v>
      </c>
      <c r="AA40" s="90">
        <v>364</v>
      </c>
    </row>
    <row r="41" spans="1:27" ht="14.1" customHeight="1">
      <c r="A41" s="189">
        <v>0.625</v>
      </c>
      <c r="B41" s="10">
        <v>301</v>
      </c>
      <c r="C41" s="10">
        <v>304</v>
      </c>
      <c r="D41" s="10">
        <v>306</v>
      </c>
      <c r="E41" s="10">
        <v>308</v>
      </c>
      <c r="F41" s="10">
        <v>309</v>
      </c>
      <c r="G41" s="10">
        <v>310</v>
      </c>
      <c r="H41" s="10">
        <v>312</v>
      </c>
      <c r="I41" s="10">
        <v>313</v>
      </c>
      <c r="J41" s="10">
        <v>315</v>
      </c>
      <c r="K41" s="10">
        <v>316</v>
      </c>
      <c r="L41" s="10">
        <v>318</v>
      </c>
      <c r="M41" s="90">
        <v>320</v>
      </c>
      <c r="N41" s="189">
        <v>0.72499999999999998</v>
      </c>
      <c r="O41" s="10">
        <v>356</v>
      </c>
      <c r="P41" s="10">
        <v>357</v>
      </c>
      <c r="Q41" s="10">
        <v>358</v>
      </c>
      <c r="R41" s="10">
        <v>360</v>
      </c>
      <c r="S41" s="10">
        <v>361</v>
      </c>
      <c r="T41" s="10">
        <v>362</v>
      </c>
      <c r="U41" s="10">
        <v>364</v>
      </c>
      <c r="V41" s="10">
        <v>365</v>
      </c>
      <c r="W41" s="10">
        <v>367</v>
      </c>
      <c r="X41" s="10">
        <v>368</v>
      </c>
      <c r="Y41" s="10">
        <v>370</v>
      </c>
      <c r="Z41" s="10">
        <v>372</v>
      </c>
      <c r="AA41" s="90">
        <v>373</v>
      </c>
    </row>
    <row r="42" spans="1:27" ht="14.1" customHeight="1">
      <c r="A42" s="189">
        <v>0.65</v>
      </c>
      <c r="B42" s="10">
        <v>312</v>
      </c>
      <c r="C42" s="10">
        <v>314</v>
      </c>
      <c r="D42" s="10">
        <v>317</v>
      </c>
      <c r="E42" s="10">
        <v>318</v>
      </c>
      <c r="F42" s="10">
        <v>320</v>
      </c>
      <c r="G42" s="10">
        <v>321</v>
      </c>
      <c r="H42" s="10">
        <v>322</v>
      </c>
      <c r="I42" s="10">
        <v>323</v>
      </c>
      <c r="J42" s="10">
        <v>325</v>
      </c>
      <c r="K42" s="10">
        <v>326</v>
      </c>
      <c r="L42" s="10">
        <v>328</v>
      </c>
      <c r="M42" s="90">
        <v>330</v>
      </c>
      <c r="N42" s="189">
        <v>0.75</v>
      </c>
      <c r="O42" s="10">
        <v>365</v>
      </c>
      <c r="P42" s="10">
        <v>367</v>
      </c>
      <c r="Q42" s="10">
        <v>368</v>
      </c>
      <c r="R42" s="10">
        <v>369</v>
      </c>
      <c r="S42" s="10">
        <v>370</v>
      </c>
      <c r="T42" s="10">
        <v>372</v>
      </c>
      <c r="U42" s="10">
        <v>373</v>
      </c>
      <c r="V42" s="10">
        <v>375</v>
      </c>
      <c r="W42" s="10">
        <v>376</v>
      </c>
      <c r="X42" s="10">
        <v>378</v>
      </c>
      <c r="Y42" s="10">
        <v>379</v>
      </c>
      <c r="Z42" s="10">
        <v>381</v>
      </c>
      <c r="AA42" s="90">
        <v>382</v>
      </c>
    </row>
    <row r="43" spans="1:27" ht="14.1" customHeight="1">
      <c r="A43" s="189">
        <v>0.67500000000000004</v>
      </c>
      <c r="B43" s="10">
        <v>322</v>
      </c>
      <c r="C43" s="10">
        <v>325</v>
      </c>
      <c r="D43" s="10">
        <v>327</v>
      </c>
      <c r="E43" s="10">
        <v>328</v>
      </c>
      <c r="F43" s="10">
        <v>330</v>
      </c>
      <c r="G43" s="10">
        <v>331</v>
      </c>
      <c r="H43" s="10">
        <v>333</v>
      </c>
      <c r="I43" s="10">
        <v>333</v>
      </c>
      <c r="J43" s="10">
        <v>335</v>
      </c>
      <c r="K43" s="10">
        <v>336</v>
      </c>
      <c r="L43" s="10">
        <v>338</v>
      </c>
      <c r="M43" s="90">
        <v>340</v>
      </c>
      <c r="N43" s="189">
        <v>0.77500000000000002</v>
      </c>
      <c r="O43" s="10">
        <v>374</v>
      </c>
      <c r="P43" s="10">
        <v>376</v>
      </c>
      <c r="Q43" s="10">
        <v>377</v>
      </c>
      <c r="R43" s="10">
        <v>378</v>
      </c>
      <c r="S43" s="10">
        <v>379</v>
      </c>
      <c r="T43" s="10">
        <v>381</v>
      </c>
      <c r="U43" s="10">
        <v>382</v>
      </c>
      <c r="V43" s="10">
        <v>383</v>
      </c>
      <c r="W43" s="10">
        <v>385</v>
      </c>
      <c r="X43" s="10">
        <v>386</v>
      </c>
      <c r="Y43" s="10">
        <v>388</v>
      </c>
      <c r="Z43" s="10">
        <v>390</v>
      </c>
      <c r="AA43" s="90">
        <v>391</v>
      </c>
    </row>
    <row r="44" spans="1:27" ht="14.1" customHeight="1">
      <c r="A44" s="189">
        <v>0.7</v>
      </c>
      <c r="B44" s="10">
        <v>333</v>
      </c>
      <c r="C44" s="10">
        <v>335</v>
      </c>
      <c r="D44" s="10">
        <v>337</v>
      </c>
      <c r="E44" s="10">
        <v>339</v>
      </c>
      <c r="F44" s="10">
        <v>340</v>
      </c>
      <c r="G44" s="10">
        <v>341</v>
      </c>
      <c r="H44" s="10">
        <v>342</v>
      </c>
      <c r="I44" s="10">
        <v>343</v>
      </c>
      <c r="J44" s="10">
        <v>345</v>
      </c>
      <c r="K44" s="10">
        <v>346</v>
      </c>
      <c r="L44" s="10">
        <v>348</v>
      </c>
      <c r="M44" s="90">
        <v>350</v>
      </c>
      <c r="N44" s="189">
        <v>0.8</v>
      </c>
      <c r="O44" s="10">
        <v>384</v>
      </c>
      <c r="P44" s="10">
        <v>385</v>
      </c>
      <c r="Q44" s="10">
        <v>386</v>
      </c>
      <c r="R44" s="10">
        <v>387</v>
      </c>
      <c r="S44" s="10">
        <v>388</v>
      </c>
      <c r="T44" s="10">
        <v>390</v>
      </c>
      <c r="U44" s="10">
        <v>391</v>
      </c>
      <c r="V44" s="10">
        <v>392</v>
      </c>
      <c r="W44" s="10">
        <v>394</v>
      </c>
      <c r="X44" s="10">
        <v>395</v>
      </c>
      <c r="Y44" s="10">
        <v>397</v>
      </c>
      <c r="Z44" s="10">
        <v>398</v>
      </c>
      <c r="AA44" s="90">
        <v>400</v>
      </c>
    </row>
    <row r="45" spans="1:27" ht="14.1" customHeight="1">
      <c r="A45" s="189">
        <v>0.72499999999999998</v>
      </c>
      <c r="B45" s="10">
        <v>342</v>
      </c>
      <c r="C45" s="10">
        <v>345</v>
      </c>
      <c r="D45" s="10">
        <v>347</v>
      </c>
      <c r="E45" s="10">
        <v>348</v>
      </c>
      <c r="F45" s="10">
        <v>349</v>
      </c>
      <c r="G45" s="10">
        <v>351</v>
      </c>
      <c r="H45" s="10">
        <v>352</v>
      </c>
      <c r="I45" s="10">
        <v>353</v>
      </c>
      <c r="J45" s="10">
        <v>354</v>
      </c>
      <c r="K45" s="10">
        <v>356</v>
      </c>
      <c r="L45" s="10">
        <v>358</v>
      </c>
      <c r="M45" s="90">
        <v>360</v>
      </c>
      <c r="N45" s="189">
        <v>0.82499999999999996</v>
      </c>
      <c r="O45" s="10">
        <v>393</v>
      </c>
      <c r="P45" s="10">
        <v>394</v>
      </c>
      <c r="Q45" s="10">
        <v>395</v>
      </c>
      <c r="R45" s="10">
        <v>396</v>
      </c>
      <c r="S45" s="10">
        <v>397</v>
      </c>
      <c r="T45" s="10">
        <v>399</v>
      </c>
      <c r="U45" s="10">
        <v>400</v>
      </c>
      <c r="V45" s="10">
        <v>401</v>
      </c>
      <c r="W45" s="10">
        <v>403</v>
      </c>
      <c r="X45" s="10">
        <v>404</v>
      </c>
      <c r="Y45" s="10">
        <v>406</v>
      </c>
      <c r="Z45" s="10">
        <v>407</v>
      </c>
      <c r="AA45" s="90">
        <v>408</v>
      </c>
    </row>
    <row r="46" spans="1:27" ht="14.1" customHeight="1">
      <c r="A46" s="189">
        <v>0.75</v>
      </c>
      <c r="B46" s="10">
        <v>352</v>
      </c>
      <c r="C46" s="10">
        <v>355</v>
      </c>
      <c r="D46" s="10">
        <v>357</v>
      </c>
      <c r="E46" s="10">
        <v>358</v>
      </c>
      <c r="F46" s="10">
        <v>359</v>
      </c>
      <c r="G46" s="10">
        <v>360</v>
      </c>
      <c r="H46" s="10">
        <v>361</v>
      </c>
      <c r="I46" s="10">
        <v>363</v>
      </c>
      <c r="J46" s="10">
        <v>364</v>
      </c>
      <c r="K46" s="10">
        <v>366</v>
      </c>
      <c r="L46" s="10">
        <v>368</v>
      </c>
      <c r="M46" s="90">
        <v>369</v>
      </c>
      <c r="N46" s="189">
        <v>0.85</v>
      </c>
      <c r="O46" s="10">
        <v>402</v>
      </c>
      <c r="P46" s="10">
        <v>403</v>
      </c>
      <c r="Q46" s="10">
        <v>404</v>
      </c>
      <c r="R46" s="10">
        <v>405</v>
      </c>
      <c r="S46" s="10">
        <v>406</v>
      </c>
      <c r="T46" s="10">
        <v>407</v>
      </c>
      <c r="U46" s="10">
        <v>409</v>
      </c>
      <c r="V46" s="10">
        <v>410</v>
      </c>
      <c r="W46" s="10">
        <v>411</v>
      </c>
      <c r="X46" s="10">
        <v>413</v>
      </c>
      <c r="Y46" s="10">
        <v>414</v>
      </c>
      <c r="Z46" s="10">
        <v>416</v>
      </c>
      <c r="AA46" s="90">
        <v>417</v>
      </c>
    </row>
    <row r="47" spans="1:27" ht="14.1" customHeight="1">
      <c r="A47" s="189">
        <v>0.77500000000000002</v>
      </c>
      <c r="B47" s="10">
        <v>361</v>
      </c>
      <c r="C47" s="10">
        <v>365</v>
      </c>
      <c r="D47" s="10">
        <v>367</v>
      </c>
      <c r="E47" s="10">
        <v>368</v>
      </c>
      <c r="F47" s="10">
        <v>369</v>
      </c>
      <c r="G47" s="10">
        <v>370</v>
      </c>
      <c r="H47" s="10">
        <v>371</v>
      </c>
      <c r="I47" s="10">
        <v>372</v>
      </c>
      <c r="J47" s="10">
        <v>374</v>
      </c>
      <c r="K47" s="10">
        <v>375</v>
      </c>
      <c r="L47" s="10">
        <v>377</v>
      </c>
      <c r="M47" s="90">
        <v>379</v>
      </c>
      <c r="N47" s="189">
        <v>0.875</v>
      </c>
      <c r="O47" s="10">
        <v>410</v>
      </c>
      <c r="P47" s="10">
        <v>411</v>
      </c>
      <c r="Q47" s="10">
        <v>412</v>
      </c>
      <c r="R47" s="10">
        <v>413</v>
      </c>
      <c r="S47" s="10">
        <v>415</v>
      </c>
      <c r="T47" s="10">
        <v>416</v>
      </c>
      <c r="U47" s="10">
        <v>417</v>
      </c>
      <c r="V47" s="10">
        <v>418</v>
      </c>
      <c r="W47" s="10">
        <v>420</v>
      </c>
      <c r="X47" s="10">
        <v>421</v>
      </c>
      <c r="Y47" s="10">
        <v>423</v>
      </c>
      <c r="Z47" s="10">
        <v>424</v>
      </c>
      <c r="AA47" s="90">
        <v>425</v>
      </c>
    </row>
    <row r="48" spans="1:27" ht="14.1" customHeight="1" thickBot="1">
      <c r="A48" s="190">
        <v>0.8</v>
      </c>
      <c r="B48" s="94">
        <v>369</v>
      </c>
      <c r="C48" s="94">
        <v>374</v>
      </c>
      <c r="D48" s="94">
        <v>376</v>
      </c>
      <c r="E48" s="94">
        <v>377</v>
      </c>
      <c r="F48" s="94">
        <v>378</v>
      </c>
      <c r="G48" s="94">
        <v>379</v>
      </c>
      <c r="H48" s="94">
        <v>380</v>
      </c>
      <c r="I48" s="94">
        <v>382</v>
      </c>
      <c r="J48" s="94">
        <v>383</v>
      </c>
      <c r="K48" s="94">
        <v>385</v>
      </c>
      <c r="L48" s="94">
        <v>387</v>
      </c>
      <c r="M48" s="95">
        <v>389</v>
      </c>
      <c r="N48" s="190">
        <v>0.9</v>
      </c>
      <c r="O48" s="94">
        <v>419</v>
      </c>
      <c r="P48" s="94">
        <v>420</v>
      </c>
      <c r="Q48" s="94">
        <v>421</v>
      </c>
      <c r="R48" s="94">
        <v>422</v>
      </c>
      <c r="S48" s="94">
        <v>423</v>
      </c>
      <c r="T48" s="94">
        <v>424</v>
      </c>
      <c r="U48" s="94">
        <v>425</v>
      </c>
      <c r="V48" s="94">
        <v>427</v>
      </c>
      <c r="W48" s="94">
        <v>428</v>
      </c>
      <c r="X48" s="94">
        <v>429</v>
      </c>
      <c r="Y48" s="94">
        <v>431</v>
      </c>
      <c r="Z48" s="94">
        <v>432</v>
      </c>
      <c r="AA48" s="95">
        <v>434</v>
      </c>
    </row>
    <row r="50" spans="1:19" ht="14.1" customHeight="1">
      <c r="A50" s="70" t="s">
        <v>412</v>
      </c>
    </row>
    <row r="51" spans="1:19" ht="14.1" customHeight="1">
      <c r="B51" s="797" t="s">
        <v>413</v>
      </c>
      <c r="C51" s="797" t="s">
        <v>414</v>
      </c>
      <c r="D51" s="799" t="s">
        <v>415</v>
      </c>
      <c r="E51" s="800"/>
      <c r="F51" s="800"/>
      <c r="G51" s="800"/>
      <c r="H51" s="800"/>
      <c r="I51" s="800"/>
      <c r="J51" s="800"/>
      <c r="K51" s="801"/>
    </row>
    <row r="52" spans="1:19" ht="14.1" customHeight="1">
      <c r="B52" s="798"/>
      <c r="C52" s="798"/>
      <c r="D52" s="144">
        <v>0.25</v>
      </c>
      <c r="E52" s="144">
        <v>0.3</v>
      </c>
      <c r="F52" s="144">
        <v>0.35</v>
      </c>
      <c r="G52" s="144">
        <v>0.4</v>
      </c>
      <c r="H52" s="144">
        <v>0.45</v>
      </c>
      <c r="I52" s="144">
        <v>0.5</v>
      </c>
      <c r="J52" s="144">
        <v>0.55000000000000004</v>
      </c>
      <c r="K52" s="144">
        <v>0.6</v>
      </c>
      <c r="L52" s="100" t="s">
        <v>416</v>
      </c>
      <c r="M52" s="100" t="s">
        <v>417</v>
      </c>
      <c r="N52" s="100" t="s">
        <v>609</v>
      </c>
    </row>
    <row r="53" spans="1:19" ht="14.1" customHeight="1">
      <c r="A53" s="99" t="s">
        <v>418</v>
      </c>
      <c r="B53" s="10">
        <v>45</v>
      </c>
      <c r="C53" s="10">
        <v>53</v>
      </c>
      <c r="D53" s="10">
        <v>0.13</v>
      </c>
      <c r="E53" s="10">
        <v>0.155</v>
      </c>
      <c r="F53" s="10">
        <v>0.17699999999999999</v>
      </c>
      <c r="G53" s="10">
        <v>0.19800000000000001</v>
      </c>
      <c r="H53" s="10">
        <v>0.22</v>
      </c>
      <c r="I53" s="10">
        <v>0.245</v>
      </c>
      <c r="J53" s="10">
        <v>0.27200000000000002</v>
      </c>
      <c r="K53" s="10">
        <v>0.29499999999999998</v>
      </c>
      <c r="L53" s="263">
        <f>SLOPE(D53:K53,$D$52:$K$52)</f>
        <v>0.46809523809523801</v>
      </c>
      <c r="M53" s="263">
        <f>INTERCEPT(D53:K53,$D$52:$K$52)</f>
        <v>1.2559523809523854E-2</v>
      </c>
      <c r="N53" s="19">
        <f>RSQ(D53:K53,D52:K52)</f>
        <v>0.99882265140144821</v>
      </c>
    </row>
    <row r="54" spans="1:19" ht="14.1" customHeight="1">
      <c r="A54" s="99" t="s">
        <v>419</v>
      </c>
      <c r="B54" s="10">
        <v>45</v>
      </c>
      <c r="C54" s="10">
        <v>53</v>
      </c>
      <c r="D54" s="10"/>
      <c r="E54" s="10">
        <v>1.109</v>
      </c>
      <c r="F54" s="10">
        <v>1.105</v>
      </c>
      <c r="G54" s="10">
        <v>1.1020000000000001</v>
      </c>
      <c r="H54" s="10">
        <v>1.099</v>
      </c>
      <c r="I54" s="10">
        <v>1.0960000000000001</v>
      </c>
      <c r="J54" s="10">
        <v>1.091</v>
      </c>
      <c r="K54" s="10">
        <v>1.0880000000000001</v>
      </c>
      <c r="L54" s="263">
        <f>SLOPE(D54:K54,$D$52:$K$52)</f>
        <v>-6.928571428571409E-2</v>
      </c>
      <c r="M54" s="263">
        <f>INTERCEPT(D54:K54,$D$52:$K$52)</f>
        <v>1.1297499999999998</v>
      </c>
      <c r="N54" s="19">
        <f>RSQ(E54:K54,E52:K52)</f>
        <v>0.99502961082910224</v>
      </c>
    </row>
    <row r="55" spans="1:19" ht="14.1" customHeight="1">
      <c r="A55" s="99" t="s">
        <v>418</v>
      </c>
      <c r="B55" s="10">
        <v>50</v>
      </c>
      <c r="C55" s="10">
        <v>60</v>
      </c>
      <c r="D55" s="10">
        <v>0.112</v>
      </c>
      <c r="E55" s="10">
        <v>0.13500000000000001</v>
      </c>
      <c r="F55" s="10">
        <v>0.154</v>
      </c>
      <c r="G55" s="10">
        <v>0.17199999999999999</v>
      </c>
      <c r="H55" s="10">
        <v>0.192</v>
      </c>
      <c r="I55" s="10">
        <v>0.214</v>
      </c>
      <c r="J55" s="10">
        <v>0.23599999999999999</v>
      </c>
      <c r="K55" s="10">
        <v>0.26100000000000001</v>
      </c>
      <c r="L55" s="263">
        <f>SLOPE(D55:K55,$D$52:$K$52)</f>
        <v>0.41619047619047611</v>
      </c>
      <c r="M55" s="263">
        <f>INTERCEPT(D55:K55,$D$52:$K$52)</f>
        <v>7.6190476190476641E-3</v>
      </c>
      <c r="N55" s="19">
        <f>RSQ(D55:K55,D52:K52)</f>
        <v>0.99799845311258839</v>
      </c>
    </row>
    <row r="56" spans="1:19" ht="14.1" customHeight="1">
      <c r="A56" s="99" t="s">
        <v>419</v>
      </c>
      <c r="B56" s="10">
        <v>50</v>
      </c>
      <c r="C56" s="10">
        <v>60</v>
      </c>
      <c r="D56" s="10"/>
      <c r="E56" s="12">
        <v>1.1639999999999999</v>
      </c>
      <c r="F56" s="12">
        <v>1.1599999999999999</v>
      </c>
      <c r="G56" s="12">
        <v>1.151</v>
      </c>
      <c r="H56" s="12">
        <v>1.1499999999999999</v>
      </c>
      <c r="I56" s="12">
        <v>1.1439999999999999</v>
      </c>
      <c r="J56" s="12">
        <v>1.139</v>
      </c>
      <c r="K56" s="12">
        <v>1.1339999999999999</v>
      </c>
      <c r="L56" s="556">
        <f>SLOPE(D56:K56,$D$52:$K$52)</f>
        <v>-9.9285714285714269E-2</v>
      </c>
      <c r="M56" s="556">
        <f>INTERCEPT(D56:K56,$D$52:$K$52)</f>
        <v>1.1935357142857141</v>
      </c>
      <c r="N56" s="19">
        <f>RSQ(E56:K56,E52:K52)</f>
        <v>0.98455972278842285</v>
      </c>
    </row>
    <row r="57" spans="1:19" ht="14.1" customHeight="1">
      <c r="H57" s="260" t="s">
        <v>785</v>
      </c>
      <c r="I57" s="260" t="s">
        <v>786</v>
      </c>
      <c r="J57" s="260" t="s">
        <v>787</v>
      </c>
      <c r="K57" s="260" t="s">
        <v>463</v>
      </c>
    </row>
    <row r="58" spans="1:19" ht="14.1" customHeight="1">
      <c r="B58" s="10" t="s">
        <v>226</v>
      </c>
      <c r="C58" s="10" t="s">
        <v>251</v>
      </c>
      <c r="D58" s="10" t="s">
        <v>227</v>
      </c>
      <c r="G58" s="33" t="s">
        <v>596</v>
      </c>
      <c r="H58" s="260" t="e">
        <f>HVL*Sheet1!X262+M53</f>
        <v>#N/A</v>
      </c>
      <c r="I58" s="260" t="e">
        <f>HVL*L54+M54</f>
        <v>#N/A</v>
      </c>
      <c r="J58" s="260">
        <f>D59</f>
        <v>1.042</v>
      </c>
      <c r="K58" s="260" t="e">
        <f>ESE*PRODUCT(H58:J58)</f>
        <v>#N/A</v>
      </c>
    </row>
    <row r="59" spans="1:19" ht="14.1" customHeight="1">
      <c r="A59" s="99" t="s">
        <v>420</v>
      </c>
      <c r="B59" s="10">
        <v>1</v>
      </c>
      <c r="C59" s="10">
        <v>1.0169999999999999</v>
      </c>
      <c r="D59" s="10">
        <v>1.042</v>
      </c>
      <c r="F59" s="682"/>
      <c r="G59" s="33" t="s">
        <v>602</v>
      </c>
      <c r="H59" s="260" t="e">
        <f>COMBO2D_HVL*Tables!L53+Tables!M53</f>
        <v>#N/A</v>
      </c>
      <c r="I59" s="260" t="e">
        <f>COMBO2D_HVL*Tables!L54+Tables!M54</f>
        <v>#N/A</v>
      </c>
      <c r="J59" s="260">
        <f>D59</f>
        <v>1.042</v>
      </c>
      <c r="K59" s="260" t="e">
        <f>COMBO2D_ESE*PRODUCT(H59:J59)</f>
        <v>#VALUE!</v>
      </c>
    </row>
    <row r="60" spans="1:19" ht="14.1" customHeight="1">
      <c r="G60" s="33" t="s">
        <v>603</v>
      </c>
      <c r="H60" s="260" t="e">
        <f>COMBOTOMO_HVL*Tables!L53+Tables!M53</f>
        <v>#N/A</v>
      </c>
      <c r="I60" s="260" t="e">
        <f>COMBOTOMO_HVL*Tables!L54+Tables!M54</f>
        <v>#N/A</v>
      </c>
      <c r="J60" s="260">
        <f>D59</f>
        <v>1.042</v>
      </c>
      <c r="K60" s="260" t="e">
        <f>COMBOTOMO_ESE*PRODUCT(H60:J60)</f>
        <v>#VALUE!</v>
      </c>
    </row>
    <row r="61" spans="1:19" ht="14.1" customHeight="1">
      <c r="A61" s="70" t="s">
        <v>421</v>
      </c>
      <c r="C61" s="19" t="s">
        <v>767</v>
      </c>
    </row>
    <row r="62" spans="1:19" ht="14.1" customHeight="1">
      <c r="A62" s="229" t="s">
        <v>62</v>
      </c>
      <c r="B62" s="100" t="s">
        <v>258</v>
      </c>
      <c r="C62" s="100" t="s">
        <v>324</v>
      </c>
      <c r="D62" s="229" t="s">
        <v>62</v>
      </c>
      <c r="E62" s="100" t="s">
        <v>258</v>
      </c>
      <c r="F62" s="100" t="s">
        <v>324</v>
      </c>
      <c r="G62" s="229" t="s">
        <v>62</v>
      </c>
      <c r="H62" s="100" t="s">
        <v>258</v>
      </c>
      <c r="I62" s="100" t="s">
        <v>324</v>
      </c>
      <c r="K62" s="100"/>
      <c r="O62" s="759"/>
      <c r="P62" s="759"/>
      <c r="Q62" s="759"/>
      <c r="R62" s="759"/>
      <c r="S62" s="759"/>
    </row>
    <row r="63" spans="1:19" ht="14.1" customHeight="1">
      <c r="A63" s="100" t="str">
        <f>Sheet1!P371</f>
        <v>/</v>
      </c>
      <c r="B63" s="100">
        <f>Sheet1!Q371</f>
        <v>24</v>
      </c>
      <c r="C63" s="263" t="str">
        <f>Sheet1!V371</f>
        <v/>
      </c>
      <c r="D63" s="100" t="str">
        <f>Sheet1!P378</f>
        <v>/</v>
      </c>
      <c r="E63" s="100">
        <f>Sheet1!Q378</f>
        <v>28</v>
      </c>
      <c r="F63" s="263" t="str">
        <f>Sheet1!V378</f>
        <v/>
      </c>
      <c r="G63" s="262">
        <f>Sheet1!P384</f>
        <v>0</v>
      </c>
      <c r="H63" s="100">
        <f>Sheet1!Q384</f>
        <v>0</v>
      </c>
      <c r="I63" s="262">
        <f>Sheet1!V384</f>
        <v>0</v>
      </c>
      <c r="K63" s="100"/>
      <c r="O63" s="100"/>
      <c r="P63" s="100"/>
      <c r="Q63" s="100"/>
      <c r="R63" s="100"/>
      <c r="S63" s="100"/>
    </row>
    <row r="64" spans="1:19" ht="14.1" customHeight="1">
      <c r="A64" s="229"/>
      <c r="B64" s="100">
        <f>Sheet1!Q372</f>
        <v>25</v>
      </c>
      <c r="C64" s="263" t="str">
        <f>Sheet1!V372</f>
        <v/>
      </c>
      <c r="D64" s="229"/>
      <c r="E64" s="100">
        <f>Sheet1!Q379</f>
        <v>30</v>
      </c>
      <c r="F64" s="263" t="str">
        <f>Sheet1!V379</f>
        <v/>
      </c>
      <c r="G64" s="262"/>
      <c r="H64" s="100">
        <f>Sheet1!Q385</f>
        <v>0</v>
      </c>
      <c r="I64" s="262">
        <f>Sheet1!V385</f>
        <v>0</v>
      </c>
      <c r="K64" s="100"/>
      <c r="O64" s="240"/>
      <c r="P64" s="240"/>
      <c r="Q64" s="240"/>
      <c r="R64" s="240"/>
      <c r="S64" s="240"/>
    </row>
    <row r="65" spans="1:19" ht="14.1" customHeight="1">
      <c r="A65" s="100"/>
      <c r="B65" s="100">
        <f>Sheet1!Q373</f>
        <v>26</v>
      </c>
      <c r="C65" s="263" t="str">
        <f>Sheet1!V373</f>
        <v/>
      </c>
      <c r="D65" s="100"/>
      <c r="E65" s="100">
        <f>Sheet1!Q380</f>
        <v>32</v>
      </c>
      <c r="F65" s="263" t="str">
        <f>Sheet1!V380</f>
        <v/>
      </c>
      <c r="G65" s="262"/>
      <c r="H65" s="100">
        <f>Sheet1!Q386</f>
        <v>0</v>
      </c>
      <c r="I65" s="262">
        <f>Sheet1!V386</f>
        <v>0</v>
      </c>
      <c r="K65" s="100"/>
      <c r="O65" s="240"/>
      <c r="P65" s="240"/>
      <c r="Q65" s="240"/>
      <c r="R65" s="240"/>
      <c r="S65" s="240"/>
    </row>
    <row r="66" spans="1:19" ht="14.1" customHeight="1">
      <c r="A66" s="100"/>
      <c r="B66" s="100">
        <f>Sheet1!Q374</f>
        <v>28</v>
      </c>
      <c r="C66" s="263" t="str">
        <f>Sheet1!V374</f>
        <v/>
      </c>
      <c r="D66" s="100"/>
      <c r="E66" s="100">
        <f>Sheet1!Q381</f>
        <v>34</v>
      </c>
      <c r="F66" s="263" t="str">
        <f>Sheet1!V381</f>
        <v/>
      </c>
      <c r="G66" s="262"/>
      <c r="H66" s="100">
        <f>Sheet1!Q387</f>
        <v>0</v>
      </c>
      <c r="I66" s="262">
        <f>Sheet1!V387</f>
        <v>0</v>
      </c>
      <c r="K66" s="100"/>
      <c r="O66" s="240"/>
      <c r="P66" s="240"/>
      <c r="Q66" s="240"/>
      <c r="R66" s="240"/>
      <c r="S66" s="240"/>
    </row>
    <row r="67" spans="1:19" ht="14.1" customHeight="1">
      <c r="A67" s="100"/>
      <c r="B67" s="100">
        <f>Sheet1!Q375</f>
        <v>30</v>
      </c>
      <c r="C67" s="263" t="str">
        <f>Sheet1!V375</f>
        <v/>
      </c>
      <c r="D67" s="100"/>
      <c r="E67" s="100" t="str">
        <f>Sheet1!Q382</f>
        <v/>
      </c>
      <c r="F67" s="263" t="str">
        <f>Sheet1!V382</f>
        <v/>
      </c>
      <c r="G67" s="262"/>
      <c r="H67" s="100">
        <f>Sheet1!Q388</f>
        <v>0</v>
      </c>
      <c r="I67" s="262">
        <f>Sheet1!V388</f>
        <v>0</v>
      </c>
      <c r="K67" s="100"/>
      <c r="O67" s="240"/>
      <c r="P67" s="240"/>
      <c r="Q67" s="240"/>
      <c r="R67" s="240"/>
      <c r="S67" s="240"/>
    </row>
    <row r="68" spans="1:19" ht="14.1" customHeight="1">
      <c r="A68" s="100"/>
      <c r="B68" s="100">
        <f>Sheet1!Q376</f>
        <v>32</v>
      </c>
      <c r="C68" s="263" t="str">
        <f>Sheet1!V376</f>
        <v/>
      </c>
      <c r="D68" s="100"/>
      <c r="E68" s="100" t="str">
        <f>Sheet1!Q383</f>
        <v/>
      </c>
      <c r="F68" s="263" t="str">
        <f>Sheet1!V383</f>
        <v/>
      </c>
      <c r="G68" s="100"/>
      <c r="I68" s="240"/>
      <c r="O68" s="240"/>
      <c r="P68" s="240"/>
      <c r="Q68" s="240"/>
      <c r="R68" s="240"/>
      <c r="S68" s="240"/>
    </row>
    <row r="69" spans="1:19" ht="14.1" customHeight="1">
      <c r="A69" s="100"/>
      <c r="B69" s="100">
        <v>34</v>
      </c>
      <c r="C69" s="263" t="str">
        <f>Sheet1!V377</f>
        <v/>
      </c>
      <c r="E69" s="100"/>
      <c r="F69" s="100"/>
      <c r="G69" s="100"/>
      <c r="I69" s="240"/>
      <c r="O69" s="240"/>
      <c r="P69" s="240"/>
      <c r="Q69" s="240"/>
      <c r="R69" s="240"/>
      <c r="S69" s="240"/>
    </row>
    <row r="70" spans="1:19" ht="14.1" customHeight="1">
      <c r="A70" s="100"/>
      <c r="B70" s="100" t="str">
        <f>A63</f>
        <v>/</v>
      </c>
      <c r="C70" s="100" t="str">
        <f>D63</f>
        <v>/</v>
      </c>
      <c r="D70" s="262">
        <f>G63</f>
        <v>0</v>
      </c>
      <c r="O70" s="240"/>
      <c r="P70" s="240"/>
      <c r="Q70" s="240"/>
      <c r="R70" s="240"/>
      <c r="S70" s="240"/>
    </row>
    <row r="71" spans="1:19" ht="14.1" customHeight="1">
      <c r="A71" s="33" t="s">
        <v>425</v>
      </c>
      <c r="B71" s="19" t="e">
        <f>SLOPE(C63:C69,$B$63:$B$69)</f>
        <v>#DIV/0!</v>
      </c>
      <c r="C71" s="19" t="e">
        <f>SLOPE(F63:F68,$E$63:$E$68)</f>
        <v>#DIV/0!</v>
      </c>
      <c r="D71" s="19" t="e">
        <f>SLOPE(I63:I67,$H$63:$H$67)</f>
        <v>#DIV/0!</v>
      </c>
      <c r="G71" s="33"/>
      <c r="K71" s="33"/>
      <c r="O71" s="240"/>
      <c r="P71" s="240"/>
      <c r="Q71" s="240"/>
      <c r="R71" s="240"/>
      <c r="S71" s="240"/>
    </row>
    <row r="72" spans="1:19" ht="14.1" customHeight="1">
      <c r="A72" s="33" t="s">
        <v>426</v>
      </c>
      <c r="B72" s="19" t="e">
        <f>INTERCEPT(C63:C69,$B$63:$B$69)</f>
        <v>#DIV/0!</v>
      </c>
      <c r="C72" s="19" t="e">
        <f>INTERCEPT(F63:F68,$E$63:$E$68)</f>
        <v>#DIV/0!</v>
      </c>
      <c r="D72" s="19" t="e">
        <f>INTERCEPT(I63:I67,$H$63:$H$67)</f>
        <v>#DIV/0!</v>
      </c>
      <c r="G72" s="33"/>
      <c r="K72" s="33"/>
      <c r="O72" s="240"/>
      <c r="P72" s="240"/>
      <c r="Q72" s="240"/>
      <c r="R72" s="240"/>
      <c r="S72" s="240"/>
    </row>
    <row r="73" spans="1:19" ht="14.1" customHeight="1">
      <c r="A73" s="33" t="s">
        <v>519</v>
      </c>
      <c r="B73" s="19" t="e">
        <f>RSQ(C63:C69,B63:B69)</f>
        <v>#DIV/0!</v>
      </c>
      <c r="C73" s="19" t="e">
        <f>RSQ(F63:F68,E63:E68)</f>
        <v>#DIV/0!</v>
      </c>
      <c r="D73" s="19" t="e">
        <f>RSQ(I63:I67,H63:H67)</f>
        <v>#DIV/0!</v>
      </c>
      <c r="O73" s="240"/>
      <c r="P73" s="240"/>
      <c r="Q73" s="240"/>
      <c r="R73" s="240"/>
      <c r="S73" s="240"/>
    </row>
    <row r="74" spans="1:19" ht="14.1" customHeight="1">
      <c r="A74" s="70" t="s">
        <v>339</v>
      </c>
      <c r="C74" s="19" t="s">
        <v>601</v>
      </c>
      <c r="O74" s="240"/>
      <c r="P74" s="240"/>
      <c r="Q74" s="240"/>
      <c r="R74" s="240"/>
      <c r="S74" s="240"/>
    </row>
    <row r="75" spans="1:19" ht="14.1" customHeight="1">
      <c r="A75" s="229" t="s">
        <v>62</v>
      </c>
      <c r="B75" s="100" t="s">
        <v>258</v>
      </c>
      <c r="C75" s="100" t="s">
        <v>342</v>
      </c>
      <c r="D75" s="229" t="s">
        <v>62</v>
      </c>
      <c r="E75" s="100" t="s">
        <v>258</v>
      </c>
      <c r="F75" s="100" t="s">
        <v>342</v>
      </c>
      <c r="G75" s="229" t="s">
        <v>62</v>
      </c>
      <c r="H75" s="100" t="s">
        <v>258</v>
      </c>
      <c r="I75" s="100" t="s">
        <v>342</v>
      </c>
      <c r="K75" s="243" t="s">
        <v>17</v>
      </c>
      <c r="L75" s="243" t="s">
        <v>18</v>
      </c>
      <c r="M75" s="243" t="s">
        <v>427</v>
      </c>
      <c r="O75" s="240"/>
      <c r="P75" s="240"/>
      <c r="Q75" s="240"/>
      <c r="R75" s="240"/>
      <c r="S75" s="240"/>
    </row>
    <row r="76" spans="1:19" ht="14.1" customHeight="1">
      <c r="A76" s="100" t="str">
        <f>Sheet1!P371</f>
        <v>/</v>
      </c>
      <c r="B76" s="240" t="e">
        <f>AVERAGE(Sheet1!#REF!)</f>
        <v>#REF!</v>
      </c>
      <c r="C76" s="240" t="e">
        <f>AVERAGE(Sheet1!#REF!)</f>
        <v>#REF!</v>
      </c>
      <c r="D76" s="100" t="str">
        <f>Sheet1!P378</f>
        <v>/</v>
      </c>
      <c r="E76" s="240" t="e">
        <f>AVERAGE(Sheet1!#REF!)</f>
        <v>#REF!</v>
      </c>
      <c r="F76" s="240" t="e">
        <f>AVERAGE(Sheet1!#REF!)</f>
        <v>#REF!</v>
      </c>
      <c r="G76" s="100">
        <f>Sheet1!P384</f>
        <v>0</v>
      </c>
      <c r="H76" s="240" t="e">
        <f>AVERAGE(Sheet1!#REF!)</f>
        <v>#REF!</v>
      </c>
      <c r="I76" s="240" t="e">
        <f>AVERAGE(Sheet1!#REF!)</f>
        <v>#REF!</v>
      </c>
      <c r="K76" s="243" t="s">
        <v>24</v>
      </c>
      <c r="L76" s="243" t="s">
        <v>24</v>
      </c>
      <c r="M76" s="243">
        <v>0.12</v>
      </c>
      <c r="O76" s="240"/>
      <c r="P76" s="240"/>
      <c r="Q76" s="240"/>
      <c r="R76" s="240"/>
      <c r="S76" s="240"/>
    </row>
    <row r="77" spans="1:19" ht="14.1" customHeight="1">
      <c r="A77" s="229"/>
      <c r="B77" s="240" t="e">
        <f>AVERAGE(Sheet1!#REF!)</f>
        <v>#REF!</v>
      </c>
      <c r="C77" s="240" t="e">
        <f>AVERAGE(Sheet1!#REF!)</f>
        <v>#REF!</v>
      </c>
      <c r="D77" s="229"/>
      <c r="E77" s="240" t="e">
        <f>AVERAGE(Sheet1!#REF!)</f>
        <v>#REF!</v>
      </c>
      <c r="F77" s="240" t="e">
        <f>AVERAGE(Sheet1!#REF!)</f>
        <v>#REF!</v>
      </c>
      <c r="H77" s="240" t="e">
        <f>AVERAGE(Sheet1!#REF!)</f>
        <v>#REF!</v>
      </c>
      <c r="I77" s="240" t="e">
        <f>AVERAGE(Sheet1!#REF!)</f>
        <v>#REF!</v>
      </c>
      <c r="K77" s="243" t="s">
        <v>24</v>
      </c>
      <c r="L77" s="243" t="s">
        <v>46</v>
      </c>
      <c r="M77" s="243">
        <v>0.19</v>
      </c>
      <c r="O77" s="240"/>
      <c r="P77" s="240"/>
      <c r="Q77" s="240"/>
      <c r="R77" s="240"/>
      <c r="S77" s="240"/>
    </row>
    <row r="78" spans="1:19" ht="14.1" customHeight="1">
      <c r="A78" s="100"/>
      <c r="B78" s="240" t="e">
        <f>Sheet1!#REF!</f>
        <v>#REF!</v>
      </c>
      <c r="C78" s="240" t="e">
        <f>Sheet1!#REF!</f>
        <v>#REF!</v>
      </c>
      <c r="D78" s="100"/>
      <c r="E78" s="240" t="e">
        <f>AVERAGE(Sheet1!#REF!)</f>
        <v>#REF!</v>
      </c>
      <c r="F78" s="240" t="e">
        <f>AVERAGE(Sheet1!#REF!)</f>
        <v>#REF!</v>
      </c>
      <c r="H78" s="240" t="e">
        <f>AVERAGE(Sheet1!#REF!)</f>
        <v>#REF!</v>
      </c>
      <c r="I78" s="240" t="e">
        <f>AVERAGE(Sheet1!#REF!)</f>
        <v>#REF!</v>
      </c>
      <c r="K78" s="243" t="s">
        <v>46</v>
      </c>
      <c r="L78" s="243" t="s">
        <v>46</v>
      </c>
      <c r="M78" s="243">
        <v>0.22</v>
      </c>
      <c r="O78" s="240"/>
      <c r="P78" s="240"/>
      <c r="Q78" s="240"/>
      <c r="R78" s="240"/>
      <c r="S78" s="240"/>
    </row>
    <row r="79" spans="1:19" ht="14.1" customHeight="1">
      <c r="B79" s="240" t="e">
        <f>AVERAGE(Sheet1!#REF!)</f>
        <v>#REF!</v>
      </c>
      <c r="C79" s="240" t="e">
        <f>AVERAGE(Sheet1!#REF!)</f>
        <v>#REF!</v>
      </c>
      <c r="E79" s="240" t="e">
        <f>AVERAGE(Sheet1!#REF!)</f>
        <v>#REF!</v>
      </c>
      <c r="F79" s="240" t="e">
        <f>AVERAGE(Sheet1!#REF!)</f>
        <v>#REF!</v>
      </c>
      <c r="H79" s="240" t="e">
        <f>AVERAGE(Sheet1!#REF!)</f>
        <v>#REF!</v>
      </c>
      <c r="I79" s="240" t="e">
        <f>AVERAGE(Sheet1!#REF!)</f>
        <v>#REF!</v>
      </c>
      <c r="K79" s="268" t="s">
        <v>428</v>
      </c>
      <c r="L79" s="268" t="s">
        <v>429</v>
      </c>
      <c r="M79" s="268"/>
      <c r="O79" s="240"/>
      <c r="P79" s="240"/>
      <c r="Q79" s="240"/>
      <c r="R79" s="240"/>
      <c r="S79" s="240"/>
    </row>
    <row r="80" spans="1:19" ht="14.1" customHeight="1">
      <c r="B80" s="240" t="e">
        <f>Sheet1!#REF!</f>
        <v>#REF!</v>
      </c>
      <c r="C80" s="240" t="e">
        <f>Sheet1!#REF!</f>
        <v>#REF!</v>
      </c>
      <c r="E80" s="100">
        <f>AM41</f>
        <v>0</v>
      </c>
      <c r="F80" s="100">
        <f>AQ41</f>
        <v>0</v>
      </c>
      <c r="H80" s="100" t="e">
        <f>AVERAGE(Sheet1!#REF!)</f>
        <v>#REF!</v>
      </c>
      <c r="I80" s="19" t="e">
        <f>AVERAGE(Sheet1!#REF!)</f>
        <v>#REF!</v>
      </c>
      <c r="K80" s="268"/>
      <c r="L80" s="268" t="s">
        <v>430</v>
      </c>
      <c r="M80" s="268"/>
      <c r="O80" s="240"/>
      <c r="P80" s="240"/>
      <c r="Q80" s="240"/>
      <c r="R80" s="240"/>
      <c r="S80" s="240"/>
    </row>
    <row r="81" spans="1:19" ht="14.1" customHeight="1">
      <c r="B81" s="240" t="e">
        <f>AVERAGE(Sheet1!#REF!)</f>
        <v>#REF!</v>
      </c>
      <c r="C81" s="240" t="e">
        <f>AVERAGE(Sheet1!#REF!)</f>
        <v>#REF!</v>
      </c>
      <c r="E81" s="100">
        <f>AM42</f>
        <v>0</v>
      </c>
      <c r="F81" s="100">
        <f>AQ42</f>
        <v>0</v>
      </c>
      <c r="H81" s="33"/>
      <c r="K81" s="268"/>
      <c r="L81" s="268" t="s">
        <v>431</v>
      </c>
      <c r="M81" s="268"/>
      <c r="O81" s="240"/>
      <c r="P81" s="240"/>
      <c r="Q81" s="240"/>
      <c r="R81" s="240"/>
      <c r="S81" s="240"/>
    </row>
    <row r="82" spans="1:19" ht="14.1" customHeight="1">
      <c r="B82" s="240" t="e">
        <f>AVERAGE(Sheet1!#REF!)</f>
        <v>#REF!</v>
      </c>
      <c r="C82" s="240" t="e">
        <f>AVERAGE(Sheet1!#REF!)</f>
        <v>#REF!</v>
      </c>
      <c r="H82" s="33"/>
      <c r="K82" s="268"/>
      <c r="L82" s="268"/>
      <c r="M82" s="268"/>
      <c r="O82" s="240"/>
      <c r="P82" s="240"/>
      <c r="Q82" s="240"/>
      <c r="R82" s="240"/>
      <c r="S82" s="240"/>
    </row>
    <row r="83" spans="1:19" ht="14.1" customHeight="1">
      <c r="B83" s="100" t="str">
        <f>A76</f>
        <v>/</v>
      </c>
      <c r="C83" s="100" t="str">
        <f>D76</f>
        <v>/</v>
      </c>
      <c r="D83" s="100">
        <f>G76</f>
        <v>0</v>
      </c>
      <c r="K83" s="268"/>
      <c r="M83" s="268"/>
      <c r="O83" s="240"/>
      <c r="P83" s="240"/>
      <c r="Q83" s="240"/>
      <c r="R83" s="240"/>
      <c r="S83" s="240"/>
    </row>
    <row r="84" spans="1:19" ht="14.1" customHeight="1">
      <c r="A84" s="33" t="s">
        <v>425</v>
      </c>
      <c r="B84" s="100" t="e">
        <f>SLOPE(C76:C82,B76:B82)</f>
        <v>#REF!</v>
      </c>
      <c r="C84" s="100" t="e">
        <f>SLOPE(F76:F81,E76:E81)</f>
        <v>#REF!</v>
      </c>
      <c r="D84" s="100" t="e">
        <f>SLOPE(I76:I80,H76:H80)</f>
        <v>#REF!</v>
      </c>
      <c r="K84" s="268"/>
      <c r="L84" s="268"/>
      <c r="M84" s="268"/>
      <c r="O84" s="240"/>
      <c r="P84" s="240"/>
      <c r="Q84" s="240"/>
      <c r="R84" s="240"/>
      <c r="S84" s="240"/>
    </row>
    <row r="85" spans="1:19" ht="14.1" customHeight="1">
      <c r="A85" s="33" t="s">
        <v>426</v>
      </c>
      <c r="B85" s="100" t="e">
        <f>INTERCEPT(C76:C82,B76:B82)</f>
        <v>#REF!</v>
      </c>
      <c r="C85" s="100" t="e">
        <f>INTERCEPT(F76:F81,E76:E81)</f>
        <v>#REF!</v>
      </c>
      <c r="D85" s="100" t="e">
        <f>INTERCEPT(I76:I80,H76:H80)</f>
        <v>#REF!</v>
      </c>
      <c r="K85" s="268"/>
      <c r="L85" s="268"/>
      <c r="M85" s="268"/>
      <c r="O85" s="240"/>
      <c r="P85" s="240"/>
      <c r="Q85" s="240"/>
      <c r="R85" s="240"/>
      <c r="S85" s="240"/>
    </row>
    <row r="86" spans="1:19" ht="14.1" customHeight="1">
      <c r="A86" s="33" t="s">
        <v>519</v>
      </c>
      <c r="B86" s="19" t="e">
        <f>RSQ(C76:C82,B76:B82)</f>
        <v>#REF!</v>
      </c>
      <c r="C86" s="19" t="e">
        <f>RSQ(F76:F81,E76:E81)</f>
        <v>#REF!</v>
      </c>
      <c r="D86" s="19" t="e">
        <f>RSQ(I76:I80,H76:H80)</f>
        <v>#REF!</v>
      </c>
      <c r="O86" s="240"/>
      <c r="P86" s="240"/>
      <c r="Q86" s="240"/>
      <c r="R86" s="240"/>
      <c r="S86" s="240"/>
    </row>
    <row r="87" spans="1:19" ht="14.1" customHeight="1">
      <c r="A87" s="70" t="s">
        <v>432</v>
      </c>
      <c r="B87" s="19" t="e">
        <f>"DGN values (mrad/R) for "&amp;Sheet1!$T$259&amp;" kV and HVL="&amp;ROUND(Sheet1!$X$262,2)&amp;" mm Al"</f>
        <v>#N/A</v>
      </c>
      <c r="O87" s="240"/>
      <c r="P87" s="240"/>
      <c r="Q87" s="240"/>
      <c r="R87" s="240"/>
      <c r="S87" s="240"/>
    </row>
    <row r="88" spans="1:19" ht="14.1" customHeight="1">
      <c r="A88" s="244" t="s">
        <v>226</v>
      </c>
      <c r="B88" s="244" t="s">
        <v>251</v>
      </c>
      <c r="C88" s="244" t="s">
        <v>433</v>
      </c>
      <c r="D88" s="244" t="str">
        <f>Sheet1!R18</f>
        <v/>
      </c>
      <c r="E88" s="244" t="s">
        <v>423</v>
      </c>
      <c r="F88" s="244" t="s">
        <v>227</v>
      </c>
      <c r="O88" s="240"/>
      <c r="P88" s="240"/>
      <c r="Q88" s="240"/>
      <c r="R88" s="240"/>
      <c r="S88" s="240"/>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63" t="e">
        <f>IF(Sheet1!$X$262="","",(L53*Sheet1!$X$262+M53)*(L54*Sheet1!$X$262+M54)*HLOOKUP(Sheet1!$Q$260,B58:D59,2))</f>
        <v>#N/A</v>
      </c>
      <c r="E89" s="100" t="e">
        <f>IF(ISERR(Sheet1!$X$262),"TBD",VLOOKUP(Sheet1!X262,N27:AA48,MATCH(Sheet1!$T$259,N27:AA27,0)))</f>
        <v>#N/A</v>
      </c>
      <c r="F89" s="100" t="e">
        <f>IF(ISERR(Sheet1!$X$262),"TBD",VLOOKUP(Sheet1!X262,A27:M48,MATCH(Sheet1!T259,A27:M27,0)))</f>
        <v>#N/A</v>
      </c>
      <c r="O89" s="240"/>
      <c r="P89" s="240"/>
      <c r="Q89" s="240"/>
      <c r="R89" s="240"/>
      <c r="S89" s="240"/>
    </row>
    <row r="90" spans="1:19" ht="14.1" customHeight="1">
      <c r="O90" s="240"/>
      <c r="P90" s="240"/>
      <c r="Q90" s="240"/>
      <c r="R90" s="240"/>
      <c r="S90" s="240"/>
    </row>
    <row r="91" spans="1:19" ht="14.1" customHeight="1">
      <c r="A91" s="70" t="s">
        <v>434</v>
      </c>
      <c r="O91" s="240"/>
      <c r="P91" s="240"/>
      <c r="Q91" s="240"/>
      <c r="R91" s="240"/>
      <c r="S91" s="240"/>
    </row>
    <row r="92" spans="1:19" ht="14.1" customHeight="1">
      <c r="B92" s="100" t="s">
        <v>258</v>
      </c>
      <c r="D92" s="10" t="s">
        <v>435</v>
      </c>
      <c r="E92" s="10" t="s">
        <v>436</v>
      </c>
      <c r="F92" s="10" t="s">
        <v>422</v>
      </c>
      <c r="G92" s="10" t="s">
        <v>437</v>
      </c>
      <c r="H92" s="10" t="s">
        <v>438</v>
      </c>
      <c r="I92" s="10" t="s">
        <v>439</v>
      </c>
      <c r="J92" s="10" t="s">
        <v>440</v>
      </c>
      <c r="O92" s="240"/>
      <c r="P92" s="240"/>
      <c r="Q92" s="240"/>
      <c r="R92" s="240"/>
      <c r="S92" s="240"/>
    </row>
    <row r="93" spans="1:19" ht="14.1" customHeight="1">
      <c r="A93" s="19" t="s">
        <v>227</v>
      </c>
      <c r="B93" s="100" t="s">
        <v>441</v>
      </c>
      <c r="C93" s="10">
        <v>27.585999999999999</v>
      </c>
      <c r="D93" s="10">
        <v>-8375.0727645925508</v>
      </c>
      <c r="E93" s="10">
        <v>975.92543560432796</v>
      </c>
      <c r="F93" s="10">
        <v>-37.913729682039403</v>
      </c>
      <c r="G93" s="10">
        <v>0.49086583472609402</v>
      </c>
      <c r="H93" s="10">
        <v>0</v>
      </c>
      <c r="I93" s="10">
        <v>0</v>
      </c>
      <c r="J93" s="10">
        <v>0</v>
      </c>
      <c r="O93" s="240"/>
      <c r="P93" s="240"/>
      <c r="Q93" s="240"/>
      <c r="R93" s="240"/>
      <c r="S93" s="240"/>
    </row>
    <row r="94" spans="1:19" ht="14.1" customHeight="1">
      <c r="B94" s="100" t="s">
        <v>442</v>
      </c>
      <c r="C94" s="10">
        <v>27.585999999999999</v>
      </c>
      <c r="D94" s="10">
        <v>-9984.6167916494396</v>
      </c>
      <c r="E94" s="10">
        <v>1436.52454571413</v>
      </c>
      <c r="F94" s="10">
        <v>-82.505102185254898</v>
      </c>
      <c r="G94" s="10">
        <v>2.36559081763837</v>
      </c>
      <c r="H94" s="10">
        <v>-3.38672433779705E-2</v>
      </c>
      <c r="I94" s="10">
        <v>1.93686920423126E-4</v>
      </c>
      <c r="J94" s="10">
        <v>0</v>
      </c>
      <c r="O94" s="240"/>
      <c r="P94" s="240"/>
      <c r="Q94" s="240"/>
      <c r="R94" s="240"/>
      <c r="S94" s="240"/>
    </row>
    <row r="95" spans="1:19" ht="14.1" customHeight="1">
      <c r="C95" s="19" t="s">
        <v>443</v>
      </c>
      <c r="O95" s="240"/>
      <c r="P95" s="240"/>
      <c r="Q95" s="240"/>
      <c r="R95" s="240"/>
      <c r="S95" s="240"/>
    </row>
    <row r="96" spans="1:19" ht="14.1" customHeight="1">
      <c r="C96" s="19" t="s">
        <v>444</v>
      </c>
      <c r="O96" s="240"/>
      <c r="P96" s="240"/>
      <c r="Q96" s="240"/>
      <c r="R96" s="240"/>
      <c r="S96" s="240"/>
    </row>
    <row r="97" spans="1:19" ht="14.1" customHeight="1">
      <c r="B97" s="100" t="s">
        <v>258</v>
      </c>
      <c r="D97" s="10" t="s">
        <v>435</v>
      </c>
      <c r="E97" s="10" t="s">
        <v>436</v>
      </c>
      <c r="F97" s="10" t="s">
        <v>422</v>
      </c>
      <c r="G97" s="10" t="s">
        <v>437</v>
      </c>
      <c r="H97" s="10" t="s">
        <v>438</v>
      </c>
      <c r="I97" s="10" t="s">
        <v>439</v>
      </c>
      <c r="J97" s="10" t="s">
        <v>440</v>
      </c>
      <c r="O97" s="240"/>
      <c r="P97" s="240"/>
      <c r="Q97" s="240"/>
      <c r="R97" s="240"/>
      <c r="S97" s="240"/>
    </row>
    <row r="98" spans="1:19" ht="14.1" customHeight="1">
      <c r="A98" s="19" t="s">
        <v>423</v>
      </c>
      <c r="B98" s="100" t="s">
        <v>441</v>
      </c>
      <c r="C98" s="10">
        <v>30.1</v>
      </c>
      <c r="D98" s="10">
        <v>-540847.69550077303</v>
      </c>
      <c r="E98" s="10">
        <v>100186.23364273099</v>
      </c>
      <c r="F98" s="10">
        <v>-7418.4790179812599</v>
      </c>
      <c r="G98" s="10">
        <v>274.47660929577501</v>
      </c>
      <c r="H98" s="10">
        <v>-5.07436954359087</v>
      </c>
      <c r="I98" s="10">
        <v>3.7500574787580898E-2</v>
      </c>
      <c r="J98" s="10">
        <v>0</v>
      </c>
      <c r="O98" s="240"/>
      <c r="P98" s="240"/>
      <c r="Q98" s="240"/>
      <c r="R98" s="240"/>
      <c r="S98" s="240"/>
    </row>
    <row r="99" spans="1:19" ht="14.1" customHeight="1">
      <c r="B99" s="100" t="s">
        <v>442</v>
      </c>
      <c r="C99" s="10">
        <v>30.1</v>
      </c>
      <c r="D99" s="10">
        <v>-11057.773936199201</v>
      </c>
      <c r="E99" s="10">
        <v>1297.2285673766901</v>
      </c>
      <c r="F99" s="10">
        <v>-56.989188989725697</v>
      </c>
      <c r="G99" s="10">
        <v>1.1115828564217201</v>
      </c>
      <c r="H99" s="10">
        <v>-8.1233997365129599E-3</v>
      </c>
      <c r="I99" s="10">
        <v>0</v>
      </c>
      <c r="J99" s="10">
        <v>0</v>
      </c>
      <c r="O99" s="240"/>
      <c r="P99" s="240"/>
      <c r="Q99" s="240"/>
      <c r="R99" s="240"/>
      <c r="S99" s="240"/>
    </row>
    <row r="100" spans="1:19" ht="14.1" customHeight="1">
      <c r="C100" s="19" t="s">
        <v>445</v>
      </c>
      <c r="O100" s="240"/>
      <c r="P100" s="240"/>
      <c r="Q100" s="240"/>
      <c r="R100" s="240"/>
      <c r="S100" s="240"/>
    </row>
    <row r="101" spans="1:19" ht="14.1" customHeight="1">
      <c r="C101" s="19" t="s">
        <v>446</v>
      </c>
      <c r="O101" s="240"/>
      <c r="P101" s="240"/>
      <c r="Q101" s="240"/>
      <c r="R101" s="240"/>
      <c r="S101" s="240"/>
    </row>
    <row r="102" spans="1:19" ht="14.1" customHeight="1">
      <c r="O102" s="240"/>
      <c r="P102" s="240"/>
      <c r="Q102" s="240"/>
      <c r="R102" s="240"/>
      <c r="S102" s="240"/>
    </row>
    <row r="103" spans="1:19" ht="14.1" customHeight="1">
      <c r="A103" s="70" t="s">
        <v>447</v>
      </c>
      <c r="O103" s="240"/>
      <c r="P103" s="240"/>
      <c r="Q103" s="240"/>
      <c r="R103" s="240"/>
      <c r="S103" s="240"/>
    </row>
    <row r="104" spans="1:19" ht="14.1" customHeight="1">
      <c r="B104" s="100" t="s">
        <v>258</v>
      </c>
      <c r="D104" s="10" t="s">
        <v>435</v>
      </c>
      <c r="E104" s="10" t="s">
        <v>436</v>
      </c>
      <c r="F104" s="10" t="s">
        <v>422</v>
      </c>
      <c r="G104" s="10" t="s">
        <v>437</v>
      </c>
      <c r="H104" s="10" t="s">
        <v>438</v>
      </c>
      <c r="O104" s="240"/>
      <c r="P104" s="240"/>
      <c r="Q104" s="240"/>
      <c r="R104" s="240"/>
      <c r="S104" s="240"/>
    </row>
    <row r="105" spans="1:19" ht="14.1" customHeight="1">
      <c r="A105" s="19" t="s">
        <v>227</v>
      </c>
      <c r="B105" s="100" t="s">
        <v>441</v>
      </c>
      <c r="C105" s="10">
        <v>26.9</v>
      </c>
      <c r="D105" s="99">
        <v>138.88667000000001</v>
      </c>
      <c r="E105" s="99">
        <v>-10.72639</v>
      </c>
      <c r="F105" s="99">
        <v>0.26216</v>
      </c>
      <c r="G105" s="99">
        <v>-8.1999999999999998E-4</v>
      </c>
      <c r="H105" s="99"/>
      <c r="O105" s="240"/>
      <c r="P105" s="240"/>
      <c r="Q105" s="240"/>
      <c r="R105" s="240"/>
      <c r="S105" s="240"/>
    </row>
    <row r="106" spans="1:19" ht="14.1" customHeight="1">
      <c r="B106" s="100" t="s">
        <v>442</v>
      </c>
      <c r="C106" s="10">
        <v>26.9</v>
      </c>
      <c r="D106" s="99">
        <v>-5009.7751651999997</v>
      </c>
      <c r="E106" s="99">
        <v>605.73200599999996</v>
      </c>
      <c r="F106" s="99">
        <v>-27.3018617</v>
      </c>
      <c r="G106" s="99">
        <v>0.54671139999999996</v>
      </c>
      <c r="H106" s="99">
        <v>-4.0986E-3</v>
      </c>
      <c r="O106" s="240"/>
      <c r="P106" s="240"/>
      <c r="Q106" s="240"/>
      <c r="R106" s="240"/>
      <c r="S106" s="240"/>
    </row>
    <row r="107" spans="1:19" ht="14.1" customHeight="1">
      <c r="O107" s="240"/>
      <c r="P107" s="240"/>
      <c r="Q107" s="240"/>
      <c r="R107" s="240"/>
      <c r="S107" s="240"/>
    </row>
    <row r="108" spans="1:19" ht="14.1" customHeight="1">
      <c r="A108" s="19" t="s">
        <v>423</v>
      </c>
      <c r="B108" s="100" t="s">
        <v>258</v>
      </c>
      <c r="D108" s="10" t="s">
        <v>435</v>
      </c>
      <c r="E108" s="10" t="s">
        <v>436</v>
      </c>
      <c r="F108" s="10" t="s">
        <v>422</v>
      </c>
      <c r="G108" s="10" t="s">
        <v>437</v>
      </c>
      <c r="H108" s="10" t="s">
        <v>438</v>
      </c>
      <c r="O108" s="240"/>
      <c r="P108" s="240"/>
      <c r="Q108" s="240"/>
      <c r="R108" s="240"/>
      <c r="S108" s="240"/>
    </row>
    <row r="109" spans="1:19" ht="14.1" customHeight="1">
      <c r="B109" s="100" t="s">
        <v>441</v>
      </c>
      <c r="C109" s="10">
        <v>28.7</v>
      </c>
      <c r="D109" s="10">
        <v>296.34185000000002</v>
      </c>
      <c r="E109" s="10">
        <v>-31.629249999999999</v>
      </c>
      <c r="F109" s="10">
        <v>1.18025</v>
      </c>
      <c r="G109" s="10">
        <v>-1.417E-2</v>
      </c>
      <c r="H109" s="10"/>
      <c r="O109" s="240"/>
      <c r="P109" s="240"/>
      <c r="Q109" s="240"/>
      <c r="R109" s="240"/>
      <c r="S109" s="240"/>
    </row>
    <row r="110" spans="1:19" ht="14.1" customHeight="1">
      <c r="B110" s="100" t="s">
        <v>442</v>
      </c>
      <c r="C110" s="10">
        <v>28.7</v>
      </c>
      <c r="D110" s="10">
        <v>4.8344690000000003</v>
      </c>
      <c r="E110" s="10">
        <v>0.919242</v>
      </c>
      <c r="F110" s="10"/>
      <c r="G110" s="10"/>
      <c r="H110" s="10"/>
      <c r="O110" s="240"/>
      <c r="P110" s="240"/>
      <c r="Q110" s="240"/>
      <c r="R110" s="240"/>
      <c r="S110" s="240"/>
    </row>
    <row r="111" spans="1:19" ht="14.1" customHeight="1">
      <c r="O111" s="240"/>
      <c r="P111" s="240"/>
      <c r="Q111" s="240"/>
      <c r="R111" s="240"/>
      <c r="S111" s="240"/>
    </row>
    <row r="112" spans="1:19" ht="14.1" customHeight="1">
      <c r="A112" s="19" t="s">
        <v>424</v>
      </c>
      <c r="D112" s="10" t="s">
        <v>435</v>
      </c>
      <c r="E112" s="10" t="s">
        <v>436</v>
      </c>
      <c r="F112" s="10" t="s">
        <v>422</v>
      </c>
      <c r="G112" s="10" t="s">
        <v>437</v>
      </c>
      <c r="H112" s="10" t="s">
        <v>438</v>
      </c>
      <c r="O112" s="240"/>
      <c r="P112" s="240"/>
      <c r="Q112" s="240"/>
      <c r="R112" s="240"/>
      <c r="S112" s="240"/>
    </row>
    <row r="113" spans="1:19" ht="14.1" customHeight="1">
      <c r="B113" s="100" t="s">
        <v>441</v>
      </c>
      <c r="C113" s="10">
        <v>28.7</v>
      </c>
      <c r="D113" s="10">
        <v>49.311149999999998</v>
      </c>
      <c r="E113" s="10">
        <v>-2.9301699999999999</v>
      </c>
      <c r="F113" s="10">
        <v>7.3789999999999994E-2</v>
      </c>
      <c r="G113" s="10"/>
      <c r="H113" s="10"/>
      <c r="O113" s="240"/>
      <c r="P113" s="240"/>
      <c r="Q113" s="240"/>
      <c r="R113" s="240"/>
      <c r="S113" s="240"/>
    </row>
    <row r="114" spans="1:19" ht="14.1" customHeight="1">
      <c r="B114" s="100"/>
      <c r="C114" s="213" t="s">
        <v>448</v>
      </c>
      <c r="D114" s="10">
        <v>-24.875</v>
      </c>
      <c r="E114" s="10">
        <v>1.8031999999999999</v>
      </c>
      <c r="F114" s="10"/>
      <c r="G114" s="10"/>
      <c r="H114" s="10"/>
      <c r="O114" s="240"/>
      <c r="P114" s="240"/>
      <c r="Q114" s="240"/>
      <c r="R114" s="240"/>
      <c r="S114" s="240"/>
    </row>
    <row r="115" spans="1:19" ht="14.1" customHeight="1">
      <c r="B115" s="100" t="s">
        <v>442</v>
      </c>
      <c r="C115" s="10">
        <v>30.1</v>
      </c>
      <c r="D115" s="10">
        <v>-4.8346099999999996</v>
      </c>
      <c r="E115" s="10">
        <v>1.1571499999999999</v>
      </c>
      <c r="F115" s="10"/>
      <c r="G115" s="10"/>
      <c r="H115" s="10"/>
      <c r="O115" s="240"/>
      <c r="P115" s="240"/>
      <c r="Q115" s="240"/>
      <c r="R115" s="240"/>
      <c r="S115" s="240"/>
    </row>
    <row r="116" spans="1:19" ht="14.1" customHeight="1">
      <c r="O116" s="240"/>
      <c r="P116" s="240"/>
      <c r="Q116" s="240"/>
      <c r="R116" s="240"/>
      <c r="S116" s="240"/>
    </row>
    <row r="117" spans="1:19" ht="14.1" customHeight="1">
      <c r="O117" s="240"/>
      <c r="P117" s="240"/>
      <c r="Q117" s="240"/>
      <c r="R117" s="240"/>
      <c r="S117" s="240"/>
    </row>
    <row r="118" spans="1:19" ht="14.1" customHeight="1">
      <c r="A118" s="19" t="s">
        <v>449</v>
      </c>
      <c r="O118" s="240"/>
      <c r="P118" s="240"/>
      <c r="Q118" s="240"/>
      <c r="R118" s="240"/>
      <c r="S118" s="240"/>
    </row>
    <row r="119" spans="1:19" ht="14.1" customHeight="1">
      <c r="C119" s="100" t="s">
        <v>450</v>
      </c>
      <c r="D119" s="100" t="s">
        <v>451</v>
      </c>
      <c r="E119" s="100" t="s">
        <v>452</v>
      </c>
      <c r="F119" s="100" t="s">
        <v>453</v>
      </c>
      <c r="G119" s="100" t="s">
        <v>454</v>
      </c>
      <c r="O119" s="240"/>
      <c r="P119" s="240"/>
      <c r="Q119" s="240"/>
      <c r="R119" s="240"/>
      <c r="S119" s="240"/>
    </row>
    <row r="120" spans="1:19" ht="14.1" customHeight="1">
      <c r="B120" s="33" t="s">
        <v>390</v>
      </c>
      <c r="C120" s="100" t="s">
        <v>455</v>
      </c>
      <c r="D120" s="100" t="s">
        <v>456</v>
      </c>
      <c r="E120" s="100" t="s">
        <v>457</v>
      </c>
      <c r="F120" s="100" t="s">
        <v>456</v>
      </c>
      <c r="G120" s="100" t="s">
        <v>315</v>
      </c>
      <c r="O120" s="240"/>
      <c r="P120" s="240"/>
      <c r="Q120" s="240"/>
      <c r="R120" s="240"/>
      <c r="S120" s="240"/>
    </row>
    <row r="121" spans="1:19" ht="14.1" customHeight="1">
      <c r="B121" s="33" t="s">
        <v>393</v>
      </c>
      <c r="C121" s="100" t="s">
        <v>455</v>
      </c>
      <c r="D121" s="100" t="s">
        <v>456</v>
      </c>
      <c r="E121" s="100" t="s">
        <v>456</v>
      </c>
      <c r="F121" s="100" t="s">
        <v>456</v>
      </c>
      <c r="G121" s="100" t="s">
        <v>315</v>
      </c>
      <c r="O121" s="240"/>
      <c r="P121" s="240"/>
      <c r="Q121" s="240"/>
      <c r="R121" s="240"/>
      <c r="S121" s="240"/>
    </row>
    <row r="122" spans="1:19" ht="14.1" customHeight="1">
      <c r="B122" s="33" t="s">
        <v>458</v>
      </c>
      <c r="C122" s="100" t="s">
        <v>455</v>
      </c>
      <c r="D122" s="100" t="s">
        <v>456</v>
      </c>
      <c r="E122" s="100" t="s">
        <v>457</v>
      </c>
      <c r="F122" s="100" t="s">
        <v>456</v>
      </c>
      <c r="G122" s="100" t="s">
        <v>315</v>
      </c>
      <c r="O122" s="240"/>
      <c r="P122" s="240"/>
      <c r="Q122" s="240"/>
      <c r="R122" s="240"/>
      <c r="S122" s="240"/>
    </row>
    <row r="123" spans="1:19" ht="14.1" customHeight="1">
      <c r="B123" s="33" t="s">
        <v>459</v>
      </c>
      <c r="C123" s="100" t="s">
        <v>455</v>
      </c>
      <c r="D123" s="100" t="s">
        <v>456</v>
      </c>
      <c r="E123" s="100" t="s">
        <v>456</v>
      </c>
      <c r="F123" s="100" t="s">
        <v>456</v>
      </c>
      <c r="G123" s="100" t="s">
        <v>315</v>
      </c>
      <c r="O123" s="240"/>
      <c r="P123" s="240"/>
      <c r="Q123" s="240"/>
      <c r="R123" s="240"/>
      <c r="S123" s="240"/>
    </row>
    <row r="124" spans="1:19" ht="14.1" customHeight="1">
      <c r="B124" s="33" t="s">
        <v>460</v>
      </c>
      <c r="C124" s="100" t="s">
        <v>455</v>
      </c>
      <c r="D124" s="100" t="s">
        <v>456</v>
      </c>
      <c r="E124" s="100" t="s">
        <v>456</v>
      </c>
      <c r="F124" s="100" t="s">
        <v>456</v>
      </c>
      <c r="G124" s="100" t="s">
        <v>315</v>
      </c>
      <c r="O124" s="240"/>
      <c r="P124" s="240"/>
      <c r="Q124" s="240"/>
      <c r="R124" s="240"/>
      <c r="S124" s="240"/>
    </row>
    <row r="125" spans="1:19" ht="14.1" customHeight="1">
      <c r="B125" s="33" t="s">
        <v>461</v>
      </c>
      <c r="C125" s="100" t="s">
        <v>455</v>
      </c>
      <c r="D125" s="100" t="s">
        <v>456</v>
      </c>
      <c r="E125" s="100" t="s">
        <v>456</v>
      </c>
      <c r="F125" s="100" t="s">
        <v>456</v>
      </c>
      <c r="G125" s="100" t="s">
        <v>315</v>
      </c>
      <c r="O125" s="240"/>
      <c r="P125" s="240"/>
      <c r="Q125" s="240"/>
      <c r="R125" s="240"/>
      <c r="S125" s="240"/>
    </row>
    <row r="126" spans="1:19" ht="14.1" customHeight="1">
      <c r="B126" s="33" t="s">
        <v>284</v>
      </c>
      <c r="C126" s="100" t="s">
        <v>455</v>
      </c>
      <c r="D126" s="100" t="s">
        <v>456</v>
      </c>
      <c r="E126" s="100" t="s">
        <v>456</v>
      </c>
      <c r="F126" s="100" t="s">
        <v>456</v>
      </c>
      <c r="G126" s="100" t="s">
        <v>315</v>
      </c>
      <c r="O126" s="240"/>
      <c r="P126" s="240"/>
      <c r="Q126" s="240"/>
      <c r="R126" s="240"/>
      <c r="S126" s="240"/>
    </row>
    <row r="127" spans="1:19" ht="14.1" customHeight="1">
      <c r="B127" s="33" t="s">
        <v>462</v>
      </c>
      <c r="C127" s="100" t="s">
        <v>455</v>
      </c>
      <c r="D127" s="100" t="s">
        <v>456</v>
      </c>
      <c r="E127" s="100" t="s">
        <v>456</v>
      </c>
      <c r="F127" s="100" t="s">
        <v>456</v>
      </c>
      <c r="G127" s="100" t="s">
        <v>315</v>
      </c>
      <c r="O127" s="240"/>
      <c r="P127" s="240"/>
      <c r="Q127" s="240"/>
      <c r="R127" s="240"/>
      <c r="S127" s="240"/>
    </row>
    <row r="128" spans="1:19" ht="14.1" customHeight="1">
      <c r="B128" s="33" t="s">
        <v>463</v>
      </c>
      <c r="C128" s="100" t="s">
        <v>455</v>
      </c>
      <c r="D128" s="100" t="s">
        <v>456</v>
      </c>
      <c r="E128" s="100" t="s">
        <v>456</v>
      </c>
      <c r="F128" s="100" t="s">
        <v>456</v>
      </c>
      <c r="G128" s="100" t="s">
        <v>315</v>
      </c>
    </row>
    <row r="129" spans="2:7" ht="14.1" customHeight="1">
      <c r="B129" s="33" t="s">
        <v>342</v>
      </c>
      <c r="C129" s="100" t="s">
        <v>455</v>
      </c>
      <c r="D129" s="100" t="s">
        <v>456</v>
      </c>
      <c r="E129" s="100" t="s">
        <v>456</v>
      </c>
      <c r="F129" s="100" t="s">
        <v>456</v>
      </c>
      <c r="G129" s="100" t="s">
        <v>315</v>
      </c>
    </row>
    <row r="130" spans="2:7" ht="14.1" customHeight="1">
      <c r="B130" s="33" t="s">
        <v>258</v>
      </c>
      <c r="C130" s="100" t="s">
        <v>455</v>
      </c>
      <c r="D130" s="100" t="s">
        <v>456</v>
      </c>
      <c r="E130" s="100" t="s">
        <v>456</v>
      </c>
      <c r="F130" s="100" t="s">
        <v>456</v>
      </c>
      <c r="G130" s="100" t="s">
        <v>315</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3.8"/>
  <sheetData>
    <row r="1" spans="1:2">
      <c r="A1" t="s">
        <v>700</v>
      </c>
      <c r="B1" t="s">
        <v>701</v>
      </c>
    </row>
    <row r="2" spans="1:2">
      <c r="A2" s="569" t="s">
        <v>702</v>
      </c>
      <c r="B2" s="570"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3.2"/>
  <cols>
    <col min="1" max="1" width="9.09765625" style="416" customWidth="1"/>
    <col min="2" max="16384" width="9" style="416"/>
  </cols>
  <sheetData>
    <row r="1" spans="1:1">
      <c r="A1" s="438" t="s">
        <v>474</v>
      </c>
    </row>
    <row r="2" spans="1:1">
      <c r="A2" s="416" t="s">
        <v>475</v>
      </c>
    </row>
    <row r="3" spans="1:1">
      <c r="A3" s="416" t="s">
        <v>476</v>
      </c>
    </row>
    <row r="5" spans="1:1">
      <c r="A5" s="438" t="s">
        <v>477</v>
      </c>
    </row>
    <row r="6" spans="1:1">
      <c r="A6" s="416" t="s">
        <v>475</v>
      </c>
    </row>
    <row r="7" spans="1:1">
      <c r="A7" s="416" t="s">
        <v>476</v>
      </c>
    </row>
    <row r="8" spans="1:1">
      <c r="A8" s="416" t="s">
        <v>478</v>
      </c>
    </row>
    <row r="10" spans="1:1">
      <c r="A10" s="437" t="s">
        <v>479</v>
      </c>
    </row>
    <row r="11" spans="1:1">
      <c r="A11" s="436">
        <v>6</v>
      </c>
    </row>
    <row r="12" spans="1:1">
      <c r="A12" s="436">
        <v>5.5</v>
      </c>
    </row>
    <row r="13" spans="1:1">
      <c r="A13" s="436">
        <v>5</v>
      </c>
    </row>
    <row r="14" spans="1:1">
      <c r="A14" s="436">
        <v>4.5</v>
      </c>
    </row>
    <row r="15" spans="1:1">
      <c r="A15" s="436">
        <v>4</v>
      </c>
    </row>
    <row r="16" spans="1:1">
      <c r="A16" s="436">
        <v>3.5</v>
      </c>
    </row>
    <row r="17" spans="1:1">
      <c r="A17" s="436">
        <v>3</v>
      </c>
    </row>
    <row r="18" spans="1:1">
      <c r="A18" s="436">
        <v>2.5</v>
      </c>
    </row>
    <row r="19" spans="1:1">
      <c r="A19" s="436">
        <v>2</v>
      </c>
    </row>
    <row r="20" spans="1:1">
      <c r="A20" s="436">
        <v>1.5</v>
      </c>
    </row>
    <row r="21" spans="1:1">
      <c r="A21" s="436">
        <v>1</v>
      </c>
    </row>
    <row r="22" spans="1:1">
      <c r="A22" s="436">
        <v>0.5</v>
      </c>
    </row>
    <row r="24" spans="1:1">
      <c r="A24" s="438" t="s">
        <v>371</v>
      </c>
    </row>
    <row r="25" spans="1:1">
      <c r="A25" s="416" t="s">
        <v>735</v>
      </c>
    </row>
    <row r="26" spans="1:1">
      <c r="A26" s="416" t="s">
        <v>736</v>
      </c>
    </row>
    <row r="27" spans="1:1">
      <c r="A27" s="416" t="s">
        <v>737</v>
      </c>
    </row>
    <row r="28" spans="1:1">
      <c r="A28" s="416" t="s">
        <v>738</v>
      </c>
    </row>
    <row r="29" spans="1:1">
      <c r="A29" s="416" t="s">
        <v>751</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3.8"/>
  <cols>
    <col min="1" max="1024" width="8.3984375" customWidth="1"/>
  </cols>
  <sheetData>
    <row r="1" spans="1:3">
      <c r="A1" s="7" t="s">
        <v>464</v>
      </c>
    </row>
    <row r="2" spans="1:3">
      <c r="B2" t="s">
        <v>465</v>
      </c>
    </row>
    <row r="3" spans="1:3">
      <c r="B3" t="s">
        <v>466</v>
      </c>
    </row>
    <row r="4" spans="1:3">
      <c r="B4" t="s">
        <v>467</v>
      </c>
    </row>
    <row r="5" spans="1:3">
      <c r="B5" t="s">
        <v>468</v>
      </c>
    </row>
    <row r="6" spans="1:3">
      <c r="B6" t="s">
        <v>469</v>
      </c>
    </row>
    <row r="8" spans="1:3">
      <c r="A8" s="7" t="s">
        <v>470</v>
      </c>
    </row>
    <row r="9" spans="1:3">
      <c r="A9" s="7"/>
      <c r="B9" t="s">
        <v>443</v>
      </c>
    </row>
    <row r="10" spans="1:3">
      <c r="A10" s="7"/>
      <c r="B10" t="s">
        <v>444</v>
      </c>
    </row>
    <row r="11" spans="1:3">
      <c r="B11" s="5" t="s">
        <v>471</v>
      </c>
      <c r="C11" s="5" t="s">
        <v>472</v>
      </c>
    </row>
    <row r="12" spans="1:3">
      <c r="B12" s="8">
        <v>25.03</v>
      </c>
      <c r="C12" s="9">
        <f>IF(B12&lt;A22,B12+B22+B12*C22+B12^2*D22+B12^3*E22+B12^4*F22+B12^5*G22+B12^6*H22,B12+B23+B12*C23+B12^2*D23+B12^3*E23+B12^4*F23+B12^5*G23+B12^6*H23)</f>
        <v>21.808137925164374</v>
      </c>
    </row>
    <row r="14" spans="1:3">
      <c r="A14" s="7" t="s">
        <v>473</v>
      </c>
    </row>
    <row r="15" spans="1:3">
      <c r="A15" s="7"/>
      <c r="B15" t="s">
        <v>445</v>
      </c>
    </row>
    <row r="16" spans="1:3">
      <c r="A16" s="7"/>
      <c r="B16" t="s">
        <v>446</v>
      </c>
    </row>
    <row r="17" spans="1:8">
      <c r="B17" s="5" t="s">
        <v>471</v>
      </c>
      <c r="C17" s="5" t="s">
        <v>472</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fRule type="cellIs" priority="22" stopIfTrue="1" operator="between">
      <formula>24</formula>
      <formula>27</formula>
    </cfRule>
    <cfRule type="cellIs" priority="23" stopIfTrue="1" operator="greaterThanOrEqual">
      <formula>40</formula>
    </cfRule>
  </conditionalFormatting>
  <conditionalFormatting sqref="C18">
    <cfRule type="cellIs" priority="24" stopIfTrue="1" operator="lessThan">
      <formula>21.8</formula>
    </cfRule>
    <cfRule type="cellIs" priority="25" stopIfTrue="1" operator="between">
      <formula>25.35</formula>
      <formula>31.55</formula>
    </cfRule>
    <cfRule type="cellIs" priority="26" stopIfTrue="1" operator="greaterThanOrEqual">
      <formula>40</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revision>247</cp:revision>
  <cp:lastPrinted>2018-05-31T17:06:34Z</cp:lastPrinted>
  <dcterms:created xsi:type="dcterms:W3CDTF">2014-08-25T14:38:09Z</dcterms:created>
  <dcterms:modified xsi:type="dcterms:W3CDTF">2025-09-04T16:03:11Z</dcterms:modified>
</cp:coreProperties>
</file>