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thumbnail.wmf" ContentType="image/x-wmf"/>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aheug\Documents\GitHub\EquipTestingSpreadsheets\"/>
    </mc:Choice>
  </mc:AlternateContent>
  <xr:revisionPtr revIDLastSave="0" documentId="13_ncr:1_{F4FB1808-E77F-4A55-BAC3-7C810693C4F7}" xr6:coauthVersionLast="36" xr6:coauthVersionMax="36" xr10:uidLastSave="{00000000-0000-0000-0000-000000000000}"/>
  <bookViews>
    <workbookView xWindow="0" yWindow="0" windowWidth="20496" windowHeight="9636" activeTab="3" xr2:uid="{00000000-000D-0000-FFFF-FFFF00000000}"/>
  </bookViews>
  <sheets>
    <sheet name="QC Test Summary-Siemens" sheetId="14" r:id="rId1"/>
    <sheet name="Tech QC Eval-Siemens" sheetId="15" r:id="rId2"/>
    <sheet name="MQSA Requirements" sheetId="17" r:id="rId3"/>
    <sheet name="Sheet1" sheetId="1" r:id="rId4"/>
    <sheet name="Tables" sheetId="4" r:id="rId5"/>
    <sheet name="DataPage" sheetId="13" r:id="rId6"/>
    <sheet name="dropdowns" sheetId="16" r:id="rId7"/>
    <sheet name="Corrected kV" sheetId="5" r:id="rId8"/>
  </sheets>
  <definedNames>
    <definedName name="_xlnm._FilterDatabase" localSheetId="6" hidden="1">dropdowns!#REF!</definedName>
    <definedName name="ESE">Sheet1!$X$263</definedName>
    <definedName name="FiberLst">dropdowns!$A$11:$A$22</definedName>
    <definedName name="MGD">Sheet1!$X$265</definedName>
    <definedName name="Model">dropdowns!$A$25:$A$29</definedName>
    <definedName name="NA">dropdowns!$A$6:$A$8</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Eval-Siemens'!$A$1:$K$31</definedName>
    <definedName name="_xlnm.Print_Titles" localSheetId="2">'MQSA Requirements'!$9:$9</definedName>
    <definedName name="Siemens_Models">dropdowns!$A$25:$A$28</definedName>
    <definedName name="SpeckMassLst">dropdowns!$A$13:$A$22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U285" i="1" l="1"/>
  <c r="U284" i="1"/>
  <c r="U283" i="1"/>
  <c r="U282" i="1"/>
  <c r="U266" i="1"/>
  <c r="U265" i="1"/>
  <c r="U264" i="1"/>
  <c r="U263" i="1"/>
  <c r="F84" i="4"/>
  <c r="E84" i="4"/>
  <c r="D84" i="4"/>
  <c r="B76" i="4"/>
  <c r="F73" i="4"/>
  <c r="F72" i="4"/>
  <c r="F71" i="4"/>
  <c r="E73" i="4"/>
  <c r="E72" i="4"/>
  <c r="E71" i="4"/>
  <c r="D73" i="4"/>
  <c r="D72" i="4"/>
  <c r="D71" i="4"/>
  <c r="I398" i="1" l="1"/>
  <c r="H398" i="1"/>
  <c r="S454" i="1"/>
  <c r="J398" i="1" s="1"/>
  <c r="H391" i="1"/>
  <c r="I391" i="1"/>
  <c r="J391" i="1"/>
  <c r="D302" i="1"/>
  <c r="E302" i="1"/>
  <c r="F302" i="1"/>
  <c r="G302" i="1"/>
  <c r="H302" i="1"/>
  <c r="I302" i="1"/>
  <c r="J302" i="1"/>
  <c r="K302" i="1"/>
  <c r="I367" i="1"/>
  <c r="I368" i="1"/>
  <c r="O415" i="1"/>
  <c r="O416" i="1"/>
  <c r="F374" i="1" l="1"/>
  <c r="E374" i="1"/>
  <c r="D374" i="1"/>
  <c r="J251" i="1"/>
  <c r="I251" i="1"/>
  <c r="H251" i="1"/>
  <c r="F251" i="1"/>
  <c r="E251" i="1"/>
  <c r="D251" i="1"/>
  <c r="F250" i="1"/>
  <c r="E250" i="1"/>
  <c r="D250" i="1"/>
  <c r="F172" i="1"/>
  <c r="E172" i="1"/>
  <c r="D172" i="1"/>
  <c r="F171" i="1"/>
  <c r="E171" i="1"/>
  <c r="D171" i="1"/>
  <c r="F170" i="1"/>
  <c r="E170" i="1"/>
  <c r="D170" i="1"/>
  <c r="F169" i="1"/>
  <c r="E169" i="1"/>
  <c r="D169" i="1"/>
  <c r="F168" i="1"/>
  <c r="E168" i="1"/>
  <c r="D168" i="1"/>
  <c r="F167" i="1"/>
  <c r="E167" i="1"/>
  <c r="D167" i="1"/>
  <c r="F166" i="1"/>
  <c r="E166" i="1"/>
  <c r="D166" i="1"/>
  <c r="F165" i="1"/>
  <c r="E165" i="1"/>
  <c r="D165" i="1"/>
  <c r="Q350" i="1" l="1"/>
  <c r="Q349" i="1"/>
  <c r="R344" i="1"/>
  <c r="Q344" i="1"/>
  <c r="P344" i="1"/>
  <c r="R313" i="1"/>
  <c r="L302" i="1"/>
  <c r="L312" i="1"/>
  <c r="L307" i="1"/>
  <c r="F149" i="1"/>
  <c r="H196" i="1"/>
  <c r="H195" i="1"/>
  <c r="H194" i="1"/>
  <c r="S423" i="1"/>
  <c r="R423" i="1"/>
  <c r="Q423" i="1"/>
  <c r="H353" i="1"/>
  <c r="M353" i="1"/>
  <c r="U374" i="1"/>
  <c r="T374" i="1"/>
  <c r="S374" i="1"/>
  <c r="Q254" i="1"/>
  <c r="Q253" i="1"/>
  <c r="X218" i="1"/>
  <c r="X219" i="1"/>
  <c r="D88" i="4"/>
  <c r="R141" i="1"/>
  <c r="Q462" i="1"/>
  <c r="Q461" i="1"/>
  <c r="Q460" i="1"/>
  <c r="Q459" i="1"/>
  <c r="T464" i="1"/>
  <c r="T463" i="1"/>
  <c r="Y232" i="1"/>
  <c r="X232" i="1"/>
  <c r="S247" i="1"/>
  <c r="R247" i="1"/>
  <c r="S246" i="1"/>
  <c r="R246" i="1"/>
  <c r="Q247" i="1"/>
  <c r="Q246" i="1"/>
  <c r="S245" i="1"/>
  <c r="W246" i="1" s="1"/>
  <c r="R245" i="1"/>
  <c r="Q245" i="1"/>
  <c r="U246" i="1" s="1"/>
  <c r="X448" i="1"/>
  <c r="W448" i="1"/>
  <c r="V448" i="1"/>
  <c r="AD115" i="1"/>
  <c r="AD109" i="1"/>
  <c r="AD103" i="1"/>
  <c r="V246" i="1"/>
  <c r="X175" i="1" l="1"/>
  <c r="U175" i="1"/>
  <c r="I80" i="4" l="1"/>
  <c r="H80" i="4"/>
  <c r="H79" i="4"/>
  <c r="F81" i="4"/>
  <c r="F80" i="4"/>
  <c r="E81" i="4"/>
  <c r="E80" i="4"/>
  <c r="L5" i="14"/>
  <c r="C230" i="1"/>
  <c r="C229" i="1"/>
  <c r="K25" i="1" l="1"/>
  <c r="Q263" i="1" l="1"/>
  <c r="R263" i="1"/>
  <c r="Q264" i="1"/>
  <c r="R264" i="1"/>
  <c r="Q265" i="1"/>
  <c r="R265" i="1"/>
  <c r="Q266" i="1"/>
  <c r="R266" i="1"/>
  <c r="W251" i="1" l="1"/>
  <c r="W250" i="1"/>
  <c r="W249" i="1"/>
  <c r="W248" i="1"/>
  <c r="W247" i="1"/>
  <c r="V251" i="1"/>
  <c r="V250" i="1"/>
  <c r="V249" i="1"/>
  <c r="V248" i="1"/>
  <c r="V247" i="1"/>
  <c r="U251" i="1"/>
  <c r="U250" i="1"/>
  <c r="U249" i="1"/>
  <c r="U248" i="1"/>
  <c r="U247" i="1"/>
  <c r="R454" i="1" l="1"/>
  <c r="C69" i="4"/>
  <c r="I79" i="4" l="1"/>
  <c r="I78" i="4"/>
  <c r="H78" i="4"/>
  <c r="I77" i="4"/>
  <c r="H77" i="4"/>
  <c r="I76" i="4"/>
  <c r="H76" i="4"/>
  <c r="F79" i="4"/>
  <c r="E79" i="4"/>
  <c r="F78" i="4"/>
  <c r="E78" i="4"/>
  <c r="F77" i="4"/>
  <c r="E77" i="4"/>
  <c r="F76" i="4"/>
  <c r="E76" i="4"/>
  <c r="C82" i="4"/>
  <c r="B82" i="4"/>
  <c r="C81" i="4"/>
  <c r="B81" i="4"/>
  <c r="C80" i="4"/>
  <c r="B80" i="4"/>
  <c r="C79" i="4"/>
  <c r="B79" i="4"/>
  <c r="C78" i="4"/>
  <c r="C77" i="4"/>
  <c r="C76" i="4"/>
  <c r="B78" i="4"/>
  <c r="B77" i="4"/>
  <c r="E85" i="4" l="1"/>
  <c r="E86" i="4"/>
  <c r="F86" i="4"/>
  <c r="F85" i="4"/>
  <c r="D85" i="4"/>
  <c r="D86" i="4"/>
  <c r="Q412" i="1"/>
  <c r="Q411" i="1"/>
  <c r="Q409" i="1"/>
  <c r="U398" i="1"/>
  <c r="U397" i="1"/>
  <c r="U396" i="1"/>
  <c r="U395" i="1"/>
  <c r="P398" i="1"/>
  <c r="P397" i="1"/>
  <c r="P396" i="1"/>
  <c r="P395" i="1"/>
  <c r="S388" i="1"/>
  <c r="S387" i="1"/>
  <c r="S386" i="1"/>
  <c r="S385" i="1"/>
  <c r="S384" i="1"/>
  <c r="S383" i="1"/>
  <c r="S382" i="1"/>
  <c r="S381" i="1"/>
  <c r="S380" i="1"/>
  <c r="S379" i="1"/>
  <c r="S378" i="1"/>
  <c r="S377" i="1"/>
  <c r="S376" i="1"/>
  <c r="S375" i="1"/>
  <c r="S373" i="1"/>
  <c r="S372" i="1"/>
  <c r="S371" i="1"/>
  <c r="E7" i="17" l="1"/>
  <c r="B3" i="17"/>
  <c r="Q454" i="1" l="1"/>
  <c r="N22" i="14" l="1"/>
  <c r="L48" i="14"/>
  <c r="J48" i="14"/>
  <c r="H48" i="14"/>
  <c r="L25" i="14"/>
  <c r="J25" i="14"/>
  <c r="H25" i="14"/>
  <c r="V21" i="1" l="1"/>
  <c r="V28" i="1"/>
  <c r="V33" i="1" l="1"/>
  <c r="V32" i="1"/>
  <c r="V25" i="1"/>
  <c r="G281" i="1" l="1"/>
  <c r="G280" i="1"/>
  <c r="G279" i="1"/>
  <c r="L185" i="1"/>
  <c r="I185" i="1"/>
  <c r="S297" i="1" l="1"/>
  <c r="S305" i="1" s="1"/>
  <c r="Y402" i="1" l="1"/>
  <c r="X402" i="1"/>
  <c r="X296" i="1" l="1"/>
  <c r="X285" i="1"/>
  <c r="Q305" i="1"/>
  <c r="Q304" i="1"/>
  <c r="K280" i="1" s="1"/>
  <c r="O85" i="1" l="1"/>
  <c r="L181" i="1"/>
  <c r="N56" i="4"/>
  <c r="N55" i="4"/>
  <c r="N54" i="4"/>
  <c r="N53" i="4"/>
  <c r="Q319" i="1" l="1"/>
  <c r="D417" i="1" l="1"/>
  <c r="D410" i="1"/>
  <c r="J384" i="1"/>
  <c r="J383" i="1"/>
  <c r="E425" i="1"/>
  <c r="C429" i="1"/>
  <c r="C428" i="1"/>
  <c r="C427" i="1"/>
  <c r="K281" i="1"/>
  <c r="J277" i="1"/>
  <c r="S298" i="1" l="1"/>
  <c r="R297" i="1"/>
  <c r="R298" i="1" s="1"/>
  <c r="Q297" i="1"/>
  <c r="T296" i="1"/>
  <c r="T295" i="1"/>
  <c r="T294" i="1"/>
  <c r="T293" i="1"/>
  <c r="S286" i="1"/>
  <c r="R286" i="1"/>
  <c r="R287" i="1" s="1"/>
  <c r="Q286" i="1"/>
  <c r="T285" i="1"/>
  <c r="T284" i="1"/>
  <c r="T283" i="1"/>
  <c r="T282" i="1"/>
  <c r="S287" i="1" l="1"/>
  <c r="S304" i="1"/>
  <c r="S306" i="1" s="1"/>
  <c r="Q298" i="1"/>
  <c r="R305" i="1"/>
  <c r="L281" i="1" s="1"/>
  <c r="Q287" i="1"/>
  <c r="R304" i="1"/>
  <c r="L280" i="1" s="1"/>
  <c r="T286" i="1"/>
  <c r="T287" i="1" s="1"/>
  <c r="T297" i="1"/>
  <c r="T298" i="1" s="1"/>
  <c r="Q360" i="1"/>
  <c r="P360" i="1"/>
  <c r="U220" i="1" l="1"/>
  <c r="U219" i="1"/>
  <c r="U218" i="1"/>
  <c r="X220" i="1"/>
  <c r="AD132" i="1"/>
  <c r="AD131" i="1"/>
  <c r="AD130" i="1"/>
  <c r="AD129" i="1"/>
  <c r="AD128" i="1"/>
  <c r="AD127" i="1"/>
  <c r="Q351" i="1"/>
  <c r="D416" i="1" l="1"/>
  <c r="D415" i="1"/>
  <c r="S422" i="1"/>
  <c r="S421" i="1"/>
  <c r="S419" i="1"/>
  <c r="R422" i="1"/>
  <c r="R421" i="1"/>
  <c r="R419" i="1"/>
  <c r="Q422" i="1"/>
  <c r="Q421" i="1"/>
  <c r="Q419" i="1"/>
  <c r="S393" i="1"/>
  <c r="Y319" i="1" l="1"/>
  <c r="Y327" i="1"/>
  <c r="W319" i="1"/>
  <c r="W327" i="1"/>
  <c r="Q327" i="1"/>
  <c r="S319" i="1"/>
  <c r="S327" i="1"/>
  <c r="Y334" i="1" l="1"/>
  <c r="W334" i="1"/>
  <c r="S334" i="1"/>
  <c r="Q334" i="1"/>
  <c r="W348" i="1"/>
  <c r="W347" i="1"/>
  <c r="W346" i="1"/>
  <c r="W345" i="1"/>
  <c r="W344" i="1"/>
  <c r="V348" i="1"/>
  <c r="V347" i="1"/>
  <c r="V346" i="1"/>
  <c r="V345" i="1"/>
  <c r="V344" i="1"/>
  <c r="T348" i="1"/>
  <c r="T347" i="1"/>
  <c r="T346" i="1"/>
  <c r="T345" i="1"/>
  <c r="T344" i="1"/>
  <c r="S348" i="1"/>
  <c r="S347" i="1"/>
  <c r="S346" i="1"/>
  <c r="S345" i="1"/>
  <c r="S344" i="1"/>
  <c r="P348" i="1"/>
  <c r="P347" i="1"/>
  <c r="P346" i="1"/>
  <c r="P345" i="1"/>
  <c r="U344" i="1" l="1"/>
  <c r="M139" i="1" l="1"/>
  <c r="L139" i="1"/>
  <c r="M141" i="1"/>
  <c r="L141" i="1"/>
  <c r="M140" i="1"/>
  <c r="L140" i="1"/>
  <c r="D425" i="1"/>
  <c r="E410" i="1"/>
  <c r="E424" i="1"/>
  <c r="E423" i="1"/>
  <c r="E422" i="1"/>
  <c r="E421" i="1"/>
  <c r="D424" i="1"/>
  <c r="D423" i="1"/>
  <c r="D422" i="1"/>
  <c r="D421" i="1"/>
  <c r="E417" i="1"/>
  <c r="D414" i="1"/>
  <c r="E409" i="1"/>
  <c r="D409" i="1"/>
  <c r="E408" i="1"/>
  <c r="D408" i="1"/>
  <c r="E407" i="1"/>
  <c r="D407" i="1"/>
  <c r="F405" i="1"/>
  <c r="F404" i="1"/>
  <c r="F281" i="1" l="1"/>
  <c r="F280" i="1"/>
  <c r="F279" i="1"/>
  <c r="E281" i="1"/>
  <c r="E280" i="1"/>
  <c r="E279" i="1"/>
  <c r="C277" i="1"/>
  <c r="C263" i="1"/>
  <c r="M434" i="1"/>
  <c r="M433" i="1"/>
  <c r="D503" i="1"/>
  <c r="AD146" i="1"/>
  <c r="AD145" i="1"/>
  <c r="AD144" i="1"/>
  <c r="AD142" i="1"/>
  <c r="AD141" i="1"/>
  <c r="AD140" i="1"/>
  <c r="AD126" i="1"/>
  <c r="AD125" i="1"/>
  <c r="AD124" i="1"/>
  <c r="Q345" i="1"/>
  <c r="X344" i="1"/>
  <c r="U359" i="1"/>
  <c r="U358" i="1"/>
  <c r="U357" i="1"/>
  <c r="T359" i="1"/>
  <c r="T358" i="1"/>
  <c r="T357" i="1"/>
  <c r="W352" i="1"/>
  <c r="W351" i="1"/>
  <c r="T352" i="1"/>
  <c r="T351" i="1"/>
  <c r="Q352" i="1"/>
  <c r="T315" i="1"/>
  <c r="S315" i="1"/>
  <c r="T314" i="1"/>
  <c r="S314" i="1"/>
  <c r="T313" i="1"/>
  <c r="S313" i="1"/>
  <c r="T276" i="1"/>
  <c r="T275" i="1"/>
  <c r="T274" i="1"/>
  <c r="X348" i="1" l="1"/>
  <c r="W350" i="1" s="1"/>
  <c r="X350" i="1" s="1"/>
  <c r="X347" i="1"/>
  <c r="X345" i="1"/>
  <c r="U348" i="1"/>
  <c r="T350" i="1" s="1"/>
  <c r="U350" i="1" s="1"/>
  <c r="U347" i="1"/>
  <c r="U345" i="1"/>
  <c r="Q348" i="1"/>
  <c r="R348" i="1" s="1"/>
  <c r="Q347" i="1"/>
  <c r="R347" i="1" s="1"/>
  <c r="Q346" i="1"/>
  <c r="R350" i="1" l="1"/>
  <c r="R345" i="1"/>
  <c r="R349" i="1" s="1"/>
  <c r="W349" i="1"/>
  <c r="T349" i="1"/>
  <c r="F416" i="1"/>
  <c r="AD138" i="1"/>
  <c r="F415" i="1"/>
  <c r="AD136" i="1"/>
  <c r="R315" i="1"/>
  <c r="F409" i="1" s="1"/>
  <c r="R314" i="1"/>
  <c r="F408" i="1" s="1"/>
  <c r="V276" i="1"/>
  <c r="H281" i="1" s="1"/>
  <c r="V275" i="1"/>
  <c r="H280" i="1" s="1"/>
  <c r="V274" i="1"/>
  <c r="L137" i="1" l="1"/>
  <c r="AD134" i="1"/>
  <c r="L135" i="1"/>
  <c r="E415" i="1"/>
  <c r="U349" i="1"/>
  <c r="G415" i="1" s="1"/>
  <c r="AD137" i="1"/>
  <c r="X349" i="1"/>
  <c r="G416" i="1" s="1"/>
  <c r="E416" i="1"/>
  <c r="AD135" i="1"/>
  <c r="F414" i="1"/>
  <c r="E414" i="1"/>
  <c r="AD133" i="1"/>
  <c r="F407" i="1"/>
  <c r="M137" i="1"/>
  <c r="M135" i="1"/>
  <c r="H279" i="1"/>
  <c r="D375" i="1"/>
  <c r="F375" i="1"/>
  <c r="E375" i="1"/>
  <c r="S424" i="1"/>
  <c r="F377" i="1" s="1"/>
  <c r="Q424" i="1"/>
  <c r="D377" i="1" s="1"/>
  <c r="P412" i="1"/>
  <c r="P411" i="1"/>
  <c r="P410" i="1"/>
  <c r="P409" i="1"/>
  <c r="R424" i="1" l="1"/>
  <c r="E377" i="1" s="1"/>
  <c r="G414" i="1"/>
  <c r="T263" i="1"/>
  <c r="S412" i="1"/>
  <c r="R412" i="1"/>
  <c r="S411" i="1"/>
  <c r="R411" i="1"/>
  <c r="S409" i="1"/>
  <c r="R409" i="1"/>
  <c r="R398" i="1"/>
  <c r="Q398" i="1"/>
  <c r="R397" i="1"/>
  <c r="S397" i="1" s="1"/>
  <c r="Q397" i="1"/>
  <c r="R396" i="1"/>
  <c r="Q396" i="1"/>
  <c r="R395" i="1"/>
  <c r="S395" i="1" s="1"/>
  <c r="Q395" i="1"/>
  <c r="S392" i="1"/>
  <c r="R374" i="1"/>
  <c r="Q374" i="1"/>
  <c r="S407" i="1"/>
  <c r="W398" i="1"/>
  <c r="V398" i="1"/>
  <c r="W397" i="1"/>
  <c r="X397" i="1" s="1"/>
  <c r="V397" i="1"/>
  <c r="W396" i="1"/>
  <c r="X396" i="1" s="1"/>
  <c r="V396" i="1"/>
  <c r="W395" i="1"/>
  <c r="X395" i="1" s="1"/>
  <c r="V395" i="1"/>
  <c r="X393" i="1"/>
  <c r="X392" i="1"/>
  <c r="U388" i="1"/>
  <c r="T388" i="1"/>
  <c r="R388" i="1"/>
  <c r="Q388" i="1"/>
  <c r="J67" i="4" s="1"/>
  <c r="K67" i="4" s="1"/>
  <c r="U387" i="1"/>
  <c r="T387" i="1"/>
  <c r="R387" i="1"/>
  <c r="Q387" i="1"/>
  <c r="U386" i="1"/>
  <c r="T386" i="1"/>
  <c r="R386" i="1"/>
  <c r="Q386" i="1"/>
  <c r="U385" i="1"/>
  <c r="T385" i="1"/>
  <c r="R385" i="1"/>
  <c r="Q385" i="1"/>
  <c r="U384" i="1"/>
  <c r="T384" i="1"/>
  <c r="R384" i="1"/>
  <c r="Q384" i="1"/>
  <c r="Q383" i="1"/>
  <c r="F68" i="4" s="1"/>
  <c r="G68" i="4" s="1"/>
  <c r="U383" i="1"/>
  <c r="W383" i="1" s="1"/>
  <c r="T383" i="1"/>
  <c r="X383" i="1"/>
  <c r="R383" i="1"/>
  <c r="U382" i="1"/>
  <c r="T382" i="1"/>
  <c r="R382" i="1"/>
  <c r="Q382" i="1"/>
  <c r="F67" i="4" s="1"/>
  <c r="G67" i="4" s="1"/>
  <c r="U381" i="1"/>
  <c r="T381" i="1"/>
  <c r="R381" i="1"/>
  <c r="Q381" i="1"/>
  <c r="U380" i="1"/>
  <c r="T380" i="1"/>
  <c r="R380" i="1"/>
  <c r="Q380" i="1"/>
  <c r="U379" i="1"/>
  <c r="T379" i="1"/>
  <c r="R379" i="1"/>
  <c r="Q379" i="1"/>
  <c r="U378" i="1"/>
  <c r="T378" i="1"/>
  <c r="R378" i="1"/>
  <c r="Q378" i="1"/>
  <c r="U377" i="1"/>
  <c r="V377" i="1" s="1"/>
  <c r="D69" i="4" s="1"/>
  <c r="T377" i="1"/>
  <c r="X377" i="1"/>
  <c r="R377" i="1"/>
  <c r="Q377" i="1"/>
  <c r="U376" i="1"/>
  <c r="T376" i="1"/>
  <c r="R376" i="1"/>
  <c r="Q376" i="1"/>
  <c r="U375" i="1"/>
  <c r="T375" i="1"/>
  <c r="R375" i="1"/>
  <c r="Q375" i="1"/>
  <c r="U373" i="1"/>
  <c r="T373" i="1"/>
  <c r="R373" i="1"/>
  <c r="Q373" i="1"/>
  <c r="R372" i="1"/>
  <c r="U372" i="1"/>
  <c r="T372" i="1"/>
  <c r="Q372" i="1"/>
  <c r="U371" i="1"/>
  <c r="W371" i="1" s="1"/>
  <c r="T371" i="1"/>
  <c r="S402" i="1"/>
  <c r="T402" i="1"/>
  <c r="T396" i="1" l="1"/>
  <c r="M138" i="1"/>
  <c r="L138" i="1"/>
  <c r="W377" i="1"/>
  <c r="T397" i="1"/>
  <c r="AK35" i="1"/>
  <c r="X398" i="1"/>
  <c r="X400" i="1" s="1"/>
  <c r="Y398" i="1"/>
  <c r="U400" i="1"/>
  <c r="Y396" i="1"/>
  <c r="T398" i="1"/>
  <c r="R400" i="1"/>
  <c r="P400" i="1"/>
  <c r="P399" i="1"/>
  <c r="Q410" i="1" s="1"/>
  <c r="T395" i="1"/>
  <c r="AK12" i="1"/>
  <c r="AK14" i="1"/>
  <c r="AK33" i="1"/>
  <c r="AK18" i="1"/>
  <c r="AK32" i="1"/>
  <c r="AK24" i="1"/>
  <c r="AK29" i="1"/>
  <c r="AK10" i="1"/>
  <c r="AK23" i="1"/>
  <c r="AK11" i="1"/>
  <c r="AK28" i="1"/>
  <c r="AK36" i="1"/>
  <c r="R425" i="1"/>
  <c r="V400" i="1"/>
  <c r="W399" i="1"/>
  <c r="V399" i="1"/>
  <c r="U399" i="1"/>
  <c r="Q400" i="1"/>
  <c r="Q399" i="1"/>
  <c r="V383" i="1"/>
  <c r="H68" i="4" s="1"/>
  <c r="AK13" i="1"/>
  <c r="AK16" i="1"/>
  <c r="AK20" i="1"/>
  <c r="AK25" i="1"/>
  <c r="AK30" i="1"/>
  <c r="AK34" i="1"/>
  <c r="AK17" i="1"/>
  <c r="AK22" i="1"/>
  <c r="AK26" i="1"/>
  <c r="AK27" i="1"/>
  <c r="AK31" i="1"/>
  <c r="AK15" i="1"/>
  <c r="AK19" i="1"/>
  <c r="AK21" i="1"/>
  <c r="W400" i="1"/>
  <c r="S398" i="1"/>
  <c r="Y397" i="1"/>
  <c r="S396" i="1"/>
  <c r="Y395" i="1"/>
  <c r="R399" i="1"/>
  <c r="M193" i="1"/>
  <c r="L193" i="1"/>
  <c r="K193" i="1"/>
  <c r="M192" i="1"/>
  <c r="L192" i="1"/>
  <c r="K192" i="1"/>
  <c r="M191" i="1"/>
  <c r="L191" i="1"/>
  <c r="K191" i="1"/>
  <c r="M190" i="1"/>
  <c r="L190" i="1"/>
  <c r="K190" i="1"/>
  <c r="M189" i="1"/>
  <c r="L189" i="1"/>
  <c r="K189" i="1"/>
  <c r="M188" i="1"/>
  <c r="L188" i="1"/>
  <c r="K188" i="1"/>
  <c r="J193" i="1"/>
  <c r="I193" i="1"/>
  <c r="H193" i="1"/>
  <c r="J192" i="1"/>
  <c r="I192" i="1"/>
  <c r="H192" i="1"/>
  <c r="J191" i="1"/>
  <c r="I191" i="1"/>
  <c r="H191" i="1"/>
  <c r="J190" i="1"/>
  <c r="I190" i="1"/>
  <c r="H190" i="1"/>
  <c r="J189" i="1"/>
  <c r="I189" i="1"/>
  <c r="H189" i="1"/>
  <c r="J188" i="1"/>
  <c r="I188" i="1"/>
  <c r="H188" i="1"/>
  <c r="F198" i="1"/>
  <c r="E198" i="1"/>
  <c r="D198" i="1"/>
  <c r="F197" i="1"/>
  <c r="E197" i="1"/>
  <c r="D197" i="1"/>
  <c r="F196" i="1"/>
  <c r="E196" i="1"/>
  <c r="D196" i="1"/>
  <c r="F195" i="1"/>
  <c r="E195" i="1"/>
  <c r="D195" i="1"/>
  <c r="D194" i="1"/>
  <c r="F191" i="1"/>
  <c r="E191" i="1"/>
  <c r="D191" i="1"/>
  <c r="F190" i="1"/>
  <c r="E190" i="1"/>
  <c r="D190" i="1"/>
  <c r="F189" i="1"/>
  <c r="E189" i="1"/>
  <c r="D189" i="1"/>
  <c r="F188" i="1"/>
  <c r="E188" i="1"/>
  <c r="D188" i="1"/>
  <c r="R401" i="1" l="1"/>
  <c r="U401" i="1"/>
  <c r="X399" i="1"/>
  <c r="X401" i="1" s="1"/>
  <c r="T400" i="1"/>
  <c r="W401" i="1"/>
  <c r="T399" i="1"/>
  <c r="P401" i="1"/>
  <c r="V401" i="1"/>
  <c r="Q401" i="1"/>
  <c r="S399" i="1"/>
  <c r="Y400" i="1"/>
  <c r="Y399" i="1"/>
  <c r="S400" i="1"/>
  <c r="J397" i="1"/>
  <c r="I397" i="1"/>
  <c r="H397" i="1"/>
  <c r="J396" i="1"/>
  <c r="I396" i="1"/>
  <c r="H396" i="1"/>
  <c r="J395" i="1"/>
  <c r="I395" i="1"/>
  <c r="H395" i="1"/>
  <c r="J394" i="1"/>
  <c r="I394" i="1"/>
  <c r="H394" i="1"/>
  <c r="J393" i="1"/>
  <c r="I393" i="1"/>
  <c r="H393" i="1"/>
  <c r="J392" i="1"/>
  <c r="I392" i="1"/>
  <c r="H392" i="1"/>
  <c r="D185" i="1"/>
  <c r="V235" i="1" l="1"/>
  <c r="V234" i="1"/>
  <c r="V236" i="1"/>
  <c r="V232" i="1"/>
  <c r="V233" i="1"/>
  <c r="S401" i="1"/>
  <c r="Q425" i="1"/>
  <c r="D378" i="1" s="1"/>
  <c r="T401" i="1"/>
  <c r="S425" i="1"/>
  <c r="F378" i="1" s="1"/>
  <c r="Y401" i="1"/>
  <c r="E378" i="1"/>
  <c r="E376" i="1"/>
  <c r="S446" i="1"/>
  <c r="F376" i="1" l="1"/>
  <c r="D376" i="1"/>
  <c r="D459" i="1" l="1"/>
  <c r="D458" i="1"/>
  <c r="D457" i="1"/>
  <c r="D456" i="1"/>
  <c r="D455" i="1"/>
  <c r="D454" i="1"/>
  <c r="R506" i="1"/>
  <c r="S505" i="1"/>
  <c r="T506" i="1" s="1"/>
  <c r="R504" i="1"/>
  <c r="S503" i="1"/>
  <c r="T504" i="1" s="1"/>
  <c r="D451" i="1" l="1"/>
  <c r="D450" i="1"/>
  <c r="D449" i="1"/>
  <c r="D448" i="1"/>
  <c r="D447" i="1"/>
  <c r="D446" i="1"/>
  <c r="D445" i="1"/>
  <c r="D444" i="1"/>
  <c r="D443" i="1"/>
  <c r="D442" i="1"/>
  <c r="D441" i="1"/>
  <c r="D440" i="1"/>
  <c r="D439" i="1"/>
  <c r="D438" i="1"/>
  <c r="D437" i="1"/>
  <c r="D436" i="1"/>
  <c r="D452" i="1"/>
  <c r="D453" i="1"/>
  <c r="R502" i="1"/>
  <c r="S501" i="1"/>
  <c r="T502" i="1" s="1"/>
  <c r="R500" i="1"/>
  <c r="S499" i="1"/>
  <c r="T500" i="1" s="1"/>
  <c r="R498" i="1"/>
  <c r="S497" i="1"/>
  <c r="T498" i="1" s="1"/>
  <c r="R496" i="1"/>
  <c r="S495" i="1"/>
  <c r="T496" i="1" s="1"/>
  <c r="R494" i="1"/>
  <c r="S493" i="1"/>
  <c r="T494" i="1" s="1"/>
  <c r="R492" i="1"/>
  <c r="S491" i="1"/>
  <c r="T492" i="1" s="1"/>
  <c r="M132" i="1" l="1"/>
  <c r="L132" i="1"/>
  <c r="M131" i="1"/>
  <c r="L131" i="1"/>
  <c r="M130" i="1"/>
  <c r="L130" i="1"/>
  <c r="M129" i="1"/>
  <c r="L129" i="1"/>
  <c r="M128" i="1"/>
  <c r="L128" i="1"/>
  <c r="D431" i="1"/>
  <c r="M362" i="1"/>
  <c r="M361" i="1"/>
  <c r="I292" i="1"/>
  <c r="I291" i="1"/>
  <c r="F291" i="1"/>
  <c r="D291" i="1"/>
  <c r="F257" i="1"/>
  <c r="E257" i="1"/>
  <c r="F256" i="1"/>
  <c r="E256" i="1"/>
  <c r="F255" i="1"/>
  <c r="E255" i="1"/>
  <c r="F254" i="1"/>
  <c r="E254" i="1"/>
  <c r="F253" i="1"/>
  <c r="E253" i="1"/>
  <c r="D257" i="1"/>
  <c r="D256" i="1"/>
  <c r="D255" i="1"/>
  <c r="D254" i="1"/>
  <c r="D253" i="1"/>
  <c r="G241" i="1"/>
  <c r="F241" i="1"/>
  <c r="E241" i="1"/>
  <c r="G240" i="1"/>
  <c r="F240" i="1"/>
  <c r="E240" i="1"/>
  <c r="G239" i="1"/>
  <c r="F239" i="1"/>
  <c r="E239" i="1"/>
  <c r="G238" i="1"/>
  <c r="F238" i="1"/>
  <c r="E238" i="1"/>
  <c r="G237" i="1"/>
  <c r="F237" i="1"/>
  <c r="E237" i="1"/>
  <c r="D241" i="1"/>
  <c r="D240" i="1"/>
  <c r="D239" i="1"/>
  <c r="D238" i="1"/>
  <c r="D237" i="1"/>
  <c r="I233" i="1"/>
  <c r="G233" i="1"/>
  <c r="D233" i="1"/>
  <c r="G225" i="1"/>
  <c r="F225" i="1"/>
  <c r="E225" i="1"/>
  <c r="D225" i="1"/>
  <c r="G224" i="1"/>
  <c r="F224" i="1"/>
  <c r="E224" i="1"/>
  <c r="D224" i="1"/>
  <c r="G223" i="1"/>
  <c r="F223" i="1"/>
  <c r="E223" i="1"/>
  <c r="D223" i="1"/>
  <c r="C225" i="1"/>
  <c r="C224" i="1"/>
  <c r="J220" i="1"/>
  <c r="D359" i="1"/>
  <c r="D287" i="1"/>
  <c r="D71" i="1"/>
  <c r="D143" i="1"/>
  <c r="E207" i="1"/>
  <c r="E206" i="1"/>
  <c r="E205" i="1"/>
  <c r="E204" i="1"/>
  <c r="F148"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J349" i="1"/>
  <c r="I349" i="1"/>
  <c r="K348" i="1"/>
  <c r="J348" i="1"/>
  <c r="I348" i="1"/>
  <c r="K347" i="1"/>
  <c r="J347" i="1"/>
  <c r="I347" i="1"/>
  <c r="K346" i="1"/>
  <c r="I346" i="1"/>
  <c r="M349" i="1" l="1"/>
  <c r="K349" i="1"/>
  <c r="J351" i="1"/>
  <c r="J346" i="1"/>
  <c r="M347" i="1"/>
  <c r="M348" i="1"/>
  <c r="I350" i="1"/>
  <c r="K351" i="1"/>
  <c r="I351" i="1"/>
  <c r="J350" i="1" l="1"/>
  <c r="K352" i="1"/>
  <c r="K350" i="1"/>
  <c r="M351" i="1"/>
  <c r="M346" i="1"/>
  <c r="I352" i="1"/>
  <c r="M350" i="1"/>
  <c r="AD91" i="1" l="1"/>
  <c r="L344" i="1" l="1"/>
  <c r="L343" i="1"/>
  <c r="X453" i="1"/>
  <c r="W453" i="1"/>
  <c r="V453" i="1"/>
  <c r="X452" i="1"/>
  <c r="W452" i="1"/>
  <c r="V452" i="1"/>
  <c r="X451" i="1"/>
  <c r="W451" i="1"/>
  <c r="V451" i="1"/>
  <c r="X450" i="1"/>
  <c r="W450" i="1"/>
  <c r="V450" i="1"/>
  <c r="X449" i="1"/>
  <c r="W449" i="1"/>
  <c r="V449" i="1"/>
  <c r="AD120" i="1"/>
  <c r="AD119" i="1"/>
  <c r="AD118" i="1"/>
  <c r="AD117" i="1"/>
  <c r="AD116" i="1"/>
  <c r="AD114" i="1"/>
  <c r="AD113" i="1"/>
  <c r="AD112" i="1"/>
  <c r="AD111" i="1"/>
  <c r="AD110" i="1"/>
  <c r="AD108" i="1"/>
  <c r="AD107" i="1"/>
  <c r="AD106" i="1"/>
  <c r="L347" i="1" l="1"/>
  <c r="L346" i="1"/>
  <c r="L348" i="1"/>
  <c r="L349" i="1"/>
  <c r="L351" i="1" l="1"/>
  <c r="L350" i="1"/>
  <c r="L352" i="1" l="1"/>
  <c r="AD90" i="1"/>
  <c r="G344" i="1"/>
  <c r="F349" i="1"/>
  <c r="E349" i="1"/>
  <c r="F348" i="1"/>
  <c r="E348" i="1"/>
  <c r="F347" i="1"/>
  <c r="E347" i="1"/>
  <c r="F346" i="1"/>
  <c r="E346" i="1"/>
  <c r="H312" i="1"/>
  <c r="G312" i="1"/>
  <c r="F312" i="1"/>
  <c r="H311" i="1"/>
  <c r="G311" i="1"/>
  <c r="F311" i="1"/>
  <c r="H310" i="1"/>
  <c r="G310" i="1"/>
  <c r="F310" i="1"/>
  <c r="H309" i="1"/>
  <c r="G309" i="1"/>
  <c r="F309" i="1"/>
  <c r="H308" i="1"/>
  <c r="G308" i="1"/>
  <c r="F308" i="1"/>
  <c r="H307" i="1"/>
  <c r="G307" i="1"/>
  <c r="F307" i="1"/>
  <c r="H306" i="1"/>
  <c r="G306" i="1"/>
  <c r="F306" i="1"/>
  <c r="H305" i="1"/>
  <c r="G305" i="1"/>
  <c r="F305" i="1"/>
  <c r="H304" i="1"/>
  <c r="G304" i="1"/>
  <c r="F304" i="1"/>
  <c r="H303" i="1"/>
  <c r="G303" i="1"/>
  <c r="F303" i="1"/>
  <c r="H301" i="1"/>
  <c r="G301" i="1"/>
  <c r="F301" i="1"/>
  <c r="H300" i="1"/>
  <c r="G300" i="1"/>
  <c r="F300" i="1"/>
  <c r="H299" i="1"/>
  <c r="G299" i="1"/>
  <c r="F299" i="1"/>
  <c r="H298" i="1"/>
  <c r="G298" i="1"/>
  <c r="F298" i="1"/>
  <c r="H297" i="1"/>
  <c r="G297" i="1"/>
  <c r="F297" i="1"/>
  <c r="H296" i="1"/>
  <c r="G296" i="1"/>
  <c r="F296" i="1"/>
  <c r="G347" i="1" l="1"/>
  <c r="W372" i="1"/>
  <c r="J297" i="1" s="1"/>
  <c r="W376" i="1"/>
  <c r="J301" i="1" s="1"/>
  <c r="W381" i="1"/>
  <c r="J306" i="1" s="1"/>
  <c r="W386" i="1"/>
  <c r="J310" i="1" s="1"/>
  <c r="H346" i="1"/>
  <c r="G346" i="1"/>
  <c r="H349" i="1"/>
  <c r="W374" i="1"/>
  <c r="J299" i="1" s="1"/>
  <c r="W379" i="1"/>
  <c r="J304" i="1" s="1"/>
  <c r="W384" i="1"/>
  <c r="J308" i="1" s="1"/>
  <c r="W388" i="1"/>
  <c r="J312" i="1" s="1"/>
  <c r="H348" i="1"/>
  <c r="G349" i="1"/>
  <c r="U412" i="1"/>
  <c r="H347" i="1"/>
  <c r="G348" i="1"/>
  <c r="U411" i="1"/>
  <c r="U409" i="1"/>
  <c r="W373" i="1"/>
  <c r="J298" i="1" s="1"/>
  <c r="W375" i="1"/>
  <c r="J300" i="1" s="1"/>
  <c r="W378" i="1"/>
  <c r="J303" i="1" s="1"/>
  <c r="W380" i="1"/>
  <c r="J305" i="1" s="1"/>
  <c r="W382" i="1"/>
  <c r="J307" i="1" s="1"/>
  <c r="W385" i="1"/>
  <c r="J309" i="1" s="1"/>
  <c r="W387" i="1"/>
  <c r="J311" i="1" s="1"/>
  <c r="J296" i="1"/>
  <c r="S238" i="1"/>
  <c r="G243" i="1" s="1"/>
  <c r="R238" i="1"/>
  <c r="F243" i="1" s="1"/>
  <c r="Q238" i="1"/>
  <c r="E243" i="1" s="1"/>
  <c r="P238" i="1"/>
  <c r="D243" i="1" s="1"/>
  <c r="I148" i="1" l="1"/>
  <c r="F252" i="1" l="1"/>
  <c r="E252" i="1"/>
  <c r="D252" i="1"/>
  <c r="C18" i="5" l="1"/>
  <c r="C12" i="5"/>
  <c r="M56" i="4"/>
  <c r="L56" i="4"/>
  <c r="M55" i="4"/>
  <c r="L55" i="4"/>
  <c r="M54" i="4"/>
  <c r="L54" i="4"/>
  <c r="M53" i="4"/>
  <c r="L53" i="4"/>
  <c r="U464" i="1"/>
  <c r="I384" i="1" s="1"/>
  <c r="U463" i="1"/>
  <c r="I383" i="1" s="1"/>
  <c r="R437" i="1"/>
  <c r="Q437" i="1"/>
  <c r="E396" i="1" s="1"/>
  <c r="R436" i="1"/>
  <c r="U435" i="1"/>
  <c r="R435" i="1"/>
  <c r="V434" i="1"/>
  <c r="R434" i="1"/>
  <c r="V433" i="1"/>
  <c r="R433" i="1"/>
  <c r="V432" i="1"/>
  <c r="R432" i="1"/>
  <c r="E370" i="1"/>
  <c r="D370" i="1"/>
  <c r="D369" i="1"/>
  <c r="C368" i="1"/>
  <c r="F364" i="1"/>
  <c r="D349" i="1"/>
  <c r="D348" i="1"/>
  <c r="D347" i="1"/>
  <c r="D346" i="1"/>
  <c r="G343" i="1"/>
  <c r="E312" i="1"/>
  <c r="D312" i="1"/>
  <c r="E311" i="1"/>
  <c r="D311" i="1"/>
  <c r="E310" i="1"/>
  <c r="D310" i="1"/>
  <c r="E309" i="1"/>
  <c r="D309" i="1"/>
  <c r="E308" i="1"/>
  <c r="D308" i="1"/>
  <c r="D307" i="1"/>
  <c r="D306" i="1"/>
  <c r="E305" i="1"/>
  <c r="D305" i="1"/>
  <c r="E304" i="1"/>
  <c r="D304" i="1"/>
  <c r="E303" i="1"/>
  <c r="D303" i="1"/>
  <c r="M290" i="1"/>
  <c r="E301" i="1"/>
  <c r="D301" i="1"/>
  <c r="M289" i="1"/>
  <c r="E300" i="1"/>
  <c r="D300" i="1"/>
  <c r="E299" i="1"/>
  <c r="D299" i="1"/>
  <c r="E298" i="1"/>
  <c r="D298" i="1"/>
  <c r="M399" i="1"/>
  <c r="L399" i="1"/>
  <c r="E399" i="1"/>
  <c r="E297" i="1"/>
  <c r="M398" i="1"/>
  <c r="L398" i="1"/>
  <c r="E398" i="1"/>
  <c r="R371" i="1"/>
  <c r="V371" i="1" s="1"/>
  <c r="Q371" i="1"/>
  <c r="D296" i="1" s="1"/>
  <c r="M397" i="1"/>
  <c r="L397" i="1"/>
  <c r="E397" i="1"/>
  <c r="M396" i="1"/>
  <c r="M395" i="1"/>
  <c r="L395" i="1"/>
  <c r="E395" i="1"/>
  <c r="M394" i="1"/>
  <c r="L394" i="1"/>
  <c r="E394" i="1"/>
  <c r="M393" i="1"/>
  <c r="L393" i="1"/>
  <c r="E393" i="1"/>
  <c r="M392" i="1"/>
  <c r="E392" i="1"/>
  <c r="E391" i="1"/>
  <c r="S267" i="1"/>
  <c r="F272" i="1" s="1"/>
  <c r="R267" i="1"/>
  <c r="Q267" i="1"/>
  <c r="Q268" i="1" s="1"/>
  <c r="D273" i="1" s="1"/>
  <c r="X266" i="1"/>
  <c r="K271" i="1" s="1"/>
  <c r="T266" i="1"/>
  <c r="G271" i="1" s="1"/>
  <c r="E385" i="1"/>
  <c r="T265" i="1"/>
  <c r="G270" i="1" s="1"/>
  <c r="E384" i="1"/>
  <c r="T264" i="1"/>
  <c r="G269" i="1" s="1"/>
  <c r="E383" i="1"/>
  <c r="E382" i="1"/>
  <c r="F271" i="1"/>
  <c r="E271" i="1"/>
  <c r="D271" i="1"/>
  <c r="F270" i="1"/>
  <c r="E270" i="1"/>
  <c r="D270" i="1"/>
  <c r="F269" i="1"/>
  <c r="E269" i="1"/>
  <c r="D269" i="1"/>
  <c r="S253" i="1"/>
  <c r="R253" i="1"/>
  <c r="H256" i="1"/>
  <c r="F268" i="1"/>
  <c r="E268" i="1"/>
  <c r="D268" i="1"/>
  <c r="G265" i="1"/>
  <c r="D265" i="1"/>
  <c r="G264" i="1"/>
  <c r="D264" i="1"/>
  <c r="S237" i="1"/>
  <c r="U460" i="1" s="1"/>
  <c r="R237" i="1"/>
  <c r="Q237" i="1"/>
  <c r="P237" i="1"/>
  <c r="D242" i="1" s="1"/>
  <c r="U236" i="1"/>
  <c r="I241" i="1" s="1"/>
  <c r="T236" i="1"/>
  <c r="H241" i="1" s="1"/>
  <c r="U235" i="1"/>
  <c r="I240" i="1" s="1"/>
  <c r="T235" i="1"/>
  <c r="H240" i="1" s="1"/>
  <c r="U234" i="1"/>
  <c r="I239" i="1" s="1"/>
  <c r="T234" i="1"/>
  <c r="H239" i="1" s="1"/>
  <c r="U233" i="1"/>
  <c r="I238" i="1" s="1"/>
  <c r="T233" i="1"/>
  <c r="H238" i="1" s="1"/>
  <c r="U232" i="1"/>
  <c r="I237" i="1" s="1"/>
  <c r="T232" i="1"/>
  <c r="H237" i="1" s="1"/>
  <c r="C223" i="1"/>
  <c r="G220" i="1"/>
  <c r="D220" i="1"/>
  <c r="K224" i="1"/>
  <c r="M218" i="1"/>
  <c r="M217" i="1"/>
  <c r="D215" i="1"/>
  <c r="D208" i="1"/>
  <c r="D207" i="1"/>
  <c r="D206" i="1"/>
  <c r="R211" i="1"/>
  <c r="Q211" i="1"/>
  <c r="D205" i="1"/>
  <c r="D204" i="1"/>
  <c r="G181" i="1"/>
  <c r="F181" i="1"/>
  <c r="E181" i="1"/>
  <c r="D181" i="1"/>
  <c r="W189" i="1"/>
  <c r="F200" i="1" s="1"/>
  <c r="V189" i="1"/>
  <c r="E200" i="1" s="1"/>
  <c r="U189" i="1"/>
  <c r="D200" i="1" s="1"/>
  <c r="S189" i="1"/>
  <c r="F193" i="1" s="1"/>
  <c r="R189" i="1"/>
  <c r="E193" i="1" s="1"/>
  <c r="Q189" i="1"/>
  <c r="D193" i="1" s="1"/>
  <c r="W188" i="1"/>
  <c r="F199" i="1" s="1"/>
  <c r="V188" i="1"/>
  <c r="E199" i="1" s="1"/>
  <c r="U188" i="1"/>
  <c r="D199" i="1" s="1"/>
  <c r="S188" i="1"/>
  <c r="F192" i="1" s="1"/>
  <c r="R188" i="1"/>
  <c r="E192" i="1" s="1"/>
  <c r="Q188" i="1"/>
  <c r="D192" i="1" s="1"/>
  <c r="D174" i="1"/>
  <c r="H172" i="1"/>
  <c r="H171" i="1"/>
  <c r="H170" i="1"/>
  <c r="H169" i="1"/>
  <c r="H168" i="1"/>
  <c r="H167" i="1"/>
  <c r="H166" i="1"/>
  <c r="H165" i="1"/>
  <c r="I181" i="1"/>
  <c r="D162" i="1"/>
  <c r="D161" i="1"/>
  <c r="D160" i="1"/>
  <c r="D159" i="1"/>
  <c r="D158" i="1"/>
  <c r="D157" i="1"/>
  <c r="D156" i="1"/>
  <c r="Q168" i="1"/>
  <c r="E175" i="1" s="1"/>
  <c r="K155" i="1"/>
  <c r="J155" i="1"/>
  <c r="D155" i="1"/>
  <c r="K154" i="1"/>
  <c r="J154" i="1"/>
  <c r="M146" i="1"/>
  <c r="M145" i="1"/>
  <c r="R154" i="1"/>
  <c r="E162" i="1" s="1"/>
  <c r="R153" i="1"/>
  <c r="E161" i="1" s="1"/>
  <c r="R152" i="1"/>
  <c r="E160" i="1" s="1"/>
  <c r="R151" i="1"/>
  <c r="E159" i="1" s="1"/>
  <c r="T150" i="1"/>
  <c r="J158" i="1" s="1"/>
  <c r="R150" i="1"/>
  <c r="T149" i="1"/>
  <c r="J157" i="1" s="1"/>
  <c r="R149" i="1"/>
  <c r="E157" i="1" s="1"/>
  <c r="R148" i="1"/>
  <c r="E156" i="1" s="1"/>
  <c r="R147" i="1"/>
  <c r="X127" i="1"/>
  <c r="AD83" i="1" s="1"/>
  <c r="W127" i="1"/>
  <c r="K41" i="1" s="1"/>
  <c r="V127" i="1"/>
  <c r="U127" i="1"/>
  <c r="I41" i="1" s="1"/>
  <c r="T127" i="1"/>
  <c r="AD69" i="1" s="1"/>
  <c r="S127" i="1"/>
  <c r="G41" i="1" s="1"/>
  <c r="R127" i="1"/>
  <c r="F41" i="1" s="1"/>
  <c r="Q127" i="1"/>
  <c r="E41" i="1" s="1"/>
  <c r="P127" i="1"/>
  <c r="D41" i="1" s="1"/>
  <c r="X126" i="1"/>
  <c r="W126" i="1"/>
  <c r="AD79" i="1" s="1"/>
  <c r="V126" i="1"/>
  <c r="J40" i="1" s="1"/>
  <c r="U126" i="1"/>
  <c r="I40" i="1" s="1"/>
  <c r="T126" i="1"/>
  <c r="H40" i="1" s="1"/>
  <c r="S126" i="1"/>
  <c r="AD65" i="1" s="1"/>
  <c r="R126" i="1"/>
  <c r="AD54" i="1" s="1"/>
  <c r="Q126" i="1"/>
  <c r="AD53" i="1" s="1"/>
  <c r="P126" i="1"/>
  <c r="X125" i="1"/>
  <c r="AD77" i="1" s="1"/>
  <c r="W125" i="1"/>
  <c r="AD76" i="1" s="1"/>
  <c r="V125" i="1"/>
  <c r="AD75" i="1" s="1"/>
  <c r="U125" i="1"/>
  <c r="AD64" i="1" s="1"/>
  <c r="T125" i="1"/>
  <c r="AD63" i="1" s="1"/>
  <c r="S125" i="1"/>
  <c r="G39" i="1" s="1"/>
  <c r="R125" i="1"/>
  <c r="AD51" i="1" s="1"/>
  <c r="Q125" i="1"/>
  <c r="AD50" i="1" s="1"/>
  <c r="P125" i="1"/>
  <c r="D39" i="1" s="1"/>
  <c r="M107" i="1"/>
  <c r="L107" i="1"/>
  <c r="AD105" i="1"/>
  <c r="X124" i="1"/>
  <c r="L38" i="1" s="1"/>
  <c r="W124" i="1"/>
  <c r="AD73" i="1" s="1"/>
  <c r="V124" i="1"/>
  <c r="U124" i="1"/>
  <c r="AD61" i="1" s="1"/>
  <c r="T124" i="1"/>
  <c r="H38" i="1" s="1"/>
  <c r="S124" i="1"/>
  <c r="G38" i="1" s="1"/>
  <c r="R124" i="1"/>
  <c r="Q124" i="1"/>
  <c r="AD47" i="1" s="1"/>
  <c r="P124" i="1"/>
  <c r="D38" i="1" s="1"/>
  <c r="M106" i="1"/>
  <c r="L106" i="1"/>
  <c r="AD104" i="1"/>
  <c r="M105" i="1"/>
  <c r="L105" i="1"/>
  <c r="M104" i="1"/>
  <c r="L104" i="1"/>
  <c r="AD101" i="1"/>
  <c r="M103" i="1"/>
  <c r="L103" i="1"/>
  <c r="AD100" i="1"/>
  <c r="M102" i="1"/>
  <c r="L102" i="1"/>
  <c r="AD99" i="1"/>
  <c r="M101" i="1"/>
  <c r="L101" i="1"/>
  <c r="M100" i="1"/>
  <c r="L100" i="1"/>
  <c r="AD97" i="1"/>
  <c r="M99" i="1"/>
  <c r="L99" i="1"/>
  <c r="AD96" i="1"/>
  <c r="M98" i="1"/>
  <c r="L98" i="1"/>
  <c r="AD95" i="1"/>
  <c r="M97" i="1"/>
  <c r="L97" i="1"/>
  <c r="AD94" i="1"/>
  <c r="M96" i="1"/>
  <c r="L96" i="1"/>
  <c r="AD93" i="1"/>
  <c r="M95" i="1"/>
  <c r="L95" i="1"/>
  <c r="M94" i="1"/>
  <c r="L94" i="1"/>
  <c r="M93" i="1"/>
  <c r="L93" i="1"/>
  <c r="M92" i="1"/>
  <c r="L92" i="1"/>
  <c r="M91" i="1"/>
  <c r="L91" i="1"/>
  <c r="M90" i="1"/>
  <c r="L90" i="1"/>
  <c r="M89" i="1"/>
  <c r="L89" i="1"/>
  <c r="M88" i="1"/>
  <c r="L88" i="1"/>
  <c r="M87" i="1"/>
  <c r="L87" i="1"/>
  <c r="M86" i="1"/>
  <c r="L86" i="1"/>
  <c r="M85" i="1"/>
  <c r="L85" i="1"/>
  <c r="M84" i="1"/>
  <c r="L84" i="1"/>
  <c r="M83" i="1"/>
  <c r="L83" i="1"/>
  <c r="M82" i="1"/>
  <c r="L82" i="1"/>
  <c r="M81" i="1"/>
  <c r="L81" i="1"/>
  <c r="M80" i="1"/>
  <c r="L80" i="1"/>
  <c r="M79" i="1"/>
  <c r="L79" i="1"/>
  <c r="M78" i="1"/>
  <c r="L78" i="1"/>
  <c r="M77" i="1"/>
  <c r="L77" i="1"/>
  <c r="M76" i="1"/>
  <c r="L76" i="1"/>
  <c r="AD68" i="1"/>
  <c r="M74" i="1"/>
  <c r="AD67" i="1"/>
  <c r="M73" i="1"/>
  <c r="M63" i="1"/>
  <c r="L63" i="1"/>
  <c r="M62" i="1"/>
  <c r="L62" i="1"/>
  <c r="M61" i="1"/>
  <c r="L61" i="1"/>
  <c r="M60" i="1"/>
  <c r="L60" i="1"/>
  <c r="M59" i="1"/>
  <c r="L59" i="1"/>
  <c r="M58" i="1"/>
  <c r="L58" i="1"/>
  <c r="M57" i="1"/>
  <c r="L57" i="1"/>
  <c r="M56" i="1"/>
  <c r="L56" i="1"/>
  <c r="M55" i="1"/>
  <c r="L55" i="1"/>
  <c r="M54" i="1"/>
  <c r="L54" i="1"/>
  <c r="M53" i="1"/>
  <c r="L53" i="1"/>
  <c r="M52" i="1"/>
  <c r="L52" i="1"/>
  <c r="M51" i="1"/>
  <c r="L51" i="1"/>
  <c r="M49" i="1"/>
  <c r="L49" i="1"/>
  <c r="M48" i="1"/>
  <c r="L48" i="1"/>
  <c r="M47" i="1"/>
  <c r="L47" i="1"/>
  <c r="M46" i="1"/>
  <c r="L46" i="1"/>
  <c r="M45" i="1"/>
  <c r="L45" i="1"/>
  <c r="E40" i="1"/>
  <c r="I39" i="1"/>
  <c r="AD43" i="1"/>
  <c r="AC43" i="1" s="1"/>
  <c r="AD42" i="1"/>
  <c r="AC42" i="1" s="1"/>
  <c r="R31" i="1"/>
  <c r="R30" i="1"/>
  <c r="F29" i="1" s="1"/>
  <c r="V29" i="1"/>
  <c r="AD37" i="1" s="1"/>
  <c r="AC37" i="1" s="1"/>
  <c r="R29" i="1"/>
  <c r="AD33" i="1" s="1"/>
  <c r="AC33" i="1" s="1"/>
  <c r="AD36" i="1"/>
  <c r="AC36" i="1" s="1"/>
  <c r="R27" i="1"/>
  <c r="AD32" i="1" s="1"/>
  <c r="AC32" i="1" s="1"/>
  <c r="R26" i="1"/>
  <c r="AD31" i="1" s="1"/>
  <c r="AC31" i="1" s="1"/>
  <c r="AL35" i="1"/>
  <c r="R25" i="1"/>
  <c r="AD30" i="1" s="1"/>
  <c r="AC30" i="1" s="1"/>
  <c r="V24" i="1"/>
  <c r="R23" i="1"/>
  <c r="F22" i="1" s="1"/>
  <c r="V22" i="1"/>
  <c r="R22" i="1"/>
  <c r="AD28" i="1" s="1"/>
  <c r="AC28" i="1" s="1"/>
  <c r="AD38" i="1"/>
  <c r="AC38" i="1" s="1"/>
  <c r="V19" i="1"/>
  <c r="AD26" i="1" s="1"/>
  <c r="AC26" i="1" s="1"/>
  <c r="R19" i="1"/>
  <c r="V18" i="1"/>
  <c r="B5" i="17" s="1"/>
  <c r="R18" i="1"/>
  <c r="E4" i="17" s="1"/>
  <c r="V17" i="1"/>
  <c r="E5" i="17" s="1"/>
  <c r="R17" i="1"/>
  <c r="B4" i="17" s="1"/>
  <c r="V14" i="1"/>
  <c r="AD19" i="1" s="1"/>
  <c r="AC19" i="1" s="1"/>
  <c r="R14" i="1"/>
  <c r="V13" i="1"/>
  <c r="K13" i="1" s="1"/>
  <c r="R13" i="1"/>
  <c r="V12" i="1"/>
  <c r="R12" i="1"/>
  <c r="F12" i="1" s="1"/>
  <c r="V11" i="1"/>
  <c r="AD16" i="1" s="1"/>
  <c r="AC16" i="1" s="1"/>
  <c r="R11" i="1"/>
  <c r="AD11" i="1" s="1"/>
  <c r="AC11" i="1" s="1"/>
  <c r="V10" i="1"/>
  <c r="AD15" i="1" s="1"/>
  <c r="AC15" i="1" s="1"/>
  <c r="R10" i="1"/>
  <c r="AD8" i="1"/>
  <c r="AC8" i="1" s="1"/>
  <c r="P8" i="1"/>
  <c r="AD7" i="1"/>
  <c r="AC7" i="1" s="1"/>
  <c r="X7" i="1"/>
  <c r="B6" i="17" s="1"/>
  <c r="AA3" i="1"/>
  <c r="AD55" i="1" l="1"/>
  <c r="E6" i="17"/>
  <c r="L8" i="14"/>
  <c r="F242" i="1"/>
  <c r="T460" i="1"/>
  <c r="E242" i="1"/>
  <c r="T459" i="1"/>
  <c r="I38" i="1"/>
  <c r="AD82" i="1"/>
  <c r="D504" i="1"/>
  <c r="K17" i="1"/>
  <c r="F16" i="1"/>
  <c r="AD24" i="1"/>
  <c r="AC24" i="1" s="1"/>
  <c r="K223" i="1"/>
  <c r="H223" i="1"/>
  <c r="H39" i="1"/>
  <c r="AL40" i="1"/>
  <c r="AL39" i="1"/>
  <c r="AL48" i="1"/>
  <c r="AL46" i="1"/>
  <c r="AL44" i="1"/>
  <c r="AL42" i="1"/>
  <c r="AL38" i="1"/>
  <c r="AL47" i="1"/>
  <c r="AL45" i="1"/>
  <c r="AL43" i="1"/>
  <c r="AL41" i="1"/>
  <c r="AL37" i="1"/>
  <c r="L39" i="1"/>
  <c r="K22" i="1"/>
  <c r="AK39" i="1"/>
  <c r="AK42" i="1"/>
  <c r="AK40" i="1"/>
  <c r="AK47" i="1"/>
  <c r="AK45" i="1"/>
  <c r="AK43" i="1"/>
  <c r="AK41" i="1"/>
  <c r="AK37" i="1"/>
  <c r="AK48" i="1"/>
  <c r="AK46" i="1"/>
  <c r="AK44" i="1"/>
  <c r="AK38" i="1"/>
  <c r="M432" i="1"/>
  <c r="M504" i="1"/>
  <c r="M503" i="1"/>
  <c r="M431" i="1"/>
  <c r="AD41" i="1"/>
  <c r="AC41" i="1" s="1"/>
  <c r="AL29" i="1"/>
  <c r="AL33" i="1"/>
  <c r="AL27" i="1"/>
  <c r="P378" i="1" s="1"/>
  <c r="E63" i="4" s="1"/>
  <c r="E70" i="4" s="1"/>
  <c r="AL36" i="1"/>
  <c r="AL34" i="1"/>
  <c r="AL32" i="1"/>
  <c r="AL30" i="1"/>
  <c r="AL28" i="1"/>
  <c r="AL31" i="1"/>
  <c r="AD40" i="1"/>
  <c r="AC40" i="1" s="1"/>
  <c r="AL25" i="1"/>
  <c r="AL23" i="1"/>
  <c r="AL17" i="1"/>
  <c r="AL14" i="1"/>
  <c r="AL12" i="1"/>
  <c r="AL10" i="1"/>
  <c r="AL22" i="1"/>
  <c r="AL16" i="1"/>
  <c r="AL21" i="1"/>
  <c r="AL19" i="1"/>
  <c r="AL15" i="1"/>
  <c r="AL13" i="1"/>
  <c r="AL11" i="1"/>
  <c r="AL26" i="1"/>
  <c r="AL24" i="1"/>
  <c r="AL20" i="1"/>
  <c r="AL18" i="1"/>
  <c r="AD17" i="1"/>
  <c r="AC17" i="1" s="1"/>
  <c r="D432" i="1"/>
  <c r="AD22" i="1"/>
  <c r="AC22" i="1" s="1"/>
  <c r="AD62" i="1"/>
  <c r="AD59" i="1"/>
  <c r="AD60" i="1"/>
  <c r="E296" i="1"/>
  <c r="B64" i="4"/>
  <c r="C64" i="4" s="1"/>
  <c r="D297" i="1"/>
  <c r="V382" i="1"/>
  <c r="E307" i="1"/>
  <c r="AD74" i="1"/>
  <c r="V381" i="1"/>
  <c r="E306" i="1"/>
  <c r="S239" i="1"/>
  <c r="G244" i="1" s="1"/>
  <c r="G242" i="1"/>
  <c r="M215" i="1"/>
  <c r="M359" i="1"/>
  <c r="M287" i="1"/>
  <c r="M71" i="1"/>
  <c r="M143" i="1"/>
  <c r="D360" i="1"/>
  <c r="D288" i="1"/>
  <c r="D72" i="1"/>
  <c r="D144" i="1"/>
  <c r="H255" i="1"/>
  <c r="D258" i="1"/>
  <c r="K38" i="1"/>
  <c r="K39" i="1"/>
  <c r="AD78" i="1"/>
  <c r="H205" i="1"/>
  <c r="E258" i="1"/>
  <c r="M360" i="1"/>
  <c r="M72" i="1"/>
  <c r="M144" i="1"/>
  <c r="M288" i="1"/>
  <c r="F258" i="1"/>
  <c r="J39" i="1"/>
  <c r="X371" i="1"/>
  <c r="K296" i="1" s="1"/>
  <c r="B63" i="4"/>
  <c r="C63" i="4" s="1"/>
  <c r="X373" i="1"/>
  <c r="K298" i="1" s="1"/>
  <c r="B65" i="4"/>
  <c r="C65" i="4" s="1"/>
  <c r="X374" i="1"/>
  <c r="K299" i="1" s="1"/>
  <c r="B66" i="4"/>
  <c r="C66" i="4" s="1"/>
  <c r="X378" i="1"/>
  <c r="K303" i="1" s="1"/>
  <c r="F63" i="4"/>
  <c r="G63" i="4" s="1"/>
  <c r="X382" i="1"/>
  <c r="K307" i="1" s="1"/>
  <c r="X388" i="1"/>
  <c r="K312" i="1" s="1"/>
  <c r="X381" i="1"/>
  <c r="K306" i="1" s="1"/>
  <c r="F66" i="4"/>
  <c r="G66" i="4" s="1"/>
  <c r="X387" i="1"/>
  <c r="K311" i="1" s="1"/>
  <c r="J66" i="4"/>
  <c r="K66" i="4" s="1"/>
  <c r="X379" i="1"/>
  <c r="K304" i="1" s="1"/>
  <c r="F64" i="4"/>
  <c r="G64" i="4" s="1"/>
  <c r="X380" i="1"/>
  <c r="K305" i="1" s="1"/>
  <c r="F65" i="4"/>
  <c r="G65" i="4" s="1"/>
  <c r="X386" i="1"/>
  <c r="K310" i="1" s="1"/>
  <c r="J65" i="4"/>
  <c r="K65" i="4" s="1"/>
  <c r="X375" i="1"/>
  <c r="K300" i="1" s="1"/>
  <c r="B67" i="4"/>
  <c r="C67" i="4" s="1"/>
  <c r="X376" i="1"/>
  <c r="K301" i="1" s="1"/>
  <c r="B68" i="4"/>
  <c r="C68" i="4" s="1"/>
  <c r="X384" i="1"/>
  <c r="K308" i="1" s="1"/>
  <c r="J63" i="4"/>
  <c r="K63" i="4" s="1"/>
  <c r="X385" i="1"/>
  <c r="K309" i="1" s="1"/>
  <c r="J64" i="4"/>
  <c r="K64" i="4" s="1"/>
  <c r="F24" i="1"/>
  <c r="H253" i="1"/>
  <c r="AD13" i="1"/>
  <c r="AC13" i="1" s="1"/>
  <c r="F13" i="1"/>
  <c r="B2" i="13" s="1"/>
  <c r="K21" i="1"/>
  <c r="K23" i="1"/>
  <c r="K24" i="1"/>
  <c r="H41" i="1"/>
  <c r="F40" i="1"/>
  <c r="K40" i="1"/>
  <c r="AD70" i="1"/>
  <c r="G40" i="1"/>
  <c r="AD66" i="1"/>
  <c r="K28" i="1"/>
  <c r="J254" i="1"/>
  <c r="J255" i="1"/>
  <c r="F25" i="1"/>
  <c r="V372" i="1"/>
  <c r="V373" i="1"/>
  <c r="V384" i="1"/>
  <c r="C367" i="1"/>
  <c r="T409" i="1"/>
  <c r="F367" i="1" s="1"/>
  <c r="V374" i="1"/>
  <c r="V375" i="1"/>
  <c r="V378" i="1"/>
  <c r="V379" i="1"/>
  <c r="V385" i="1"/>
  <c r="I309" i="1" s="1"/>
  <c r="V386" i="1"/>
  <c r="V387" i="1"/>
  <c r="V388" i="1"/>
  <c r="F26" i="1"/>
  <c r="V380" i="1"/>
  <c r="C370" i="1"/>
  <c r="T412" i="1"/>
  <c r="F370" i="1" s="1"/>
  <c r="AD9" i="1"/>
  <c r="AC9" i="1" s="1"/>
  <c r="K29" i="1"/>
  <c r="X372" i="1"/>
  <c r="K297" i="1" s="1"/>
  <c r="V376" i="1"/>
  <c r="C369" i="1"/>
  <c r="T411" i="1"/>
  <c r="F369" i="1" s="1"/>
  <c r="AD98" i="1"/>
  <c r="F39" i="1"/>
  <c r="E39" i="1"/>
  <c r="E38" i="1"/>
  <c r="AD49" i="1"/>
  <c r="AD46" i="1"/>
  <c r="K30" i="1"/>
  <c r="G367" i="1"/>
  <c r="D351" i="1"/>
  <c r="K237" i="1"/>
  <c r="X236" i="1"/>
  <c r="K241" i="1" s="1"/>
  <c r="X234" i="1"/>
  <c r="K239" i="1" s="1"/>
  <c r="X235" i="1"/>
  <c r="K240" i="1" s="1"/>
  <c r="X233" i="1"/>
  <c r="K238" i="1" s="1"/>
  <c r="T238" i="1"/>
  <c r="H243" i="1" s="1"/>
  <c r="U238" i="1"/>
  <c r="I243" i="1" s="1"/>
  <c r="T267" i="1"/>
  <c r="T268" i="1" s="1"/>
  <c r="G273" i="1" s="1"/>
  <c r="G268" i="1"/>
  <c r="D272" i="1"/>
  <c r="E158" i="1"/>
  <c r="S156" i="1"/>
  <c r="J156" i="1" s="1"/>
  <c r="J256" i="1"/>
  <c r="J253" i="1"/>
  <c r="I256" i="1"/>
  <c r="I255" i="1"/>
  <c r="I254" i="1"/>
  <c r="I253" i="1"/>
  <c r="H254" i="1"/>
  <c r="K27" i="1"/>
  <c r="AD34" i="1"/>
  <c r="AC34" i="1" s="1"/>
  <c r="F28" i="1"/>
  <c r="AD29" i="1"/>
  <c r="AC29" i="1" s="1"/>
  <c r="F21" i="1"/>
  <c r="AD25" i="1"/>
  <c r="AC25" i="1" s="1"/>
  <c r="K18" i="1"/>
  <c r="K12" i="1"/>
  <c r="E8" i="14" s="1"/>
  <c r="K11" i="1"/>
  <c r="AD14" i="1"/>
  <c r="AC14" i="1" s="1"/>
  <c r="E367" i="1"/>
  <c r="F11" i="1"/>
  <c r="AD12" i="1"/>
  <c r="AC12" i="1" s="1"/>
  <c r="AD21" i="1"/>
  <c r="AC21" i="1" s="1"/>
  <c r="M216" i="1"/>
  <c r="T237" i="1"/>
  <c r="P239" i="1"/>
  <c r="D244" i="1" s="1"/>
  <c r="G369" i="1"/>
  <c r="E369" i="1"/>
  <c r="AD39" i="1"/>
  <c r="AC39" i="1" s="1"/>
  <c r="Q239" i="1"/>
  <c r="E244" i="1" s="1"/>
  <c r="D367" i="1"/>
  <c r="K16" i="1"/>
  <c r="D216" i="1"/>
  <c r="S268" i="1"/>
  <c r="F273" i="1" s="1"/>
  <c r="E351" i="1"/>
  <c r="D350" i="1"/>
  <c r="F10" i="1"/>
  <c r="AD10" i="1"/>
  <c r="AC10" i="1" s="1"/>
  <c r="AD18" i="1"/>
  <c r="AC18" i="1" s="1"/>
  <c r="AD48" i="1"/>
  <c r="F38" i="1"/>
  <c r="AD72" i="1"/>
  <c r="J38" i="1"/>
  <c r="D40" i="1"/>
  <c r="AD52" i="1"/>
  <c r="AD80" i="1"/>
  <c r="L40" i="1"/>
  <c r="AD81" i="1"/>
  <c r="J41" i="1"/>
  <c r="F30" i="1"/>
  <c r="AD35" i="1"/>
  <c r="AC35" i="1" s="1"/>
  <c r="K225" i="1"/>
  <c r="V225" i="1"/>
  <c r="H225" i="1"/>
  <c r="H224" i="1"/>
  <c r="U237" i="1"/>
  <c r="I242" i="1" s="1"/>
  <c r="R239" i="1"/>
  <c r="F244" i="1" s="1"/>
  <c r="R268" i="1"/>
  <c r="E273" i="1" s="1"/>
  <c r="E272" i="1"/>
  <c r="G370" i="1"/>
  <c r="AD23" i="1"/>
  <c r="AC23" i="1" s="1"/>
  <c r="F18" i="1"/>
  <c r="E155" i="1"/>
  <c r="E174" i="1"/>
  <c r="E176" i="1"/>
  <c r="K10" i="1"/>
  <c r="F17" i="1"/>
  <c r="L41" i="1"/>
  <c r="F351" i="1"/>
  <c r="X221" i="1" l="1"/>
  <c r="J237" i="1"/>
  <c r="C303" i="1"/>
  <c r="D76" i="4"/>
  <c r="E83" i="4" s="1"/>
  <c r="R418" i="1"/>
  <c r="J252" i="1"/>
  <c r="S254" i="1"/>
  <c r="S255" i="1" s="1"/>
  <c r="I252" i="1"/>
  <c r="R254" i="1"/>
  <c r="R255" i="1" s="1"/>
  <c r="H252" i="1"/>
  <c r="Q255" i="1"/>
  <c r="P384" i="1"/>
  <c r="V392" i="1"/>
  <c r="J343" i="1" s="1"/>
  <c r="Q392" i="1"/>
  <c r="E343" i="1" s="1"/>
  <c r="P371" i="1"/>
  <c r="A76" i="4" s="1"/>
  <c r="D83" i="4" s="1"/>
  <c r="Q407" i="1"/>
  <c r="D364" i="1" s="1"/>
  <c r="R410" i="1"/>
  <c r="E350" i="1"/>
  <c r="D68" i="4"/>
  <c r="I301" i="1"/>
  <c r="L65" i="4"/>
  <c r="I310" i="1"/>
  <c r="D67" i="4"/>
  <c r="I300" i="1"/>
  <c r="L63" i="4"/>
  <c r="I308" i="1"/>
  <c r="H67" i="4"/>
  <c r="I307" i="1"/>
  <c r="D63" i="4"/>
  <c r="I296" i="1"/>
  <c r="D66" i="4"/>
  <c r="I299" i="1"/>
  <c r="D65" i="4"/>
  <c r="I298" i="1"/>
  <c r="S410" i="1"/>
  <c r="E368" i="1" s="1"/>
  <c r="F350" i="1"/>
  <c r="H65" i="4"/>
  <c r="I305" i="1"/>
  <c r="L67" i="4"/>
  <c r="I312" i="1"/>
  <c r="H64" i="4"/>
  <c r="I304" i="1"/>
  <c r="L66" i="4"/>
  <c r="I311" i="1"/>
  <c r="H63" i="4"/>
  <c r="I303" i="1"/>
  <c r="D64" i="4"/>
  <c r="I297" i="1"/>
  <c r="H66" i="4"/>
  <c r="I306" i="1"/>
  <c r="Y235" i="1"/>
  <c r="L240" i="1" s="1"/>
  <c r="H242" i="1"/>
  <c r="J239" i="1"/>
  <c r="L64" i="4"/>
  <c r="G272" i="1"/>
  <c r="J240" i="1"/>
  <c r="J238" i="1"/>
  <c r="J241" i="1"/>
  <c r="D368" i="1"/>
  <c r="Y236" i="1"/>
  <c r="L241" i="1" s="1"/>
  <c r="Y234" i="1"/>
  <c r="L239" i="1" s="1"/>
  <c r="Y233" i="1"/>
  <c r="L238" i="1" s="1"/>
  <c r="X237" i="1"/>
  <c r="D352" i="1"/>
  <c r="T239" i="1"/>
  <c r="H244" i="1" s="1"/>
  <c r="L237" i="1"/>
  <c r="P240" i="1"/>
  <c r="D245" i="1" s="1"/>
  <c r="U239" i="1"/>
  <c r="I244" i="1" s="1"/>
  <c r="H351" i="1"/>
  <c r="G351" i="1"/>
  <c r="F352" i="1"/>
  <c r="H384" i="1" l="1"/>
  <c r="I29" i="14"/>
  <c r="V464" i="1"/>
  <c r="AD122" i="1"/>
  <c r="V463" i="1"/>
  <c r="AD121" i="1"/>
  <c r="G29" i="14"/>
  <c r="H383" i="1"/>
  <c r="K226" i="1"/>
  <c r="N35" i="14"/>
  <c r="G76" i="4"/>
  <c r="F83" i="4" s="1"/>
  <c r="X292" i="1" s="1"/>
  <c r="S418" i="1"/>
  <c r="Q418" i="1"/>
  <c r="C308" i="1"/>
  <c r="I63" i="4"/>
  <c r="F70" i="4" s="1"/>
  <c r="C296" i="1"/>
  <c r="A63" i="4"/>
  <c r="D70" i="4" s="1"/>
  <c r="U410" i="1"/>
  <c r="G368" i="1" s="1"/>
  <c r="H350" i="1"/>
  <c r="T410" i="1"/>
  <c r="G350" i="1"/>
  <c r="F260" i="1"/>
  <c r="F259" i="1"/>
  <c r="X238" i="1"/>
  <c r="K243" i="1" s="1"/>
  <c r="K242" i="1"/>
  <c r="E260" i="1"/>
  <c r="E259" i="1"/>
  <c r="D260" i="1"/>
  <c r="D259" i="1"/>
  <c r="V238" i="1"/>
  <c r="J243" i="1" s="1"/>
  <c r="V237" i="1"/>
  <c r="J242" i="1" s="1"/>
  <c r="Y237" i="1"/>
  <c r="L242" i="1" s="1"/>
  <c r="G352" i="1"/>
  <c r="AD88" i="1"/>
  <c r="AD89" i="1"/>
  <c r="X262" i="1" l="1"/>
  <c r="A89" i="4" s="1"/>
  <c r="K383" i="1"/>
  <c r="X463" i="1"/>
  <c r="L383" i="1" s="1"/>
  <c r="K384" i="1"/>
  <c r="X464" i="1"/>
  <c r="L384" i="1" s="1"/>
  <c r="X281" i="1"/>
  <c r="U295" i="1"/>
  <c r="U296" i="1"/>
  <c r="U293" i="1"/>
  <c r="U294" i="1"/>
  <c r="H271" i="1"/>
  <c r="H269" i="1"/>
  <c r="H268" i="1"/>
  <c r="H270" i="1"/>
  <c r="V239" i="1"/>
  <c r="Y238" i="1"/>
  <c r="L243" i="1" s="1"/>
  <c r="T413" i="1"/>
  <c r="F371" i="1" s="1"/>
  <c r="I366" i="1" s="1"/>
  <c r="F368" i="1"/>
  <c r="D89" i="4" l="1"/>
  <c r="U297" i="1"/>
  <c r="U286" i="1"/>
  <c r="E89" i="4"/>
  <c r="K267" i="1"/>
  <c r="B87" i="4"/>
  <c r="F89" i="4"/>
  <c r="X264" i="1" s="1"/>
  <c r="C89" i="4"/>
  <c r="B89" i="4"/>
  <c r="U267" i="1"/>
  <c r="V240" i="1"/>
  <c r="J245" i="1" s="1"/>
  <c r="J244" i="1"/>
  <c r="H272" i="1" l="1"/>
  <c r="X263" i="1"/>
  <c r="X293" i="1"/>
  <c r="U298" i="1"/>
  <c r="U287" i="1"/>
  <c r="X282" i="1"/>
  <c r="K269" i="1"/>
  <c r="X294" i="1"/>
  <c r="X283" i="1"/>
  <c r="U268" i="1"/>
  <c r="H273" i="1" s="1"/>
  <c r="K268" i="1" l="1"/>
  <c r="X265" i="1" l="1"/>
  <c r="L33" i="14" s="1"/>
  <c r="X295" i="1"/>
  <c r="X284" i="1"/>
  <c r="X288" i="1" l="1"/>
  <c r="T304" i="1"/>
  <c r="M280" i="1" s="1"/>
  <c r="X299" i="1"/>
  <c r="T305" i="1"/>
  <c r="M281" i="1" s="1"/>
  <c r="K270" i="1"/>
  <c r="X269" i="1"/>
  <c r="K274" i="1" s="1"/>
  <c r="AD86" i="1"/>
  <c r="AD87" i="1"/>
  <c r="X267" i="1"/>
  <c r="K272" i="1" s="1"/>
  <c r="X270" i="1"/>
  <c r="K275" i="1" s="1"/>
  <c r="X297" i="1"/>
  <c r="X300" i="1"/>
  <c r="AD85" i="1"/>
  <c r="X286" i="1"/>
  <c r="X289" i="1"/>
  <c r="T306" i="1" l="1"/>
  <c r="V304" i="1" l="1"/>
  <c r="M283" i="1" s="1"/>
  <c r="M282" i="1"/>
  <c r="M136" i="1" l="1"/>
  <c r="L1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N22" authorId="0" shapeId="0" xr:uid="{00000000-0006-0000-0000-000001000000}">
      <text>
        <r>
          <rPr>
            <b/>
            <sz val="8"/>
            <color indexed="81"/>
            <rFont val="Tahoma"/>
            <family val="2"/>
          </rPr>
          <t>Click in boxes to use drop-down lists</t>
        </r>
      </text>
    </comment>
    <comment ref="H25" authorId="0" shapeId="0" xr:uid="{00000000-0006-0000-0000-000002000000}">
      <text>
        <r>
          <rPr>
            <b/>
            <sz val="8"/>
            <color indexed="81"/>
            <rFont val="Tahoma"/>
            <family val="2"/>
          </rPr>
          <t>Click in boxes to use drop-down lists</t>
        </r>
        <r>
          <rPr>
            <sz val="8"/>
            <color indexed="81"/>
            <rFont val="Tahoma"/>
            <family val="2"/>
          </rPr>
          <t xml:space="preserve">
</t>
        </r>
      </text>
    </comment>
    <comment ref="H48" authorId="0" shapeId="0" xr:uid="{00000000-0006-0000-0000-00000300000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10" authorId="0" shapeId="0" xr:uid="{00000000-0006-0000-0100-000001000000}">
      <text>
        <r>
          <rPr>
            <b/>
            <sz val="8"/>
            <color indexed="81"/>
            <rFont val="Tahoma"/>
            <family val="2"/>
          </rPr>
          <t>Click in boxes to use drop-down lists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Eugene Mah</author>
    <author>EM</author>
  </authors>
  <commentList>
    <comment ref="L56" authorId="0" shapeId="0" xr:uid="{00000000-0006-0000-0500-000001000000}">
      <text>
        <r>
          <rPr>
            <b/>
            <sz val="9"/>
            <color indexed="81"/>
            <rFont val="Tahoma"/>
            <family val="2"/>
          </rPr>
          <t>Eugene Mah:</t>
        </r>
        <r>
          <rPr>
            <sz val="9"/>
            <color indexed="81"/>
            <rFont val="Tahoma"/>
            <family val="2"/>
          </rPr>
          <t xml:space="preserve">
Linear fit for this one is not good</t>
        </r>
      </text>
    </comment>
    <comment ref="A91" authorId="1" shapeId="0" xr:uid="{00000000-0006-0000-0500-000002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shapeId="0" xr:uid="{00000000-0006-0000-0500-000003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<sst xmlns="http://schemas.openxmlformats.org/spreadsheetml/2006/main" count="1845" uniqueCount="787">
  <si>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</si>
  <si>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</si>
  <si>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</si>
  <si>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</si>
  <si>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</si>
  <si>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</si>
  <si>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</si>
  <si>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</si>
  <si>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</si>
  <si>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</si>
  <si>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</si>
  <si>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</si>
  <si>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</si>
  <si>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</si>
  <si>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</si>
  <si>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</si>
  <si>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</si>
  <si>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</si>
  <si>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</si>
  <si>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</si>
  <si>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</si>
  <si>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</si>
  <si>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</si>
  <si>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</si>
  <si>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</si>
  <si>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</si>
  <si>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</si>
  <si>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</si>
  <si>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</si>
  <si>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</si>
  <si>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</si>
  <si>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</si>
  <si>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</si>
  <si>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</si>
  <si>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</si>
  <si>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</si>
  <si>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</si>
  <si>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</si>
  <si>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</si>
  <si>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</si>
  <si>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</si>
  <si>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</si>
  <si>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</si>
  <si>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</si>
  <si>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</si>
  <si>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</si>
  <si>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</si>
  <si>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</si>
  <si>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</si>
  <si>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</si>
  <si>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</si>
  <si>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</si>
  <si>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</si>
  <si>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</si>
  <si>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</si>
  <si>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</si>
  <si>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</si>
  <si>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</si>
  <si>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</si>
  <si>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</si>
  <si>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</si>
  <si>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</si>
  <si>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</si>
  <si>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</si>
  <si>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</si>
  <si>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</si>
  <si>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</si>
  <si>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</si>
  <si>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</si>
  <si>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</si>
  <si>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</si>
  <si>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</si>
  <si>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</si>
  <si>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</si>
  <si>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</si>
  <si>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</si>
  <si>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</si>
  <si>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</si>
  <si>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</si>
  <si>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</si>
  <si>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</si>
  <si>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</si>
  <si>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</si>
  <si>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</si>
  <si>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</si>
  <si>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</si>
  <si>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</si>
  <si>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</si>
  <si>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</si>
  <si>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</si>
  <si>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</si>
  <si>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</si>
  <si>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</si>
  <si>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</si>
  <si>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</si>
  <si>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</si>
  <si>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</si>
  <si>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</si>
  <si>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</si>
  <si>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</si>
  <si>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</si>
  <si>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</si>
  <si>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</si>
  <si>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</si>
  <si>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</si>
  <si>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</si>
  <si>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</si>
  <si>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</si>
  <si>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</si>
  <si>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</si>
  <si>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</si>
  <si>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</si>
  <si>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</si>
  <si>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</si>
  <si>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</si>
  <si>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</si>
  <si>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</si>
  <si>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</si>
  <si>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</si>
  <si>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</si>
  <si>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</si>
  <si>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</si>
  <si>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</si>
  <si>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</si>
  <si>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</si>
  <si>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</si>
  <si>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</si>
  <si>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</si>
  <si>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</si>
  <si>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</si>
  <si>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</si>
  <si>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</si>
  <si>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</si>
  <si>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</si>
  <si>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</si>
  <si>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</si>
  <si>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</si>
  <si>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</si>
  <si>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</si>
  <si>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</si>
  <si>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</si>
  <si>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</si>
  <si>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</si>
  <si>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</si>
  <si>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</si>
  <si>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</si>
  <si>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</si>
  <si>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</si>
  <si>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</si>
  <si>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</si>
  <si>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</si>
  <si>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</si>
  <si>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</si>
  <si>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</si>
  <si>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</si>
  <si>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</si>
  <si>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</si>
  <si>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</si>
  <si>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</si>
  <si>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</si>
  <si>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</si>
  <si>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</si>
  <si>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</si>
  <si>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</si>
  <si>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</si>
  <si>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</si>
  <si>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</si>
  <si>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</si>
  <si>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</si>
  <si>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</si>
  <si>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</si>
  <si>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</si>
  <si>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</si>
  <si>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</si>
  <si>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</si>
  <si>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</si>
  <si>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</si>
  <si>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</si>
  <si>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</si>
  <si>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</si>
  <si>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</si>
  <si>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</si>
  <si>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</si>
  <si>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</si>
  <si>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</si>
  <si>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</si>
  <si>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</si>
  <si>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</si>
  <si>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</si>
  <si>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</si>
  <si>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</si>
  <si>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</si>
  <si>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</si>
  <si>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</si>
  <si>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</si>
  <si>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</si>
  <si>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</si>
  <si>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</si>
  <si>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</si>
  <si>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</si>
  <si>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</si>
  <si>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</si>
  <si>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</si>
  <si>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</si>
  <si>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</si>
  <si>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</si>
  <si>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</si>
  <si>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</si>
  <si>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</si>
  <si>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</si>
  <si>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</si>
  <si>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</si>
  <si>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</si>
  <si>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</si>
  <si>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</si>
  <si>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</si>
  <si>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</si>
  <si>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</si>
  <si>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</si>
  <si>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</si>
  <si>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</si>
  <si>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</si>
  <si>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</si>
  <si>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</si>
  <si>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</si>
  <si>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</si>
  <si>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</si>
  <si>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</si>
  <si>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</si>
  <si>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</si>
  <si>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</si>
  <si>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</si>
  <si>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</si>
  <si>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</si>
  <si>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</si>
  <si>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</si>
  <si>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</si>
  <si>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</si>
  <si>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</si>
  <si>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</si>
  <si>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</si>
  <si>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</si>
  <si>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</si>
  <si>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</si>
  <si>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</si>
  <si>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</si>
  <si>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</si>
  <si>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</si>
  <si>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</si>
  <si>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</si>
  <si>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</si>
  <si>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</si>
  <si>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</si>
  <si>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</si>
  <si>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</si>
  <si>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</si>
  <si>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</si>
  <si>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</si>
  <si>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</si>
  <si>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</si>
  <si>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</si>
  <si>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</si>
  <si>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</si>
  <si>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</si>
  <si>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</si>
  <si>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</si>
  <si>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</si>
  <si>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</si>
  <si>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</si>
  <si>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</si>
  <si>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</si>
  <si>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</si>
  <si>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</si>
  <si>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</si>
  <si>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</si>
  <si>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</si>
  <si>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</si>
  <si>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</si>
  <si>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</si>
  <si>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</si>
  <si>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</si>
  <si>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</si>
  <si>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</si>
  <si>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</si>
  <si>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</si>
  <si>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</si>
  <si>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</si>
  <si>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</si>
  <si>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</si>
  <si>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</si>
  <si>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</si>
  <si>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</si>
  <si>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</si>
  <si>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</si>
  <si>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</si>
  <si>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</si>
  <si>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</si>
  <si>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</si>
  <si>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</si>
  <si>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</si>
  <si>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</si>
  <si>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</si>
  <si>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</si>
  <si>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</si>
  <si>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</si>
  <si>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</si>
  <si>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</si>
  <si>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</si>
  <si>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</si>
  <si>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</si>
  <si>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</si>
  <si>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</si>
  <si>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</si>
  <si>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</si>
  <si>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</si>
  <si>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</si>
  <si>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</si>
  <si>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</si>
  <si>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</si>
  <si>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</si>
  <si>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</si>
  <si>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</si>
  <si>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</si>
  <si>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</si>
  <si>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</si>
  <si>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</si>
  <si>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</si>
  <si>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</si>
  <si>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</si>
  <si>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</si>
  <si>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</si>
  <si>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</si>
  <si>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</si>
  <si>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</si>
  <si>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</si>
  <si>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</si>
  <si>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</si>
  <si>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</si>
  <si>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</si>
  <si>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</si>
  <si>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</si>
  <si>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</si>
  <si>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</si>
  <si>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</si>
  <si>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</si>
  <si>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</si>
  <si>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</si>
  <si>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</si>
  <si>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</si>
  <si>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</si>
  <si>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</si>
  <si>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</si>
  <si>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</si>
  <si>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</si>
  <si>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</si>
  <si>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</si>
  <si>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</si>
  <si>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</si>
  <si>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</si>
  <si>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</si>
  <si>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</si>
  <si>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</si>
  <si>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</si>
  <si>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</si>
  <si>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</si>
  <si>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</si>
  <si>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</si>
  <si>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</si>
  <si>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</si>
  <si>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</si>
  <si>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</si>
  <si>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</si>
  <si>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</si>
  <si>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</si>
  <si>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</si>
  <si>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</si>
  <si>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</si>
  <si>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</si>
  <si>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</si>
  <si>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</si>
  <si>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</si>
  <si>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</si>
  <si>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</si>
  <si>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</si>
  <si>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</si>
  <si>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</si>
  <si>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</si>
  <si>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</si>
  <si>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</si>
  <si>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</si>
  <si>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</si>
  <si>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</si>
  <si>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</si>
  <si>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</si>
  <si>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</si>
  <si>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</si>
  <si>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</si>
  <si>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</si>
  <si>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</si>
  <si>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</si>
  <si>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Detector Calibration</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</si>
  <si>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</si>
  <si>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</si>
  <si>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</si>
  <si>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</si>
  <si>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</si>
  <si>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</si>
  <si>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</si>
  <si>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</si>
  <si>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</si>
  <si>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</si>
  <si>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</si>
  <si>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</si>
  <si>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</si>
  <si>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</si>
  <si>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</si>
  <si>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</si>
  <si>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</si>
  <si>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</si>
  <si>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</si>
  <si>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</si>
  <si>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</si>
  <si>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</si>
  <si>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</si>
  <si>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</si>
  <si>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</si>
  <si>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</si>
  <si>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</si>
  <si>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</si>
  <si>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</si>
  <si>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</si>
  <si>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Calculate Radiation output (mGy/mAs and mGy/s) as a function of kV^2</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</si>
  <si>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</si>
  <si>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</si>
  <si>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</si>
  <si>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</si>
  <si>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</si>
  <si>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</si>
  <si>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</si>
  <si>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</si>
  <si>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</si>
  <si>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</si>
  <si>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</si>
  <si>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</si>
  <si>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</si>
  <si>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</si>
  <si>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</si>
  <si>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</si>
  <si>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</si>
  <si>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</si>
  <si>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</si>
  <si>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</si>
  <si>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</si>
  <si>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</si>
  <si>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</si>
  <si>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</si>
  <si>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</si>
  <si>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</si>
  <si>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</si>
  <si>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</si>
  <si>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</si>
  <si>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</si>
  <si>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</si>
  <si>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</si>
  <si>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</si>
  <si>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</si>
  <si>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</si>
  <si>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</si>
  <si>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</si>
  <si>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</si>
  <si>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</si>
  <si>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</si>
  <si>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</si>
  <si>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</si>
  <si>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</si>
  <si>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</si>
  <si>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</si>
  <si>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</si>
  <si>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</si>
  <si>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</si>
  <si>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</si>
  <si>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</si>
  <si>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</si>
  <si>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</si>
  <si>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</si>
  <si>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</si>
  <si>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</si>
  <si>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</si>
  <si>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</si>
  <si>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</si>
  <si>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</si>
  <si>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</si>
  <si>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</si>
  <si>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</si>
  <si>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</si>
  <si>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</si>
  <si>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</si>
  <si>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</si>
  <si>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</si>
  <si>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</si>
  <si>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</si>
  <si>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</si>
  <si>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</si>
  <si>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</si>
  <si>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</si>
  <si>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</si>
  <si>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</si>
  <si>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</si>
  <si>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</si>
  <si>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</si>
  <si>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</si>
  <si>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</si>
  <si>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Mo/Mo mGy/mAs:</t>
  </si>
  <si>
    <t>Mo/Mo mGy/s:</t>
  </si>
  <si>
    <t>W/Rh mGy/mAs:</t>
  </si>
  <si>
    <t>W/Rh mGy/s:</t>
  </si>
  <si>
    <t>Light field/X-ray field alignment acceptable</t>
  </si>
  <si>
    <t>X-ray field/image receptor alignment acceptable</t>
  </si>
  <si>
    <t>Chest wall missed tissue/Compression paddle acceptable</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</si>
  <si>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</si>
  <si>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</si>
  <si>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</si>
  <si>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</si>
  <si>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</si>
  <si>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</si>
  <si>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</si>
  <si>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</si>
  <si>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</si>
  <si>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</si>
  <si>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</si>
  <si>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</si>
  <si>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</si>
  <si>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</si>
  <si>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</si>
  <si>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</si>
  <si>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</si>
  <si>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</si>
  <si>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</si>
  <si>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</si>
  <si>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</si>
  <si>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</si>
  <si>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</si>
  <si>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</si>
  <si>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</si>
  <si>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</si>
  <si>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</si>
  <si>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</si>
  <si>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</si>
  <si>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</si>
  <si>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</si>
  <si>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</si>
  <si>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</si>
  <si>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</si>
  <si>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</si>
  <si>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</si>
  <si>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</si>
  <si>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</si>
  <si>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</si>
  <si>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</si>
  <si>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</si>
  <si>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</si>
  <si>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</si>
  <si>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</si>
  <si>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</si>
  <si>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</si>
  <si>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</si>
  <si>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</si>
  <si>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</si>
  <si>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</si>
  <si>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</si>
  <si>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</si>
  <si>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</si>
  <si>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</si>
  <si>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</si>
  <si>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</si>
  <si>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</si>
  <si>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</si>
  <si>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</si>
  <si>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</si>
  <si>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</si>
  <si>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</si>
  <si>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</si>
  <si>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</si>
  <si>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90 deg</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</si>
  <si>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</si>
  <si>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</si>
  <si>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</si>
  <si>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</si>
  <si>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</si>
  <si>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</si>
  <si>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</si>
  <si>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</si>
  <si>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</si>
  <si>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</si>
  <si>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</si>
  <si>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</si>
  <si>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</si>
  <si>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</si>
  <si>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</si>
  <si>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</si>
  <si>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</si>
  <si>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</si>
  <si>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</si>
  <si>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</si>
  <si>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</si>
  <si>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</si>
  <si>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</si>
  <si>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</si>
  <si>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</si>
  <si>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</si>
  <si>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</si>
  <si>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</si>
  <si>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</si>
  <si>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</si>
  <si>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</si>
  <si>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</si>
  <si>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</si>
  <si>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</si>
  <si>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</si>
  <si>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</si>
  <si>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</si>
  <si>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</si>
  <si>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</si>
  <si>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</si>
  <si>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</si>
  <si>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</si>
  <si>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</si>
  <si>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</si>
  <si>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</si>
  <si>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</si>
  <si>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</si>
  <si>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</si>
  <si>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</si>
  <si>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</si>
  <si>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</si>
  <si>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</si>
  <si>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</si>
  <si>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</si>
  <si>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</si>
  <si>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</si>
  <si>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</si>
  <si>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</si>
  <si>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</si>
  <si>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</si>
  <si>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</si>
  <si>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</si>
  <si>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</si>
  <si>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</si>
  <si>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</si>
  <si>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</si>
  <si>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</si>
  <si>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</si>
  <si>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</si>
  <si>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</si>
  <si>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</si>
  <si>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</si>
  <si>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</si>
  <si>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</si>
  <si>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</si>
  <si>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</si>
  <si>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</si>
  <si>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</si>
  <si>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</si>
  <si>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</si>
  <si>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</si>
  <si>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</si>
  <si>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</si>
  <si>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</si>
  <si>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</si>
  <si>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</si>
  <si>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</si>
  <si>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</si>
  <si>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</si>
  <si>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</si>
  <si>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</si>
  <si>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</si>
  <si>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</si>
  <si>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</si>
  <si>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</si>
  <si>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</si>
  <si>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</si>
  <si>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</si>
  <si>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</si>
  <si>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</si>
  <si>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</si>
  <si>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</si>
  <si>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</si>
  <si>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</si>
  <si>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</si>
  <si>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</si>
  <si>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</si>
  <si>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</si>
  <si>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</si>
  <si>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</si>
  <si>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</si>
  <si>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</si>
  <si>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</si>
  <si>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</si>
  <si>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</si>
  <si>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</si>
  <si>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</si>
  <si>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</si>
  <si>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</si>
  <si>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</si>
  <si>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</si>
  <si>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</si>
  <si>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</si>
  <si>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</si>
  <si>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</si>
  <si>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</si>
  <si>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</si>
  <si>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</si>
  <si>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</si>
  <si>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</si>
  <si>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</si>
  <si>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</si>
  <si>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</si>
  <si>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</si>
  <si>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</si>
  <si>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</si>
  <si>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</si>
  <si>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</si>
  <si>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</si>
  <si>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</si>
  <si>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</si>
  <si>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</si>
  <si>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</si>
  <si>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</si>
  <si>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</si>
  <si>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</si>
  <si>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</si>
  <si>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</si>
  <si>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</si>
  <si>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</si>
  <si>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</si>
  <si>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</si>
  <si>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16.  Geometric Accuracy in X and Y Direction and Z-Resolution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</si>
  <si>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</si>
  <si>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</si>
  <si>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</si>
  <si>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</si>
  <si>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</si>
  <si>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</si>
  <si>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Novation-Weekly; Inspiration &amp; Fusion-Quarterly</t>
  </si>
  <si>
    <t>Repeat/Reject Analysis</t>
  </si>
  <si>
    <r>
      <t xml:space="preserve">System Imaging Quality </t>
    </r>
    <r>
      <rPr>
        <b/>
        <i/>
        <sz val="10"/>
        <color rgb="FF00B050"/>
        <rFont val="Arial"/>
        <family val="2"/>
      </rPr>
      <t>(DBT)</t>
    </r>
  </si>
  <si>
    <t>Daily when DBT performed</t>
  </si>
  <si>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</si>
  <si>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</si>
  <si>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</si>
  <si>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</si>
  <si>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</si>
  <si>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</si>
  <si>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</si>
  <si>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</si>
  <si>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</si>
  <si>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</si>
  <si>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</si>
  <si>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</si>
  <si>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</si>
  <si>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</si>
  <si>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</si>
  <si>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</si>
  <si>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</si>
  <si>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</si>
  <si>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</si>
  <si>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</si>
  <si>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Piranha</t>
  </si>
  <si>
    <t>800004-1204146</t>
  </si>
  <si>
    <t>Mammomat Revelation</t>
  </si>
  <si>
    <t>VC10</t>
  </si>
  <si>
    <t>Stereotactic breast biopsy unit or add-on present?</t>
  </si>
  <si>
    <t>Change in compression force after 1 min is within +/- 20 N</t>
  </si>
  <si>
    <t>MGD must be less than 3 mGy and should be less than 2 mGy</t>
  </si>
  <si>
    <t>Mechanical Tests</t>
  </si>
  <si>
    <t>Minimum acceptable output is 2.7 mGy/s at 28 kVp for W/Rh</t>
  </si>
  <si>
    <t>Output &gt; 2.7 mGy/s:</t>
  </si>
  <si>
    <t>Exposure deviation for 0 mm Al measurements is less than 2%</t>
  </si>
  <si>
    <t xml:space="preserve">   </t>
  </si>
  <si>
    <t>2D/3D:</t>
  </si>
  <si>
    <t>Revision 1.3-20200416</t>
  </si>
  <si>
    <t>Radiation output is &gt; 2.7 mGy/s averaged over 3 s</t>
  </si>
  <si>
    <t>Output &gt; 2.7 mGy/s averaged over 3 sec</t>
  </si>
  <si>
    <t>2D - Must see at least 5 fibers, 4 specks, 4 masses</t>
  </si>
  <si>
    <t>3D - Must see at least 4 fibers, 3 specks, 3 masses</t>
  </si>
  <si>
    <t>Mode:</t>
  </si>
  <si>
    <t>3D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</si>
</sst>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73">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
      <sz val="12"/>
      <color theme="1"/>
      <name val="Arial"/>
      <family val="2"/>
    </font>
  </fonts>
  <fills count="26">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s>
  <borders count="190">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rgb="FF000000"/>
      </left>
      <right/>
      <top style="thin">
        <color rgb="FF000000"/>
      </top>
      <bottom style="medium">
        <color rgb="FF000000"/>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1" fillId="15" borderId="73">
      <alignment horizontal="left" vertical="center"/>
      <protection locked="0"/>
    </xf>
    <xf numFmtId="0" fontId="22" fillId="0" borderId="0"/>
    <xf numFmtId="0" fontId="27" fillId="0" borderId="0">
      <alignment vertical="top"/>
    </xf>
  </cellStyleXfs>
  <cellXfs count="986">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0"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82" xfId="0" applyFont="1" applyFill="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2" fillId="0" borderId="0" xfId="11"/>
    <xf numFmtId="0" fontId="25" fillId="0" borderId="0" xfId="11" applyFont="1" applyFill="1" applyBorder="1" applyAlignment="1">
      <alignment horizontal="center"/>
    </xf>
    <xf numFmtId="0" fontId="22" fillId="0" borderId="0" xfId="11" applyFill="1"/>
    <xf numFmtId="0" fontId="27" fillId="0" borderId="0" xfId="11" applyFont="1" applyFill="1"/>
    <xf numFmtId="0" fontId="25" fillId="0" borderId="0" xfId="11" applyFont="1"/>
    <xf numFmtId="0" fontId="22" fillId="0" borderId="0" xfId="11" applyFont="1"/>
    <xf numFmtId="0" fontId="22" fillId="0" borderId="0" xfId="11" applyAlignment="1">
      <alignment vertical="center"/>
    </xf>
    <xf numFmtId="0" fontId="22" fillId="0" borderId="0" xfId="11" applyAlignment="1">
      <alignment horizontal="centerContinuous"/>
    </xf>
    <xf numFmtId="0" fontId="30" fillId="0" borderId="0" xfId="11" applyFont="1" applyAlignment="1">
      <alignment horizontal="centerContinuous"/>
    </xf>
    <xf numFmtId="0" fontId="22" fillId="0" borderId="0" xfId="11" applyBorder="1"/>
    <xf numFmtId="2" fontId="41" fillId="0" borderId="0" xfId="11" applyNumberFormat="1" applyFont="1" applyAlignment="1">
      <alignment horizontal="center" vertical="center" wrapText="1"/>
    </xf>
    <xf numFmtId="0" fontId="25" fillId="0" borderId="0" xfId="11" applyFont="1" applyAlignment="1">
      <alignment horizontal="center" vertical="center"/>
    </xf>
    <xf numFmtId="0" fontId="22" fillId="0" borderId="0" xfId="11" applyNumberFormat="1" applyFont="1" applyFill="1" applyAlignment="1"/>
    <xf numFmtId="0" fontId="22" fillId="0" borderId="0" xfId="11" applyNumberFormat="1" applyFont="1" applyFill="1" applyBorder="1" applyAlignment="1"/>
    <xf numFmtId="0" fontId="27" fillId="0" borderId="0" xfId="11" applyFont="1" applyBorder="1" applyAlignment="1">
      <alignment horizontal="center"/>
    </xf>
    <xf numFmtId="0" fontId="27" fillId="0" borderId="0" xfId="11" applyNumberFormat="1" applyFont="1" applyFill="1" applyAlignment="1"/>
    <xf numFmtId="49" fontId="27" fillId="0" borderId="0" xfId="11" applyNumberFormat="1" applyFont="1" applyAlignment="1"/>
    <xf numFmtId="0" fontId="27" fillId="0" borderId="0" xfId="11" applyFont="1" applyAlignment="1">
      <alignment horizontal="center" vertical="center"/>
    </xf>
    <xf numFmtId="0" fontId="27" fillId="0" borderId="0" xfId="11" applyNumberFormat="1" applyFont="1" applyAlignment="1"/>
    <xf numFmtId="0" fontId="27" fillId="0" borderId="0" xfId="11" applyFont="1" applyAlignment="1">
      <alignment horizontal="right" vertical="center"/>
    </xf>
    <xf numFmtId="0" fontId="27" fillId="0" borderId="0" xfId="11" applyFont="1" applyAlignment="1">
      <alignment horizontal="center"/>
    </xf>
    <xf numFmtId="49" fontId="27" fillId="0" borderId="0" xfId="11" applyNumberFormat="1" applyFont="1" applyAlignment="1">
      <alignment horizontal="left"/>
    </xf>
    <xf numFmtId="0" fontId="32" fillId="0" borderId="0" xfId="11" applyFont="1" applyAlignment="1"/>
    <xf numFmtId="0" fontId="42" fillId="17" borderId="0" xfId="12" applyFont="1" applyFill="1" applyBorder="1" applyAlignment="1">
      <alignment horizontal="left" wrapText="1"/>
    </xf>
    <xf numFmtId="0" fontId="42" fillId="17" borderId="0" xfId="12" applyFont="1" applyFill="1" applyBorder="1" applyAlignment="1">
      <alignment horizontal="left"/>
    </xf>
    <xf numFmtId="0" fontId="43" fillId="17" borderId="0" xfId="12" applyFont="1" applyFill="1" applyBorder="1" applyAlignment="1">
      <alignment horizontal="center" wrapText="1"/>
    </xf>
    <xf numFmtId="2" fontId="44" fillId="18" borderId="0" xfId="12" applyNumberFormat="1" applyFont="1" applyFill="1" applyAlignment="1"/>
    <xf numFmtId="0" fontId="43" fillId="17" borderId="0" xfId="12" applyFont="1" applyFill="1" applyBorder="1" applyAlignment="1"/>
    <xf numFmtId="0" fontId="42" fillId="17" borderId="0" xfId="12" applyFont="1" applyFill="1" applyBorder="1" applyAlignment="1"/>
    <xf numFmtId="0" fontId="22" fillId="0" borderId="0" xfId="11" applyFont="1" applyAlignment="1">
      <alignment horizontal="centerContinuous"/>
    </xf>
    <xf numFmtId="0" fontId="22" fillId="0" borderId="0" xfId="11" applyNumberFormat="1" applyFont="1" applyAlignment="1">
      <alignment horizontal="centerContinuous"/>
    </xf>
    <xf numFmtId="0" fontId="25" fillId="0" borderId="0" xfId="11" applyFont="1" applyAlignment="1">
      <alignment horizontal="centerContinuous"/>
    </xf>
    <xf numFmtId="0" fontId="30" fillId="0" borderId="0" xfId="11" applyFont="1" applyBorder="1" applyAlignment="1">
      <alignment horizontal="centerContinuous"/>
    </xf>
    <xf numFmtId="0" fontId="45" fillId="0" borderId="0" xfId="11" applyFont="1" applyAlignment="1">
      <alignment horizontal="centerContinuous"/>
    </xf>
    <xf numFmtId="0" fontId="46" fillId="0" borderId="0" xfId="11" applyFont="1" applyAlignment="1">
      <alignment horizontal="centerContinuous"/>
    </xf>
    <xf numFmtId="164" fontId="22" fillId="0" borderId="0" xfId="11" applyNumberFormat="1" applyAlignment="1">
      <alignment horizontal="left"/>
    </xf>
    <xf numFmtId="0" fontId="33" fillId="0" borderId="0" xfId="11" applyFont="1" applyAlignment="1">
      <alignment horizontal="left"/>
    </xf>
    <xf numFmtId="0" fontId="33"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48" fillId="0" borderId="137" xfId="0" applyFont="1" applyBorder="1" applyAlignment="1" applyProtection="1">
      <alignment vertical="center"/>
    </xf>
    <xf numFmtId="0" fontId="48"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49" fillId="0" borderId="0" xfId="0" applyFont="1" applyBorder="1" applyAlignment="1" applyProtection="1">
      <alignment horizontal="center" vertical="center"/>
    </xf>
    <xf numFmtId="0" fontId="50"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1" fillId="0" borderId="2" xfId="0" applyFont="1" applyBorder="1" applyAlignment="1" applyProtection="1">
      <alignment horizontal="left" vertical="center"/>
    </xf>
    <xf numFmtId="0" fontId="52"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0" fillId="0" borderId="0" xfId="0" applyFont="1" applyBorder="1" applyAlignment="1" applyProtection="1">
      <alignment horizontal="right" vertical="center"/>
    </xf>
    <xf numFmtId="174" fontId="50" fillId="16" borderId="73" xfId="10" applyNumberFormat="1" applyFont="1" applyFill="1" applyBorder="1" applyProtection="1">
      <alignment horizontal="left" vertical="center"/>
      <protection locked="0"/>
    </xf>
    <xf numFmtId="0" fontId="51" fillId="0" borderId="80" xfId="0" applyFont="1" applyBorder="1" applyAlignment="1" applyProtection="1">
      <alignment horizontal="left" vertical="center"/>
    </xf>
    <xf numFmtId="0" fontId="53" fillId="0" borderId="126" xfId="0" applyFont="1" applyBorder="1" applyAlignment="1" applyProtection="1">
      <alignment horizontal="left" vertical="center"/>
    </xf>
    <xf numFmtId="0" fontId="50" fillId="0" borderId="80" xfId="0" applyFont="1" applyBorder="1" applyAlignment="1" applyProtection="1">
      <alignment horizontal="center" vertical="center"/>
    </xf>
    <xf numFmtId="0" fontId="50" fillId="0" borderId="8" xfId="0" applyFont="1" applyBorder="1" applyAlignment="1" applyProtection="1">
      <alignment horizontal="center" vertical="center"/>
    </xf>
    <xf numFmtId="0" fontId="50" fillId="0" borderId="7" xfId="0" applyFont="1" applyBorder="1" applyAlignment="1" applyProtection="1">
      <alignment horizontal="left" vertical="center"/>
    </xf>
    <xf numFmtId="0" fontId="54" fillId="0" borderId="0" xfId="0" applyFont="1" applyBorder="1" applyAlignment="1">
      <alignment horizontal="right" vertical="center"/>
    </xf>
    <xf numFmtId="174" fontId="55" fillId="0" borderId="80" xfId="0" applyNumberFormat="1" applyFont="1" applyBorder="1" applyAlignment="1" applyProtection="1">
      <alignment horizontal="center" vertical="center"/>
    </xf>
    <xf numFmtId="174" fontId="56" fillId="0" borderId="80" xfId="0" applyNumberFormat="1" applyFont="1" applyBorder="1" applyAlignment="1" applyProtection="1">
      <alignment horizontal="center" vertical="center"/>
    </xf>
    <xf numFmtId="174" fontId="56" fillId="0" borderId="138" xfId="0" applyNumberFormat="1" applyFont="1" applyBorder="1" applyAlignment="1" applyProtection="1">
      <alignment horizontal="center" vertical="center"/>
    </xf>
    <xf numFmtId="174" fontId="56" fillId="0" borderId="92" xfId="0" applyNumberFormat="1" applyFont="1" applyBorder="1" applyAlignment="1" applyProtection="1">
      <alignment horizontal="center" vertical="center"/>
    </xf>
    <xf numFmtId="0" fontId="57" fillId="0" borderId="80" xfId="0" applyFont="1" applyBorder="1" applyAlignment="1" applyProtection="1">
      <alignment horizontal="left" vertical="center"/>
    </xf>
    <xf numFmtId="0" fontId="50" fillId="0" borderId="80" xfId="0" applyFont="1" applyBorder="1" applyAlignment="1" applyProtection="1">
      <alignment horizontal="left" vertical="center"/>
    </xf>
    <xf numFmtId="0" fontId="50" fillId="0" borderId="8" xfId="0" applyFont="1" applyBorder="1" applyAlignment="1" applyProtection="1">
      <alignment horizontal="left" vertical="center"/>
    </xf>
    <xf numFmtId="0" fontId="58" fillId="0" borderId="7" xfId="0" applyFont="1" applyBorder="1" applyAlignment="1" applyProtection="1">
      <alignment horizontal="left" vertical="center"/>
    </xf>
    <xf numFmtId="174" fontId="55" fillId="0" borderId="0" xfId="0" applyNumberFormat="1" applyFont="1" applyBorder="1" applyAlignment="1" applyProtection="1">
      <alignment horizontal="center" vertical="center"/>
    </xf>
    <xf numFmtId="174" fontId="56" fillId="0" borderId="0" xfId="0" applyNumberFormat="1" applyFont="1" applyBorder="1" applyAlignment="1" applyProtection="1">
      <alignment horizontal="center" vertical="center"/>
    </xf>
    <xf numFmtId="174" fontId="56" fillId="0" borderId="139" xfId="0" applyNumberFormat="1" applyFont="1" applyBorder="1" applyAlignment="1" applyProtection="1">
      <alignment horizontal="center" vertical="center"/>
    </xf>
    <xf numFmtId="174" fontId="56" fillId="0" borderId="122" xfId="0" applyNumberFormat="1" applyFont="1" applyBorder="1" applyAlignment="1" applyProtection="1">
      <alignment horizontal="center" vertical="center"/>
    </xf>
    <xf numFmtId="0" fontId="57" fillId="0" borderId="0" xfId="0" applyFont="1" applyBorder="1" applyAlignment="1" applyProtection="1">
      <alignment horizontal="left" vertical="center"/>
    </xf>
    <xf numFmtId="0" fontId="50" fillId="0" borderId="0" xfId="0" applyFont="1" applyBorder="1" applyAlignment="1" applyProtection="1">
      <alignment horizontal="center" vertical="center"/>
    </xf>
    <xf numFmtId="0" fontId="59" fillId="0" borderId="0" xfId="0" applyFont="1" applyBorder="1" applyAlignment="1" applyProtection="1">
      <alignment horizontal="right" vertical="center"/>
    </xf>
    <xf numFmtId="0" fontId="50" fillId="0" borderId="137" xfId="0" applyFont="1" applyBorder="1" applyAlignment="1" applyProtection="1">
      <alignment horizontal="center" vertical="center"/>
    </xf>
    <xf numFmtId="174" fontId="50" fillId="0" borderId="0" xfId="10" applyNumberFormat="1" applyFont="1" applyFill="1" applyBorder="1" applyProtection="1">
      <alignment horizontal="left" vertical="center"/>
      <protection locked="0"/>
    </xf>
    <xf numFmtId="0" fontId="51" fillId="0" borderId="0" xfId="0" applyFont="1" applyFill="1" applyBorder="1" applyAlignment="1" applyProtection="1">
      <alignment horizontal="left" vertical="center"/>
    </xf>
    <xf numFmtId="0" fontId="53" fillId="0" borderId="0" xfId="0" applyFont="1" applyFill="1" applyBorder="1" applyAlignment="1" applyProtection="1">
      <alignment horizontal="left" vertical="center"/>
    </xf>
    <xf numFmtId="0" fontId="50" fillId="0" borderId="0" xfId="0" applyFont="1" applyFill="1" applyBorder="1" applyAlignment="1" applyProtection="1">
      <alignment horizontal="left" vertical="center"/>
    </xf>
    <xf numFmtId="0" fontId="50" fillId="0" borderId="0" xfId="0" applyFont="1" applyBorder="1" applyAlignment="1" applyProtection="1">
      <alignment horizontal="left" vertical="center"/>
    </xf>
    <xf numFmtId="0" fontId="50" fillId="0" borderId="140" xfId="0" applyFont="1" applyBorder="1" applyAlignment="1" applyProtection="1">
      <alignment horizontal="center" vertical="center"/>
    </xf>
    <xf numFmtId="174" fontId="55" fillId="0" borderId="0" xfId="0" applyNumberFormat="1" applyFont="1" applyFill="1" applyBorder="1" applyAlignment="1" applyProtection="1">
      <alignment horizontal="center" vertical="center"/>
    </xf>
    <xf numFmtId="174" fontId="56" fillId="0" borderId="0" xfId="0" applyNumberFormat="1" applyFont="1" applyFill="1" applyBorder="1" applyAlignment="1" applyProtection="1">
      <alignment horizontal="center" vertical="center"/>
    </xf>
    <xf numFmtId="0" fontId="60" fillId="0" borderId="0" xfId="0" applyFont="1" applyFill="1" applyBorder="1" applyAlignment="1" applyProtection="1">
      <alignment horizontal="center" vertical="center"/>
    </xf>
    <xf numFmtId="0" fontId="50" fillId="0" borderId="0" xfId="0" applyFont="1" applyFill="1" applyBorder="1" applyAlignment="1" applyProtection="1">
      <alignment horizontal="center" vertical="center"/>
    </xf>
    <xf numFmtId="0" fontId="50" fillId="0" borderId="0" xfId="0" applyFont="1" applyBorder="1" applyAlignment="1">
      <alignment horizontal="left" vertical="center"/>
    </xf>
    <xf numFmtId="174" fontId="9" fillId="0" borderId="0" xfId="0" applyNumberFormat="1" applyFont="1" applyBorder="1" applyAlignment="1">
      <alignment horizontal="center" vertical="center"/>
    </xf>
    <xf numFmtId="0" fontId="51" fillId="0" borderId="0" xfId="0" applyFont="1" applyBorder="1" applyAlignment="1" applyProtection="1">
      <alignment horizontal="left" vertical="center"/>
    </xf>
    <xf numFmtId="0" fontId="53" fillId="0" borderId="0" xfId="0" applyFont="1" applyBorder="1" applyAlignment="1" applyProtection="1">
      <alignment horizontal="left" vertical="center"/>
    </xf>
    <xf numFmtId="1" fontId="50" fillId="0" borderId="0" xfId="0" applyNumberFormat="1" applyFont="1" applyBorder="1" applyAlignment="1" applyProtection="1">
      <alignment horizontal="right" vertical="center"/>
    </xf>
    <xf numFmtId="174" fontId="51" fillId="0" borderId="0" xfId="0" applyNumberFormat="1" applyFont="1" applyFill="1" applyBorder="1" applyAlignment="1" applyProtection="1">
      <alignment horizontal="left" vertical="center"/>
    </xf>
    <xf numFmtId="1" fontId="50" fillId="0" borderId="0" xfId="0" applyNumberFormat="1" applyFont="1" applyBorder="1" applyAlignment="1" applyProtection="1">
      <alignment horizontal="center" vertical="center"/>
    </xf>
    <xf numFmtId="0" fontId="61" fillId="0" borderId="0" xfId="0" applyFont="1" applyFill="1" applyBorder="1" applyAlignment="1" applyProtection="1">
      <alignment horizontal="left" vertical="center"/>
    </xf>
    <xf numFmtId="0" fontId="50" fillId="0" borderId="13" xfId="0" applyFont="1" applyBorder="1" applyAlignment="1" applyProtection="1">
      <alignment horizontal="left" vertical="center"/>
    </xf>
    <xf numFmtId="0" fontId="50" fillId="0" borderId="14" xfId="0" applyFont="1" applyBorder="1" applyAlignment="1" applyProtection="1">
      <alignment horizontal="center" vertical="center"/>
    </xf>
    <xf numFmtId="174" fontId="50" fillId="0" borderId="14" xfId="0" applyNumberFormat="1" applyFont="1" applyBorder="1" applyAlignment="1" applyProtection="1">
      <alignment horizontal="center" vertical="center"/>
    </xf>
    <xf numFmtId="0" fontId="51" fillId="0" borderId="14" xfId="0" applyFont="1" applyBorder="1" applyAlignment="1" applyProtection="1">
      <alignment horizontal="left" vertical="center"/>
    </xf>
    <xf numFmtId="0" fontId="50" fillId="0" borderId="15" xfId="0" applyFont="1" applyBorder="1" applyAlignment="1" applyProtection="1">
      <alignment horizontal="center" vertical="center"/>
    </xf>
    <xf numFmtId="0" fontId="50" fillId="0" borderId="140" xfId="0" applyFont="1" applyBorder="1" applyAlignment="1">
      <alignment horizontal="center" vertical="center"/>
    </xf>
    <xf numFmtId="0" fontId="50" fillId="0" borderId="14" xfId="0" applyFont="1" applyBorder="1" applyAlignment="1" applyProtection="1">
      <alignment horizontal="left" vertical="center"/>
    </xf>
    <xf numFmtId="0" fontId="51"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2" borderId="73" xfId="0" applyFont="1" applyFill="1" applyBorder="1" applyAlignment="1">
      <alignment horizontal="center" vertical="center"/>
    </xf>
    <xf numFmtId="0" fontId="7" fillId="22"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2" borderId="155" xfId="0" applyFont="1" applyFill="1" applyBorder="1" applyAlignment="1">
      <alignment horizontal="center" vertical="center"/>
    </xf>
    <xf numFmtId="0" fontId="7" fillId="0" borderId="152" xfId="0" applyFont="1" applyBorder="1" applyAlignment="1">
      <alignment vertical="center"/>
    </xf>
    <xf numFmtId="0" fontId="7" fillId="0" borderId="156" xfId="0" applyFont="1" applyBorder="1" applyAlignment="1">
      <alignment horizontal="center"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3" borderId="73" xfId="0" applyNumberFormat="1" applyFont="1" applyFill="1" applyBorder="1" applyAlignment="1">
      <alignment horizontal="center" vertical="center"/>
    </xf>
    <xf numFmtId="2" fontId="7" fillId="23"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164" fontId="7" fillId="24" borderId="47" xfId="0" applyNumberFormat="1" applyFont="1" applyFill="1" applyBorder="1" applyAlignment="1" applyProtection="1">
      <alignment horizontal="center" vertical="center"/>
      <protection locked="0"/>
    </xf>
    <xf numFmtId="164" fontId="7" fillId="24" borderId="11" xfId="0" applyNumberFormat="1" applyFont="1" applyFill="1" applyBorder="1" applyAlignment="1" applyProtection="1">
      <alignment horizontal="center" vertical="center"/>
      <protection locked="0"/>
    </xf>
    <xf numFmtId="0" fontId="7" fillId="0" borderId="159" xfId="0" applyFont="1" applyBorder="1" applyAlignment="1">
      <alignment horizontal="center" vertical="center"/>
    </xf>
    <xf numFmtId="0" fontId="7" fillId="22" borderId="114" xfId="0" applyFont="1" applyFill="1" applyBorder="1" applyAlignment="1">
      <alignment horizontal="center" vertical="center"/>
    </xf>
    <xf numFmtId="0" fontId="7" fillId="22" borderId="160" xfId="0" applyFont="1" applyFill="1" applyBorder="1" applyAlignment="1">
      <alignment horizontal="center" vertical="center"/>
    </xf>
    <xf numFmtId="0" fontId="7" fillId="0" borderId="161" xfId="0" applyFont="1" applyBorder="1" applyAlignment="1">
      <alignment horizontal="center" vertical="center"/>
    </xf>
    <xf numFmtId="0" fontId="7" fillId="22" borderId="162" xfId="0" applyFont="1" applyFill="1" applyBorder="1" applyAlignment="1">
      <alignment horizontal="center" vertical="center"/>
    </xf>
    <xf numFmtId="0" fontId="7" fillId="21" borderId="162" xfId="0" applyFont="1" applyFill="1" applyBorder="1" applyAlignment="1">
      <alignment horizontal="center" vertical="center"/>
    </xf>
    <xf numFmtId="0" fontId="7" fillId="21" borderId="163"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4"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5"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5"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1" borderId="84" xfId="0" applyFont="1" applyFill="1" applyBorder="1" applyAlignment="1">
      <alignment horizontal="center" vertical="center"/>
    </xf>
    <xf numFmtId="0" fontId="7" fillId="21" borderId="85" xfId="0" applyFont="1" applyFill="1" applyBorder="1" applyAlignment="1">
      <alignment horizontal="center" vertical="center"/>
    </xf>
    <xf numFmtId="0" fontId="7" fillId="21" borderId="86" xfId="0" applyFont="1" applyFill="1" applyBorder="1" applyAlignment="1">
      <alignment horizontal="center" vertical="center"/>
    </xf>
    <xf numFmtId="0" fontId="7" fillId="21"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29" fillId="0" borderId="0" xfId="11" applyFont="1" applyAlignment="1">
      <alignment horizont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2" fillId="0" borderId="0" xfId="11" applyAlignment="1">
      <alignment horizontal="center"/>
    </xf>
    <xf numFmtId="0" fontId="27" fillId="0" borderId="0" xfId="11" applyFont="1" applyAlignment="1">
      <alignment horizontal="right"/>
    </xf>
    <xf numFmtId="0" fontId="67" fillId="0" borderId="0" xfId="11" applyFont="1" applyAlignment="1">
      <alignment horizontal="center"/>
    </xf>
    <xf numFmtId="0" fontId="68" fillId="0" borderId="0" xfId="11" applyFont="1"/>
    <xf numFmtId="0" fontId="68" fillId="0" borderId="0" xfId="11" applyFont="1" applyAlignment="1">
      <alignment horizontal="right"/>
    </xf>
    <xf numFmtId="0" fontId="22" fillId="0" borderId="92" xfId="11" applyBorder="1" applyAlignment="1">
      <alignment horizontal="left"/>
    </xf>
    <xf numFmtId="0" fontId="22" fillId="0" borderId="80" xfId="11" applyBorder="1" applyAlignment="1">
      <alignment horizontal="left"/>
    </xf>
    <xf numFmtId="0" fontId="69" fillId="0" borderId="168" xfId="11" applyFont="1" applyBorder="1" applyAlignment="1">
      <alignment horizontal="center"/>
    </xf>
    <xf numFmtId="0" fontId="69" fillId="0" borderId="169" xfId="11" applyFont="1" applyBorder="1" applyAlignment="1">
      <alignment horizontal="center" wrapText="1"/>
    </xf>
    <xf numFmtId="0" fontId="69" fillId="0" borderId="169" xfId="11" applyFont="1" applyBorder="1" applyAlignment="1">
      <alignment horizontal="center"/>
    </xf>
    <xf numFmtId="0" fontId="69" fillId="0" borderId="170" xfId="11" applyFont="1" applyBorder="1" applyAlignment="1">
      <alignment horizontal="center" wrapText="1"/>
    </xf>
    <xf numFmtId="0" fontId="71" fillId="0" borderId="97" xfId="11" applyFont="1" applyBorder="1" applyAlignment="1">
      <alignment horizontal="center" vertical="center" wrapText="1"/>
    </xf>
    <xf numFmtId="0" fontId="71" fillId="0" borderId="174" xfId="11" applyFont="1" applyBorder="1" applyAlignment="1">
      <alignment horizontal="left" vertical="center" wrapText="1"/>
    </xf>
    <xf numFmtId="14" fontId="71" fillId="0" borderId="97" xfId="11" applyNumberFormat="1" applyFont="1" applyBorder="1" applyAlignment="1">
      <alignment horizontal="center" vertical="center" wrapText="1"/>
    </xf>
    <xf numFmtId="0" fontId="71" fillId="0" borderId="98" xfId="11" applyFont="1" applyBorder="1"/>
    <xf numFmtId="0" fontId="71" fillId="0" borderId="87" xfId="11" applyFont="1" applyBorder="1" applyAlignment="1">
      <alignment horizontal="center" vertical="center" wrapText="1"/>
    </xf>
    <xf numFmtId="0" fontId="71" fillId="0" borderId="87" xfId="11" applyFont="1" applyBorder="1" applyAlignment="1">
      <alignment horizontal="left" vertical="center"/>
    </xf>
    <xf numFmtId="14" fontId="71" fillId="0" borderId="120" xfId="11" applyNumberFormat="1" applyFont="1" applyBorder="1" applyAlignment="1">
      <alignment horizontal="center" vertical="center" wrapText="1"/>
    </xf>
    <xf numFmtId="0" fontId="71" fillId="0" borderId="121" xfId="11" applyFont="1" applyBorder="1"/>
    <xf numFmtId="0" fontId="71" fillId="0" borderId="175" xfId="11" applyFont="1" applyBorder="1" applyAlignment="1">
      <alignment horizontal="center" vertical="center" wrapText="1"/>
    </xf>
    <xf numFmtId="0" fontId="71" fillId="0" borderId="94" xfId="11" applyFont="1" applyBorder="1" applyAlignment="1">
      <alignment horizontal="left" vertical="center" wrapText="1"/>
    </xf>
    <xf numFmtId="14" fontId="71" fillId="0" borderId="94" xfId="11" applyNumberFormat="1" applyFont="1" applyBorder="1" applyAlignment="1">
      <alignment horizontal="center" vertical="center" wrapText="1"/>
    </xf>
    <xf numFmtId="0" fontId="71" fillId="0" borderId="103" xfId="11" applyFont="1" applyBorder="1"/>
    <xf numFmtId="0" fontId="71" fillId="0" borderId="81" xfId="11" applyFont="1" applyBorder="1" applyAlignment="1">
      <alignment horizontal="center" vertical="center" wrapText="1"/>
    </xf>
    <xf numFmtId="0" fontId="71" fillId="0" borderId="73" xfId="11" applyFont="1" applyBorder="1" applyAlignment="1">
      <alignment horizontal="left" vertical="center" wrapText="1"/>
    </xf>
    <xf numFmtId="14" fontId="71" fillId="0" borderId="73" xfId="11" applyNumberFormat="1" applyFont="1" applyBorder="1" applyAlignment="1">
      <alignment horizontal="center" vertical="center" wrapText="1"/>
    </xf>
    <xf numFmtId="0" fontId="71" fillId="0" borderId="166" xfId="11" applyFont="1" applyBorder="1"/>
    <xf numFmtId="0" fontId="71" fillId="0" borderId="128" xfId="11" applyFont="1" applyBorder="1" applyAlignment="1">
      <alignment horizontal="center" vertical="center" wrapText="1"/>
    </xf>
    <xf numFmtId="0" fontId="71" fillId="0" borderId="87" xfId="11" applyFont="1" applyBorder="1" applyAlignment="1">
      <alignment horizontal="left" vertical="center" wrapText="1"/>
    </xf>
    <xf numFmtId="0" fontId="71" fillId="0" borderId="176" xfId="11" applyFont="1" applyBorder="1"/>
    <xf numFmtId="0" fontId="71" fillId="0" borderId="177" xfId="11" applyFont="1" applyBorder="1" applyAlignment="1">
      <alignment horizontal="center" vertical="center" wrapText="1"/>
    </xf>
    <xf numFmtId="0" fontId="71" fillId="0" borderId="178" xfId="11" applyFont="1" applyBorder="1" applyAlignment="1">
      <alignment horizontal="left" vertical="center" wrapText="1"/>
    </xf>
    <xf numFmtId="0" fontId="71" fillId="0" borderId="179" xfId="11" applyFont="1" applyBorder="1"/>
    <xf numFmtId="0" fontId="71" fillId="0" borderId="180" xfId="11" applyFont="1" applyBorder="1" applyAlignment="1">
      <alignment horizontal="left" vertical="center" wrapText="1"/>
    </xf>
    <xf numFmtId="0" fontId="71" fillId="0" borderId="88" xfId="11" applyFont="1" applyBorder="1"/>
    <xf numFmtId="0" fontId="71" fillId="0" borderId="94" xfId="11" applyFont="1" applyBorder="1" applyAlignment="1">
      <alignment horizontal="center" vertical="center" wrapText="1"/>
    </xf>
    <xf numFmtId="0" fontId="71" fillId="0" borderId="95" xfId="11" applyFont="1" applyBorder="1"/>
    <xf numFmtId="0" fontId="71" fillId="0" borderId="120" xfId="11" applyFont="1" applyBorder="1" applyAlignment="1">
      <alignment horizontal="center" vertical="center" wrapText="1"/>
    </xf>
    <xf numFmtId="0" fontId="71" fillId="0" borderId="120" xfId="11" applyFont="1" applyBorder="1" applyAlignment="1">
      <alignment horizontal="left" vertical="center" wrapText="1"/>
    </xf>
    <xf numFmtId="0" fontId="71" fillId="0" borderId="73" xfId="11" applyFont="1" applyBorder="1" applyAlignment="1">
      <alignment horizontal="center" vertical="center" wrapText="1"/>
    </xf>
    <xf numFmtId="0" fontId="71" fillId="0" borderId="97" xfId="11" applyFont="1" applyBorder="1" applyAlignment="1">
      <alignment horizontal="left" vertical="center" wrapText="1"/>
    </xf>
    <xf numFmtId="0" fontId="71" fillId="0" borderId="85" xfId="11" applyFont="1" applyBorder="1"/>
    <xf numFmtId="0" fontId="71" fillId="0" borderId="142" xfId="11" applyFont="1" applyBorder="1" applyAlignment="1">
      <alignment horizontal="center" vertical="center" wrapText="1"/>
    </xf>
    <xf numFmtId="0" fontId="71" fillId="0" borderId="180" xfId="11" applyFont="1" applyBorder="1" applyAlignment="1">
      <alignment horizontal="center" vertical="center" wrapText="1"/>
    </xf>
    <xf numFmtId="0" fontId="71" fillId="0" borderId="181" xfId="11" applyFont="1" applyBorder="1" applyAlignment="1">
      <alignment horizontal="center" vertical="center" wrapText="1"/>
    </xf>
    <xf numFmtId="14" fontId="71" fillId="0" borderId="87" xfId="11" applyNumberFormat="1" applyFont="1" applyBorder="1" applyAlignment="1">
      <alignment horizontal="center" vertical="center" wrapText="1"/>
    </xf>
    <xf numFmtId="0" fontId="71" fillId="0" borderId="171" xfId="11" applyFont="1" applyBorder="1" applyAlignment="1">
      <alignment vertical="center" wrapText="1"/>
    </xf>
    <xf numFmtId="0" fontId="71" fillId="0" borderId="182" xfId="11" applyFont="1" applyBorder="1" applyAlignment="1">
      <alignment horizontal="center" vertical="center" wrapText="1"/>
    </xf>
    <xf numFmtId="0" fontId="71" fillId="0" borderId="172" xfId="11" applyFont="1" applyBorder="1" applyAlignment="1">
      <alignment horizontal="left" vertical="center" wrapText="1"/>
    </xf>
    <xf numFmtId="14" fontId="71" fillId="0" borderId="172" xfId="11" applyNumberFormat="1" applyFont="1" applyBorder="1" applyAlignment="1">
      <alignment horizontal="center" vertical="center" wrapText="1"/>
    </xf>
    <xf numFmtId="0" fontId="71" fillId="0" borderId="173" xfId="11" applyFont="1" applyBorder="1"/>
    <xf numFmtId="0" fontId="71" fillId="0" borderId="119" xfId="11" applyFont="1" applyBorder="1" applyAlignment="1">
      <alignment vertical="center" wrapText="1"/>
    </xf>
    <xf numFmtId="0" fontId="71" fillId="0" borderId="183" xfId="11" applyFont="1" applyBorder="1" applyAlignment="1">
      <alignment horizontal="center" vertical="center" wrapText="1"/>
    </xf>
    <xf numFmtId="0" fontId="71" fillId="0" borderId="0" xfId="11" applyFont="1"/>
    <xf numFmtId="173" fontId="22" fillId="0" borderId="80" xfId="11" applyNumberFormat="1" applyBorder="1" applyAlignment="1">
      <alignment horizontal="left"/>
    </xf>
    <xf numFmtId="175" fontId="22" fillId="0" borderId="80" xfId="11" applyNumberFormat="1" applyBorder="1" applyAlignment="1">
      <alignment horizontal="left"/>
    </xf>
    <xf numFmtId="0" fontId="7" fillId="0" borderId="0" xfId="0" applyFont="1" applyAlignment="1">
      <alignment horizontal="center" vertical="center"/>
    </xf>
    <xf numFmtId="0" fontId="7" fillId="0" borderId="184" xfId="0" applyFont="1" applyFill="1" applyBorder="1" applyAlignment="1">
      <alignment horizontal="center" vertical="center"/>
    </xf>
    <xf numFmtId="0" fontId="7" fillId="19" borderId="48" xfId="0" applyFont="1" applyFill="1" applyBorder="1" applyAlignment="1">
      <alignment horizontal="center" vertical="center"/>
    </xf>
    <xf numFmtId="0" fontId="7" fillId="0" borderId="48" xfId="0" applyFont="1" applyFill="1" applyBorder="1" applyAlignment="1">
      <alignment horizontal="center" vertical="center"/>
    </xf>
    <xf numFmtId="0" fontId="7" fillId="20" borderId="48" xfId="0" applyFont="1" applyFill="1" applyBorder="1" applyAlignment="1">
      <alignment horizontal="center" vertical="center"/>
    </xf>
    <xf numFmtId="0" fontId="7" fillId="0" borderId="0" xfId="0" applyFont="1" applyAlignment="1">
      <alignment horizontal="center" vertical="center"/>
    </xf>
    <xf numFmtId="0" fontId="7" fillId="21" borderId="73" xfId="0" applyFont="1" applyFill="1" applyBorder="1" applyAlignment="1">
      <alignment horizontal="center" vertical="center"/>
    </xf>
    <xf numFmtId="0" fontId="7" fillId="21" borderId="87" xfId="0" applyFont="1" applyFill="1" applyBorder="1" applyAlignment="1">
      <alignment horizontal="center" vertical="center"/>
    </xf>
    <xf numFmtId="164" fontId="7" fillId="0" borderId="107" xfId="0" applyNumberFormat="1" applyFont="1" applyFill="1" applyBorder="1" applyAlignment="1">
      <alignment horizontal="center" vertical="center"/>
    </xf>
    <xf numFmtId="164" fontId="7" fillId="0" borderId="112" xfId="0" applyNumberFormat="1" applyFont="1" applyFill="1" applyBorder="1" applyAlignment="1">
      <alignment horizontal="center" vertical="center"/>
    </xf>
    <xf numFmtId="165" fontId="7" fillId="0" borderId="84" xfId="9" applyNumberFormat="1" applyFont="1" applyBorder="1" applyAlignment="1">
      <alignment horizontal="center" vertical="center"/>
    </xf>
    <xf numFmtId="165" fontId="7" fillId="0" borderId="73" xfId="9" applyNumberFormat="1" applyFont="1" applyBorder="1" applyAlignment="1">
      <alignment horizontal="center" vertical="center"/>
    </xf>
    <xf numFmtId="165" fontId="7" fillId="0" borderId="85" xfId="9" applyNumberFormat="1" applyFont="1" applyBorder="1" applyAlignment="1">
      <alignment horizontal="center" vertical="center"/>
    </xf>
    <xf numFmtId="165" fontId="7" fillId="0" borderId="86" xfId="9" applyNumberFormat="1" applyFont="1" applyBorder="1" applyAlignment="1">
      <alignment horizontal="center" vertical="center"/>
    </xf>
    <xf numFmtId="165" fontId="7" fillId="0" borderId="87" xfId="9" applyNumberFormat="1" applyFont="1" applyBorder="1" applyAlignment="1">
      <alignment horizontal="center" vertical="center"/>
    </xf>
    <xf numFmtId="165" fontId="7" fillId="0" borderId="88" xfId="9" applyNumberFormat="1" applyFont="1" applyBorder="1" applyAlignment="1">
      <alignment horizontal="center" vertical="center"/>
    </xf>
    <xf numFmtId="2" fontId="7" fillId="21" borderId="95" xfId="0" applyNumberFormat="1" applyFont="1" applyFill="1" applyBorder="1" applyAlignment="1">
      <alignment horizontal="center" vertical="center"/>
    </xf>
    <xf numFmtId="2" fontId="7" fillId="21" borderId="88" xfId="0" applyNumberFormat="1" applyFont="1" applyFill="1" applyBorder="1" applyAlignment="1">
      <alignment horizontal="center" vertical="center"/>
    </xf>
    <xf numFmtId="164" fontId="7" fillId="8" borderId="20" xfId="0" applyNumberFormat="1" applyFont="1" applyFill="1" applyBorder="1" applyAlignment="1">
      <alignment horizontal="center" vertical="center"/>
    </xf>
    <xf numFmtId="0" fontId="6" fillId="0" borderId="186" xfId="0" applyFont="1" applyBorder="1" applyAlignment="1">
      <alignment horizontal="center" vertical="center"/>
    </xf>
    <xf numFmtId="0" fontId="7" fillId="0" borderId="187" xfId="0" applyFont="1" applyBorder="1" applyAlignment="1">
      <alignment vertical="center"/>
    </xf>
    <xf numFmtId="0" fontId="7" fillId="0" borderId="83" xfId="0" applyFont="1" applyBorder="1" applyAlignment="1">
      <alignment vertical="center"/>
    </xf>
    <xf numFmtId="0" fontId="7" fillId="0" borderId="188" xfId="0" applyFont="1" applyBorder="1" applyAlignment="1">
      <alignment vertical="center"/>
    </xf>
    <xf numFmtId="10" fontId="7" fillId="0" borderId="30" xfId="0" applyNumberFormat="1" applyFont="1" applyBorder="1" applyAlignment="1">
      <alignment horizontal="center" vertical="center"/>
    </xf>
    <xf numFmtId="0" fontId="7" fillId="0" borderId="0" xfId="0" applyFont="1" applyAlignment="1">
      <alignment horizontal="center" vertical="center"/>
    </xf>
    <xf numFmtId="0" fontId="7" fillId="0" borderId="52" xfId="0" applyFont="1" applyFill="1" applyBorder="1" applyAlignment="1">
      <alignment horizontal="center" vertical="center"/>
    </xf>
    <xf numFmtId="0" fontId="37" fillId="0" borderId="0" xfId="11" applyFont="1" applyAlignment="1">
      <alignment horizontal="center" vertical="center"/>
    </xf>
    <xf numFmtId="0" fontId="25" fillId="0" borderId="0" xfId="11" applyFont="1" applyAlignment="1">
      <alignment vertical="center"/>
    </xf>
    <xf numFmtId="0" fontId="25" fillId="0" borderId="0" xfId="11" applyFont="1" applyBorder="1" applyAlignment="1">
      <alignment vertical="center"/>
    </xf>
    <xf numFmtId="0" fontId="25" fillId="0" borderId="0" xfId="11" applyFont="1" applyAlignment="1">
      <alignment horizontal="right" vertical="center"/>
    </xf>
    <xf numFmtId="14" fontId="22" fillId="17" borderId="0" xfId="11" applyNumberFormat="1" applyFont="1" applyFill="1" applyBorder="1" applyAlignment="1">
      <alignment horizontal="left" vertical="center"/>
    </xf>
    <xf numFmtId="0" fontId="22" fillId="17" borderId="0" xfId="11" applyFont="1" applyFill="1" applyBorder="1" applyAlignment="1">
      <alignment horizontal="left" vertical="center"/>
    </xf>
    <xf numFmtId="0" fontId="25" fillId="0" borderId="0" xfId="11" applyFont="1" applyAlignment="1">
      <alignment horizontal="left" vertical="center"/>
    </xf>
    <xf numFmtId="0" fontId="35" fillId="0" borderId="0" xfId="11" applyFont="1" applyAlignment="1">
      <alignment vertical="center"/>
    </xf>
    <xf numFmtId="0" fontId="22" fillId="0" borderId="0" xfId="11" applyFont="1" applyBorder="1" applyAlignment="1">
      <alignment vertical="center"/>
    </xf>
    <xf numFmtId="0" fontId="22" fillId="0" borderId="0" xfId="11" applyFont="1" applyAlignment="1">
      <alignment horizontal="right" vertical="center"/>
    </xf>
    <xf numFmtId="0" fontId="27" fillId="0" borderId="0" xfId="11" applyFont="1" applyAlignment="1">
      <alignment vertical="center"/>
    </xf>
    <xf numFmtId="0" fontId="22" fillId="0" borderId="0" xfId="11" applyFont="1" applyAlignment="1">
      <alignment vertical="center"/>
    </xf>
    <xf numFmtId="0" fontId="33" fillId="0" borderId="0" xfId="11" applyFont="1" applyAlignment="1">
      <alignment horizontal="right" vertical="center"/>
    </xf>
    <xf numFmtId="0" fontId="22" fillId="0" borderId="0" xfId="11" applyFont="1" applyAlignment="1">
      <alignment horizontal="left" vertical="center"/>
    </xf>
    <xf numFmtId="0" fontId="34" fillId="0" borderId="0" xfId="11" applyFont="1" applyAlignment="1">
      <alignment horizontal="center" vertical="center"/>
    </xf>
    <xf numFmtId="0" fontId="25" fillId="0" borderId="0" xfId="11" applyFont="1" applyFill="1" applyAlignment="1">
      <alignment horizontal="left" vertical="center"/>
    </xf>
    <xf numFmtId="0" fontId="29" fillId="0" borderId="0" xfId="11" applyFont="1" applyFill="1" applyAlignment="1">
      <alignment horizontal="left" vertical="center"/>
    </xf>
    <xf numFmtId="0" fontId="32" fillId="0" borderId="0" xfId="11" applyFont="1" applyFill="1" applyAlignment="1">
      <alignment vertical="center"/>
    </xf>
    <xf numFmtId="0" fontId="22" fillId="0" borderId="0" xfId="11" applyFont="1" applyFill="1" applyAlignment="1">
      <alignment horizontal="left" vertical="center"/>
    </xf>
    <xf numFmtId="0" fontId="29" fillId="0" borderId="0" xfId="11" applyFont="1" applyFill="1" applyAlignment="1">
      <alignment horizontal="right" vertical="center"/>
    </xf>
    <xf numFmtId="0" fontId="32" fillId="0" borderId="0" xfId="11" applyFont="1" applyFill="1" applyAlignment="1">
      <alignment horizontal="right" vertical="center"/>
    </xf>
    <xf numFmtId="0" fontId="31" fillId="0" borderId="0" xfId="11" applyFont="1" applyFill="1" applyBorder="1" applyAlignment="1">
      <alignment horizontal="center" vertical="center"/>
    </xf>
    <xf numFmtId="0" fontId="32" fillId="0" borderId="0" xfId="11" applyFont="1" applyAlignment="1">
      <alignment vertical="center"/>
    </xf>
    <xf numFmtId="0" fontId="29" fillId="0" borderId="0" xfId="11" applyFont="1" applyAlignment="1">
      <alignment horizontal="left" vertical="center"/>
    </xf>
    <xf numFmtId="0" fontId="29" fillId="0" borderId="0" xfId="11" applyFont="1" applyAlignment="1">
      <alignment horizontal="right" vertical="center"/>
    </xf>
    <xf numFmtId="0" fontId="32" fillId="0" borderId="0" xfId="11" applyFont="1" applyAlignment="1">
      <alignment horizontal="right" vertical="center"/>
    </xf>
    <xf numFmtId="0" fontId="31" fillId="0" borderId="0" xfId="11" applyFont="1" applyBorder="1" applyAlignment="1">
      <alignment horizontal="center" vertical="center"/>
    </xf>
    <xf numFmtId="0" fontId="29" fillId="0" borderId="0" xfId="11" applyFont="1" applyBorder="1" applyAlignment="1">
      <alignment horizontal="center" vertical="center"/>
    </xf>
    <xf numFmtId="0" fontId="25" fillId="0" borderId="0" xfId="11" applyFont="1" applyFill="1" applyAlignment="1">
      <alignment vertical="center"/>
    </xf>
    <xf numFmtId="0" fontId="25" fillId="0" borderId="73" xfId="11" applyFont="1" applyFill="1" applyBorder="1" applyAlignment="1">
      <alignment horizontal="center" vertical="center"/>
    </xf>
    <xf numFmtId="0" fontId="27" fillId="0" borderId="0" xfId="11" applyFont="1" applyFill="1" applyAlignment="1">
      <alignment vertical="center"/>
    </xf>
    <xf numFmtId="0" fontId="26" fillId="0" borderId="0" xfId="11" applyFont="1" applyFill="1" applyAlignment="1">
      <alignment vertical="center"/>
    </xf>
    <xf numFmtId="0" fontId="22" fillId="0" borderId="0" xfId="11" applyFill="1" applyAlignment="1">
      <alignment vertical="center"/>
    </xf>
    <xf numFmtId="2" fontId="27" fillId="0" borderId="0" xfId="11" applyNumberFormat="1" applyFont="1" applyFill="1" applyAlignment="1">
      <alignment vertical="center"/>
    </xf>
    <xf numFmtId="0" fontId="27" fillId="0" borderId="0" xfId="11" applyFont="1" applyFill="1" applyAlignment="1">
      <alignment horizontal="right" vertical="center"/>
    </xf>
    <xf numFmtId="164" fontId="22" fillId="0" borderId="73" xfId="11" applyNumberFormat="1" applyFont="1" applyFill="1" applyBorder="1" applyAlignment="1">
      <alignment horizontal="center" vertical="center"/>
    </xf>
    <xf numFmtId="164" fontId="27" fillId="0" borderId="74" xfId="11" applyNumberFormat="1" applyFont="1" applyFill="1" applyBorder="1" applyAlignment="1">
      <alignment horizontal="center" vertical="center"/>
    </xf>
    <xf numFmtId="0" fontId="27" fillId="0" borderId="80" xfId="11" applyFont="1" applyFill="1" applyBorder="1" applyAlignment="1">
      <alignment horizontal="right" vertical="center"/>
    </xf>
    <xf numFmtId="0" fontId="27" fillId="0" borderId="0" xfId="11" applyFont="1" applyFill="1" applyBorder="1" applyAlignment="1">
      <alignment horizontal="right" vertical="center"/>
    </xf>
    <xf numFmtId="0" fontId="22" fillId="0" borderId="73" xfId="11" applyFont="1" applyFill="1" applyBorder="1" applyAlignment="1">
      <alignment horizontal="center" vertical="center"/>
    </xf>
    <xf numFmtId="0" fontId="25" fillId="0" borderId="0" xfId="11" applyFont="1" applyFill="1" applyAlignment="1">
      <alignment horizontal="center" vertical="center"/>
    </xf>
    <xf numFmtId="0" fontId="7" fillId="20" borderId="51" xfId="0" applyFont="1" applyFill="1" applyBorder="1" applyAlignment="1">
      <alignment horizontal="center" vertical="center"/>
    </xf>
    <xf numFmtId="0" fontId="7" fillId="20" borderId="52" xfId="0" applyFont="1" applyFill="1" applyBorder="1" applyAlignment="1">
      <alignment horizontal="center" vertical="center"/>
    </xf>
    <xf numFmtId="164" fontId="7" fillId="20" borderId="52" xfId="0" applyNumberFormat="1" applyFont="1" applyFill="1" applyBorder="1" applyAlignment="1">
      <alignment horizontal="center" vertical="center"/>
    </xf>
    <xf numFmtId="0" fontId="7" fillId="20" borderId="184" xfId="0" applyFont="1" applyFill="1" applyBorder="1" applyAlignment="1">
      <alignment horizontal="center" vertical="center"/>
    </xf>
    <xf numFmtId="2" fontId="7" fillId="20" borderId="53" xfId="0" applyNumberFormat="1" applyFont="1" applyFill="1" applyBorder="1" applyAlignment="1">
      <alignment horizontal="center" vertical="center"/>
    </xf>
    <xf numFmtId="0" fontId="9" fillId="20" borderId="54" xfId="0" applyFont="1" applyFill="1" applyBorder="1" applyAlignment="1">
      <alignment horizontal="center" vertical="center"/>
    </xf>
    <xf numFmtId="0" fontId="9" fillId="20" borderId="11" xfId="0" applyFont="1" applyFill="1" applyBorder="1" applyAlignment="1">
      <alignment horizontal="center" vertical="center"/>
    </xf>
    <xf numFmtId="164" fontId="9" fillId="20" borderId="11" xfId="0" applyNumberFormat="1" applyFont="1" applyFill="1" applyBorder="1" applyAlignment="1">
      <alignment horizontal="center" vertical="center"/>
    </xf>
    <xf numFmtId="0" fontId="9" fillId="20" borderId="48" xfId="0" applyFont="1" applyFill="1" applyBorder="1" applyAlignment="1">
      <alignment horizontal="center" vertical="center"/>
    </xf>
    <xf numFmtId="0" fontId="9" fillId="20" borderId="38" xfId="0" applyFont="1" applyFill="1" applyBorder="1" applyAlignment="1">
      <alignment horizontal="center" vertical="center"/>
    </xf>
    <xf numFmtId="0" fontId="7" fillId="20" borderId="56" xfId="0" applyFont="1" applyFill="1" applyBorder="1" applyAlignment="1">
      <alignment horizontal="center" vertical="center"/>
    </xf>
    <xf numFmtId="0" fontId="7" fillId="20" borderId="42" xfId="0" applyFont="1" applyFill="1" applyBorder="1" applyAlignment="1">
      <alignment horizontal="center" vertical="center"/>
    </xf>
    <xf numFmtId="164" fontId="7" fillId="20" borderId="42" xfId="0" applyNumberFormat="1" applyFont="1" applyFill="1" applyBorder="1" applyAlignment="1">
      <alignment horizontal="center" vertical="center"/>
    </xf>
    <xf numFmtId="0" fontId="7" fillId="20" borderId="185" xfId="0" applyFont="1" applyFill="1" applyBorder="1" applyAlignment="1">
      <alignment horizontal="center" vertical="center"/>
    </xf>
    <xf numFmtId="0" fontId="7" fillId="20" borderId="43" xfId="0" applyFont="1" applyFill="1" applyBorder="1" applyAlignment="1">
      <alignment horizontal="center" vertical="center"/>
    </xf>
    <xf numFmtId="0" fontId="7" fillId="19" borderId="51" xfId="0" applyFont="1" applyFill="1" applyBorder="1" applyAlignment="1">
      <alignment horizontal="center" vertical="center"/>
    </xf>
    <xf numFmtId="0" fontId="7" fillId="19" borderId="52" xfId="0" applyFont="1" applyFill="1" applyBorder="1" applyAlignment="1">
      <alignment horizontal="center" vertical="center"/>
    </xf>
    <xf numFmtId="164" fontId="7" fillId="19" borderId="52" xfId="0" applyNumberFormat="1" applyFont="1" applyFill="1" applyBorder="1" applyAlignment="1">
      <alignment horizontal="center" vertical="center"/>
    </xf>
    <xf numFmtId="0" fontId="7" fillId="19" borderId="184" xfId="0" applyFont="1" applyFill="1" applyBorder="1" applyAlignment="1">
      <alignment horizontal="center" vertical="center"/>
    </xf>
    <xf numFmtId="0" fontId="7" fillId="19" borderId="53" xfId="0" applyFont="1" applyFill="1" applyBorder="1" applyAlignment="1">
      <alignment horizontal="center" vertical="center"/>
    </xf>
    <xf numFmtId="0" fontId="7" fillId="19" borderId="38" xfId="0" applyFont="1" applyFill="1" applyBorder="1" applyAlignment="1">
      <alignment horizontal="center" vertical="center"/>
    </xf>
    <xf numFmtId="0" fontId="6" fillId="0" borderId="17" xfId="0" applyFont="1" applyBorder="1" applyAlignment="1">
      <alignment horizontal="left" vertical="center"/>
    </xf>
    <xf numFmtId="0" fontId="6" fillId="0" borderId="17" xfId="0" applyFont="1" applyBorder="1" applyAlignment="1">
      <alignment vertical="center"/>
    </xf>
    <xf numFmtId="0" fontId="6" fillId="0" borderId="0" xfId="0" applyFont="1" applyBorder="1" applyAlignment="1">
      <alignment horizontal="left" vertical="center"/>
    </xf>
    <xf numFmtId="0" fontId="7" fillId="8" borderId="189" xfId="0" applyFont="1" applyFill="1" applyBorder="1" applyAlignment="1">
      <alignment horizontal="center" vertical="center"/>
    </xf>
    <xf numFmtId="0" fontId="7" fillId="0" borderId="20" xfId="0" applyNumberFormat="1" applyFont="1" applyFill="1" applyBorder="1" applyAlignment="1">
      <alignment horizontal="left" vertical="center"/>
    </xf>
    <xf numFmtId="0" fontId="6" fillId="0" borderId="100" xfId="0" applyFont="1" applyBorder="1" applyAlignment="1">
      <alignment vertical="center"/>
    </xf>
    <xf numFmtId="0" fontId="7" fillId="0" borderId="100" xfId="0" applyFont="1" applyFill="1" applyBorder="1" applyAlignment="1">
      <alignment horizontal="center" vertical="center"/>
    </xf>
    <xf numFmtId="10" fontId="7" fillId="0" borderId="0" xfId="0" applyNumberFormat="1" applyFont="1" applyBorder="1" applyAlignment="1">
      <alignment vertical="center"/>
    </xf>
    <xf numFmtId="2" fontId="7" fillId="0" borderId="120" xfId="0" applyNumberFormat="1" applyFont="1" applyBorder="1" applyAlignment="1">
      <alignment horizontal="center" vertical="center"/>
    </xf>
    <xf numFmtId="167" fontId="7" fillId="0" borderId="120" xfId="0" applyNumberFormat="1" applyFont="1" applyBorder="1" applyAlignment="1">
      <alignment horizontal="center" vertical="center"/>
    </xf>
    <xf numFmtId="10" fontId="7" fillId="0" borderId="121" xfId="9" applyNumberFormat="1" applyFont="1" applyBorder="1" applyAlignment="1">
      <alignment horizontal="center" vertical="center"/>
    </xf>
    <xf numFmtId="0" fontId="26" fillId="0" borderId="0" xfId="11" applyFont="1" applyAlignment="1">
      <alignment horizontal="center" vertical="center"/>
    </xf>
    <xf numFmtId="0" fontId="23" fillId="0" borderId="0" xfId="11" applyFont="1" applyBorder="1" applyAlignment="1">
      <alignment horizontal="center" vertical="center"/>
    </xf>
    <xf numFmtId="0" fontId="22" fillId="0" borderId="81" xfId="11" applyFont="1" applyBorder="1" applyAlignment="1">
      <alignment horizontal="center" vertical="center"/>
    </xf>
    <xf numFmtId="0" fontId="22" fillId="0" borderId="142" xfId="11" applyFont="1" applyBorder="1" applyAlignment="1">
      <alignment horizontal="center" vertical="center"/>
    </xf>
    <xf numFmtId="0" fontId="25" fillId="0" borderId="81" xfId="11" applyFont="1" applyBorder="1" applyAlignment="1">
      <alignment horizontal="center" vertical="center"/>
    </xf>
    <xf numFmtId="0" fontId="25" fillId="0" borderId="142" xfId="11" applyFont="1" applyBorder="1" applyAlignment="1">
      <alignment horizontal="center" vertical="center"/>
    </xf>
    <xf numFmtId="0" fontId="22" fillId="0" borderId="92" xfId="11" applyFont="1" applyBorder="1" applyAlignment="1">
      <alignment horizontal="center" vertical="center"/>
    </xf>
    <xf numFmtId="0" fontId="26" fillId="0" borderId="0" xfId="11" applyFont="1" applyAlignment="1">
      <alignment horizontal="left" vertical="center" wrapText="1"/>
    </xf>
    <xf numFmtId="0" fontId="30" fillId="0" borderId="0" xfId="11" applyFont="1" applyAlignment="1">
      <alignment horizontal="center" vertical="center"/>
    </xf>
    <xf numFmtId="0" fontId="22" fillId="0" borderId="145" xfId="11" applyFont="1" applyBorder="1" applyAlignment="1">
      <alignment horizontal="center" vertical="center"/>
    </xf>
    <xf numFmtId="0" fontId="22" fillId="0" borderId="143" xfId="11" applyFont="1" applyBorder="1" applyAlignment="1">
      <alignment horizontal="center" vertical="center"/>
    </xf>
    <xf numFmtId="0" fontId="27" fillId="0" borderId="145" xfId="11" applyFont="1" applyBorder="1" applyAlignment="1">
      <alignment horizontal="center" vertical="center"/>
    </xf>
    <xf numFmtId="0" fontId="27" fillId="0" borderId="143" xfId="11" applyFont="1" applyBorder="1" applyAlignment="1">
      <alignment horizontal="center" vertical="center"/>
    </xf>
    <xf numFmtId="0" fontId="22" fillId="0" borderId="144" xfId="11" applyFont="1" applyBorder="1" applyAlignment="1">
      <alignment horizontal="center" vertical="center"/>
    </xf>
    <xf numFmtId="0" fontId="72" fillId="7" borderId="11" xfId="0" applyFont="1" applyFill="1" applyBorder="1" applyAlignment="1">
      <alignment horizontal="center" vertical="center"/>
    </xf>
    <xf numFmtId="0" fontId="27" fillId="17" borderId="81" xfId="11" applyFont="1" applyFill="1" applyBorder="1" applyAlignment="1">
      <alignment horizontal="center" vertical="center"/>
    </xf>
    <xf numFmtId="0" fontId="27" fillId="17" borderId="92" xfId="11" applyFont="1" applyFill="1" applyBorder="1" applyAlignment="1">
      <alignment horizontal="center" vertical="center"/>
    </xf>
    <xf numFmtId="0" fontId="27" fillId="17" borderId="142" xfId="11" applyFont="1" applyFill="1" applyBorder="1" applyAlignment="1">
      <alignment horizontal="center" vertical="center"/>
    </xf>
    <xf numFmtId="173" fontId="27" fillId="17" borderId="81" xfId="11" applyNumberFormat="1" applyFont="1" applyFill="1" applyBorder="1" applyAlignment="1">
      <alignment horizontal="center" vertical="center"/>
    </xf>
    <xf numFmtId="173" fontId="27" fillId="17" borderId="92" xfId="11" applyNumberFormat="1" applyFont="1" applyFill="1" applyBorder="1" applyAlignment="1">
      <alignment horizontal="center" vertical="center"/>
    </xf>
    <xf numFmtId="173" fontId="27" fillId="17" borderId="142" xfId="11" applyNumberFormat="1" applyFont="1" applyFill="1" applyBorder="1" applyAlignment="1">
      <alignment horizontal="center" vertical="center"/>
    </xf>
    <xf numFmtId="0" fontId="27" fillId="0" borderId="81" xfId="11" applyFont="1" applyBorder="1" applyAlignment="1">
      <alignment horizontal="center" vertical="center"/>
    </xf>
    <xf numFmtId="0" fontId="27" fillId="0" borderId="92" xfId="11" applyFont="1" applyBorder="1" applyAlignment="1">
      <alignment horizontal="center" vertical="center"/>
    </xf>
    <xf numFmtId="0" fontId="27" fillId="0" borderId="142" xfId="11" applyFont="1" applyBorder="1" applyAlignment="1">
      <alignment horizontal="center" vertical="center"/>
    </xf>
    <xf numFmtId="0" fontId="22" fillId="0" borderId="148" xfId="11" applyFont="1" applyBorder="1" applyAlignment="1">
      <alignment horizontal="center" vertical="center"/>
    </xf>
    <xf numFmtId="0" fontId="22" fillId="0" borderId="146" xfId="11" applyFont="1" applyBorder="1" applyAlignment="1">
      <alignment horizontal="center" vertical="center"/>
    </xf>
    <xf numFmtId="0" fontId="22" fillId="0" borderId="147" xfId="11" applyFont="1" applyBorder="1" applyAlignment="1">
      <alignment horizontal="center" vertical="center"/>
    </xf>
    <xf numFmtId="0" fontId="37" fillId="0" borderId="0" xfId="11" applyFont="1" applyAlignment="1">
      <alignment horizontal="center" vertical="center"/>
    </xf>
    <xf numFmtId="175" fontId="27" fillId="17" borderId="81" xfId="11" applyNumberFormat="1" applyFont="1" applyFill="1" applyBorder="1" applyAlignment="1">
      <alignment horizontal="center" vertical="center"/>
    </xf>
    <xf numFmtId="175" fontId="27" fillId="17" borderId="92" xfId="11" applyNumberFormat="1" applyFont="1" applyFill="1" applyBorder="1" applyAlignment="1">
      <alignment horizontal="center" vertical="center"/>
    </xf>
    <xf numFmtId="175" fontId="27" fillId="17" borderId="142" xfId="11" applyNumberFormat="1" applyFont="1" applyFill="1" applyBorder="1" applyAlignment="1">
      <alignment horizontal="center" vertic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30" fillId="0" borderId="0" xfId="11" applyFont="1" applyAlignment="1">
      <alignment horizontal="center"/>
    </xf>
    <xf numFmtId="0" fontId="22" fillId="0" borderId="81" xfId="11" applyBorder="1" applyAlignment="1">
      <alignment horizontal="left" vertical="top" wrapText="1"/>
    </xf>
    <xf numFmtId="0" fontId="22" fillId="0" borderId="92" xfId="11" applyBorder="1" applyAlignment="1">
      <alignment horizontal="left" vertical="top" wrapText="1"/>
    </xf>
    <xf numFmtId="0" fontId="22" fillId="0" borderId="142" xfId="11" applyBorder="1" applyAlignment="1">
      <alignment horizontal="left" vertical="top" wrapText="1"/>
    </xf>
    <xf numFmtId="0" fontId="22" fillId="0" borderId="122" xfId="11" applyBorder="1" applyAlignment="1">
      <alignment horizontal="left" vertical="top" wrapText="1"/>
    </xf>
    <xf numFmtId="0" fontId="22" fillId="0" borderId="0" xfId="11" applyBorder="1" applyAlignment="1">
      <alignment horizontal="left" vertical="top" wrapText="1"/>
    </xf>
    <xf numFmtId="0" fontId="25" fillId="0" borderId="151" xfId="11" applyFont="1" applyFill="1" applyBorder="1" applyAlignment="1">
      <alignment horizontal="left" vertical="center" wrapText="1"/>
    </xf>
    <xf numFmtId="0" fontId="25" fillId="0" borderId="150" xfId="11" applyFont="1" applyFill="1" applyBorder="1" applyAlignment="1">
      <alignment horizontal="left" vertical="center" wrapText="1"/>
    </xf>
    <xf numFmtId="0" fontId="25" fillId="0" borderId="149" xfId="11" applyFont="1" applyFill="1" applyBorder="1" applyAlignment="1">
      <alignment horizontal="left" vertical="center" wrapText="1"/>
    </xf>
    <xf numFmtId="0" fontId="37" fillId="0" borderId="0" xfId="11" applyFont="1" applyBorder="1" applyAlignment="1">
      <alignment horizontal="center"/>
    </xf>
    <xf numFmtId="0" fontId="42" fillId="17" borderId="0" xfId="12" applyNumberFormat="1" applyFont="1" applyFill="1" applyBorder="1" applyAlignment="1">
      <alignment horizontal="left" wrapText="1"/>
    </xf>
    <xf numFmtId="0" fontId="25" fillId="0" borderId="0" xfId="11" applyFont="1" applyAlignment="1">
      <alignment horizontal="center"/>
    </xf>
    <xf numFmtId="0" fontId="29" fillId="0" borderId="0" xfId="11" applyFont="1" applyAlignment="1">
      <alignment horizontal="center"/>
    </xf>
    <xf numFmtId="0" fontId="71" fillId="0" borderId="125" xfId="11" applyFont="1" applyBorder="1" applyAlignment="1">
      <alignment horizontal="left" vertical="center" wrapText="1"/>
    </xf>
    <xf numFmtId="0" fontId="71" fillId="0" borderId="119" xfId="11" applyFont="1" applyBorder="1" applyAlignment="1">
      <alignment horizontal="left" vertical="center" wrapText="1"/>
    </xf>
    <xf numFmtId="0" fontId="25" fillId="0" borderId="0" xfId="11" applyFont="1" applyAlignment="1">
      <alignment horizontal="center" wrapText="1"/>
    </xf>
    <xf numFmtId="0" fontId="66" fillId="0" borderId="0" xfId="11" applyFont="1" applyAlignment="1">
      <alignment horizontal="center"/>
    </xf>
    <xf numFmtId="0" fontId="22" fillId="0" borderId="80" xfId="11" applyBorder="1" applyAlignment="1">
      <alignment horizontal="left"/>
    </xf>
    <xf numFmtId="0" fontId="22" fillId="0" borderId="92" xfId="11" applyBorder="1" applyAlignment="1">
      <alignment horizontal="left"/>
    </xf>
    <xf numFmtId="0" fontId="71" fillId="0" borderId="124" xfId="11" applyFont="1" applyBorder="1" applyAlignment="1">
      <alignment horizontal="left" vertical="center" wrapText="1"/>
    </xf>
    <xf numFmtId="0" fontId="22" fillId="0" borderId="125" xfId="11" applyBorder="1" applyAlignment="1">
      <alignment horizontal="left" vertical="center" wrapText="1"/>
    </xf>
    <xf numFmtId="0" fontId="22" fillId="0" borderId="119" xfId="11" applyBorder="1" applyAlignment="1">
      <alignment horizontal="left" vertical="center" wrapText="1"/>
    </xf>
    <xf numFmtId="0" fontId="69" fillId="0" borderId="83" xfId="11" applyFont="1" applyBorder="1" applyAlignment="1">
      <alignment horizontal="center"/>
    </xf>
    <xf numFmtId="0" fontId="67" fillId="0" borderId="83" xfId="11" applyFont="1" applyBorder="1" applyAlignment="1">
      <alignment horizontal="center"/>
    </xf>
    <xf numFmtId="0" fontId="71" fillId="0" borderId="124" xfId="11" applyFont="1" applyBorder="1" applyAlignment="1">
      <alignment vertical="center"/>
    </xf>
    <xf numFmtId="0" fontId="22" fillId="0" borderId="125" xfId="11" applyBorder="1" applyAlignment="1">
      <alignment vertical="center"/>
    </xf>
    <xf numFmtId="0" fontId="22" fillId="0" borderId="119" xfId="11" applyBorder="1" applyAlignment="1">
      <alignment vertical="center"/>
    </xf>
    <xf numFmtId="0" fontId="71" fillId="0" borderId="124" xfId="11" applyFont="1" applyBorder="1" applyAlignment="1">
      <alignment vertical="center" wrapText="1"/>
    </xf>
    <xf numFmtId="0" fontId="22" fillId="0" borderId="119" xfId="11" applyBorder="1" applyAlignment="1">
      <alignment vertical="center" wrapText="1"/>
    </xf>
    <xf numFmtId="0" fontId="71" fillId="0" borderId="124" xfId="11" applyFont="1" applyBorder="1" applyAlignment="1">
      <alignment horizontal="left" vertical="center"/>
    </xf>
    <xf numFmtId="0" fontId="71" fillId="0" borderId="125" xfId="11" applyFont="1" applyBorder="1" applyAlignment="1">
      <alignment horizontal="left" vertical="center"/>
    </xf>
    <xf numFmtId="0" fontId="71" fillId="0" borderId="119" xfId="11" applyFont="1" applyBorder="1" applyAlignment="1">
      <alignment horizontal="left" vertical="center"/>
    </xf>
    <xf numFmtId="0" fontId="7" fillId="0" borderId="124" xfId="0" applyFont="1" applyBorder="1" applyAlignment="1">
      <alignment horizontal="center" vertical="center"/>
    </xf>
    <xf numFmtId="0" fontId="7" fillId="0" borderId="125" xfId="0"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0" xfId="0" applyFont="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6" xfId="0" applyFont="1" applyBorder="1" applyAlignment="1">
      <alignment horizontal="center" vertical="top"/>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0"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7" borderId="24" xfId="0"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NumberFormat="1" applyFont="1" applyFill="1" applyBorder="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141" xfId="0" applyFont="1" applyBorder="1" applyAlignment="1">
      <alignment horizontal="center" vertical="center"/>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7"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cellXfs>
  <cellStyles count="13">
    <cellStyle name="COMMENT" xfId="10" xr:uid="{00000000-0005-0000-0000-000000000000}"/>
    <cellStyle name="ConditionalStyle_27" xfId="1" xr:uid="{00000000-0005-0000-0000-000001000000}"/>
    <cellStyle name="Date" xfId="2" xr:uid="{00000000-0005-0000-0000-000002000000}"/>
    <cellStyle name="Fail" xfId="3" xr:uid="{00000000-0005-0000-0000-000003000000}"/>
    <cellStyle name="Heading" xfId="4" xr:uid="{00000000-0005-0000-0000-000004000000}"/>
    <cellStyle name="Heading1" xfId="5" xr:uid="{00000000-0005-0000-0000-000005000000}"/>
    <cellStyle name="Normal" xfId="0" builtinId="0" customBuiltin="1"/>
    <cellStyle name="Normal 2" xfId="11" xr:uid="{00000000-0005-0000-0000-000007000000}"/>
    <cellStyle name="Normal 2 2" xfId="12" xr:uid="{00000000-0005-0000-0000-000008000000}"/>
    <cellStyle name="Pass" xfId="6" xr:uid="{00000000-0005-0000-0000-000009000000}"/>
    <cellStyle name="Percent" xfId="9" builtinId="5"/>
    <cellStyle name="Result" xfId="7" xr:uid="{00000000-0005-0000-0000-00000B000000}"/>
    <cellStyle name="Result2" xfId="8" xr:uid="{00000000-0005-0000-0000-00000C000000}"/>
  </cellStyles>
  <dxfs count="17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Sheet1!$C$303</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Sheet1!$D$303:$D$306</c:f>
              <c:numCache>
                <c:formatCode>General</c:formatCode>
                <c:ptCount val="4"/>
                <c:pt idx="0">
                  <c:v>28</c:v>
                </c:pt>
                <c:pt idx="1">
                  <c:v>30</c:v>
                </c:pt>
                <c:pt idx="2">
                  <c:v>32</c:v>
                </c:pt>
                <c:pt idx="3">
                  <c:v>34</c:v>
                </c:pt>
              </c:numCache>
            </c:numRef>
          </c:xVal>
          <c:yVal>
            <c:numRef>
              <c:f>Sheet1!$I$303:$I$306</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Sheet1!$C$308</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Sheet1!$D$308:$D$311</c:f>
              <c:numCache>
                <c:formatCode>General</c:formatCode>
                <c:ptCount val="4"/>
                <c:pt idx="0">
                  <c:v>28</c:v>
                </c:pt>
                <c:pt idx="1">
                  <c:v>30</c:v>
                </c:pt>
                <c:pt idx="2">
                  <c:v>32</c:v>
                </c:pt>
                <c:pt idx="3">
                  <c:v>34</c:v>
                </c:pt>
              </c:numCache>
            </c:numRef>
          </c:xVal>
          <c:yVal>
            <c:numRef>
              <c:f>Sheet1!$I$308:$I$311</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Tables!$D$63:$D$69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Tables!$E$63</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Tables!$F$63:$F$66</c:f>
              <c:numCache>
                <c:formatCode>General</c:formatCode>
                <c:ptCount val="4"/>
                <c:pt idx="0">
                  <c:v>28</c:v>
                </c:pt>
                <c:pt idx="1">
                  <c:v>30</c:v>
                </c:pt>
                <c:pt idx="2">
                  <c:v>32</c:v>
                </c:pt>
                <c:pt idx="3">
                  <c:v>34</c:v>
                </c:pt>
              </c:numCache>
            </c:numRef>
          </c:xVal>
          <c:yVal>
            <c:numRef>
              <c:f>Tables!$H$63:$H$66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Tables!$I$63</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Tables!$J$63:$J$66</c:f>
              <c:numCache>
                <c:formatCode>General</c:formatCode>
                <c:ptCount val="4"/>
                <c:pt idx="0">
                  <c:v>28</c:v>
                </c:pt>
                <c:pt idx="1">
                  <c:v>30</c:v>
                </c:pt>
                <c:pt idx="2">
                  <c:v>32</c:v>
                </c:pt>
                <c:pt idx="3">
                  <c:v>34</c:v>
                </c:pt>
              </c:numCache>
            </c:numRef>
          </c:xVal>
          <c:yVal>
            <c:numRef>
              <c:f>Tables!$L$63:$L$66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Tables!$B$76:$B$82</c:f>
              <c:numCache>
                <c:formatCode>0.00</c:formatCode>
                <c:ptCount val="7"/>
                <c:pt idx="0">
                  <c:v>0</c:v>
                </c:pt>
                <c:pt idx="1">
                  <c:v>0</c:v>
                </c:pt>
                <c:pt idx="2">
                  <c:v>0</c:v>
                </c:pt>
                <c:pt idx="3">
                  <c:v>0</c:v>
                </c:pt>
                <c:pt idx="4">
                  <c:v>0</c:v>
                </c:pt>
                <c:pt idx="5">
                  <c:v>0</c:v>
                </c:pt>
                <c:pt idx="6">
                  <c:v>0</c:v>
                </c:pt>
              </c:numCache>
            </c:num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541020</xdr:colOff>
          <xdr:row>13</xdr:row>
          <xdr:rowOff>7620</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000-000001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525780</xdr:colOff>
          <xdr:row>12</xdr:row>
          <xdr:rowOff>0</xdr:rowOff>
        </xdr:from>
        <xdr:to>
          <xdr:col>9</xdr:col>
          <xdr:colOff>487680</xdr:colOff>
          <xdr:row>13</xdr:row>
          <xdr:rowOff>7620</xdr:rowOff>
        </xdr:to>
        <xdr:sp macro="" textlink="">
          <xdr:nvSpPr>
            <xdr:cNvPr id="14338" name="Check Box 2" hidden="1">
              <a:extLst>
                <a:ext uri="{63B3BB69-23CF-44E3-9099-C40C66FF867C}">
                  <a14:compatExt spid="_x0000_s14338"/>
                </a:ext>
                <a:ext uri="{FF2B5EF4-FFF2-40B4-BE49-F238E27FC236}">
                  <a16:creationId xmlns:a16="http://schemas.microsoft.com/office/drawing/2014/main" id="{00000000-0008-0000-0000-000002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541020</xdr:colOff>
          <xdr:row>14</xdr:row>
          <xdr:rowOff>7620</xdr:rowOff>
        </xdr:to>
        <xdr:sp macro="" textlink="">
          <xdr:nvSpPr>
            <xdr:cNvPr id="14339" name="Check Box 3" hidden="1">
              <a:extLst>
                <a:ext uri="{63B3BB69-23CF-44E3-9099-C40C66FF867C}">
                  <a14:compatExt spid="_x0000_s14339"/>
                </a:ext>
                <a:ext uri="{FF2B5EF4-FFF2-40B4-BE49-F238E27FC236}">
                  <a16:creationId xmlns:a16="http://schemas.microsoft.com/office/drawing/2014/main" id="{00000000-0008-0000-0000-000003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525780</xdr:colOff>
          <xdr:row>13</xdr:row>
          <xdr:rowOff>0</xdr:rowOff>
        </xdr:from>
        <xdr:to>
          <xdr:col>9</xdr:col>
          <xdr:colOff>487680</xdr:colOff>
          <xdr:row>14</xdr:row>
          <xdr:rowOff>7620</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000-000004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251460</xdr:colOff>
          <xdr:row>15</xdr:row>
          <xdr:rowOff>7620</xdr:rowOff>
        </xdr:from>
        <xdr:to>
          <xdr:col>3</xdr:col>
          <xdr:colOff>106680</xdr:colOff>
          <xdr:row>16</xdr:row>
          <xdr:rowOff>7620</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000-000005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7620</xdr:rowOff>
        </xdr:from>
        <xdr:to>
          <xdr:col>13</xdr:col>
          <xdr:colOff>419100</xdr:colOff>
          <xdr:row>16</xdr:row>
          <xdr:rowOff>7620</xdr:rowOff>
        </xdr:to>
        <xdr:sp macro="" textlink="">
          <xdr:nvSpPr>
            <xdr:cNvPr id="14342" name="Check Box 6" hidden="1">
              <a:extLst>
                <a:ext uri="{63B3BB69-23CF-44E3-9099-C40C66FF867C}">
                  <a14:compatExt spid="_x0000_s14342"/>
                </a:ext>
                <a:ext uri="{FF2B5EF4-FFF2-40B4-BE49-F238E27FC236}">
                  <a16:creationId xmlns:a16="http://schemas.microsoft.com/office/drawing/2014/main" id="{00000000-0008-0000-0000-000006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251460</xdr:colOff>
          <xdr:row>16</xdr:row>
          <xdr:rowOff>7620</xdr:rowOff>
        </xdr:from>
        <xdr:to>
          <xdr:col>3</xdr:col>
          <xdr:colOff>106680</xdr:colOff>
          <xdr:row>17</xdr:row>
          <xdr:rowOff>0</xdr:rowOff>
        </xdr:to>
        <xdr:sp macro="" textlink="">
          <xdr:nvSpPr>
            <xdr:cNvPr id="14343" name="Check Box 7" hidden="1">
              <a:extLst>
                <a:ext uri="{63B3BB69-23CF-44E3-9099-C40C66FF867C}">
                  <a14:compatExt spid="_x0000_s14343"/>
                </a:ext>
                <a:ext uri="{FF2B5EF4-FFF2-40B4-BE49-F238E27FC236}">
                  <a16:creationId xmlns:a16="http://schemas.microsoft.com/office/drawing/2014/main" id="{00000000-0008-0000-0000-000007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251460</xdr:colOff>
          <xdr:row>16</xdr:row>
          <xdr:rowOff>0</xdr:rowOff>
        </xdr:from>
        <xdr:to>
          <xdr:col>5</xdr:col>
          <xdr:colOff>106680</xdr:colOff>
          <xdr:row>16</xdr:row>
          <xdr:rowOff>190500</xdr:rowOff>
        </xdr:to>
        <xdr:sp macro="" textlink="">
          <xdr:nvSpPr>
            <xdr:cNvPr id="14344" name="Check Box 8" hidden="1">
              <a:extLst>
                <a:ext uri="{63B3BB69-23CF-44E3-9099-C40C66FF867C}">
                  <a14:compatExt spid="_x0000_s14344"/>
                </a:ext>
                <a:ext uri="{FF2B5EF4-FFF2-40B4-BE49-F238E27FC236}">
                  <a16:creationId xmlns:a16="http://schemas.microsoft.com/office/drawing/2014/main" id="{00000000-0008-0000-0000-000008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200-000002000000}"/>
                </a:ext>
              </a:extLst>
            </xdr:cNvPr>
            <xdr:cNvGrpSpPr>
              <a:grpSpLocks/>
            </xdr:cNvGrpSpPr>
          </xdr:nvGrpSpPr>
          <xdr:grpSpPr bwMode="auto">
            <a:xfrm>
              <a:off x="5041392" y="2417445"/>
              <a:ext cx="962025" cy="400050"/>
              <a:chOff x="537" y="182"/>
              <a:chExt cx="101" cy="42"/>
            </a:xfrm>
          </xdr:grpSpPr>
          <xdr:sp macro="" textlink="">
            <xdr:nvSpPr>
              <xdr:cNvPr id="20481" name="Check Box 1" hidden="1">
                <a:extLst>
                  <a:ext uri="{63B3BB69-23CF-44E3-9099-C40C66FF867C}">
                    <a14:compatExt spid="_x0000_s20481"/>
                  </a:ext>
                  <a:ext uri="{FF2B5EF4-FFF2-40B4-BE49-F238E27FC236}">
                    <a16:creationId xmlns:a16="http://schemas.microsoft.com/office/drawing/2014/main" id="{00000000-0008-0000-0200-00000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 uri="{FF2B5EF4-FFF2-40B4-BE49-F238E27FC236}">
                    <a16:creationId xmlns:a16="http://schemas.microsoft.com/office/drawing/2014/main" id="{00000000-0008-0000-0200-00000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200-000006000000}"/>
                </a:ext>
              </a:extLst>
            </xdr:cNvPr>
            <xdr:cNvGrpSpPr>
              <a:grpSpLocks/>
            </xdr:cNvGrpSpPr>
          </xdr:nvGrpSpPr>
          <xdr:grpSpPr bwMode="auto">
            <a:xfrm>
              <a:off x="5041392" y="2838069"/>
              <a:ext cx="962025" cy="313563"/>
              <a:chOff x="537" y="182"/>
              <a:chExt cx="101" cy="42"/>
            </a:xfrm>
          </xdr:grpSpPr>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 uri="{FF2B5EF4-FFF2-40B4-BE49-F238E27FC236}">
                    <a16:creationId xmlns:a16="http://schemas.microsoft.com/office/drawing/2014/main" id="{00000000-0008-0000-0200-00000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 uri="{FF2B5EF4-FFF2-40B4-BE49-F238E27FC236}">
                    <a16:creationId xmlns:a16="http://schemas.microsoft.com/office/drawing/2014/main" id="{00000000-0008-0000-0200-00000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200-00000A000000}"/>
                </a:ext>
              </a:extLst>
            </xdr:cNvPr>
            <xdr:cNvGrpSpPr>
              <a:grpSpLocks/>
            </xdr:cNvGrpSpPr>
          </xdr:nvGrpSpPr>
          <xdr:grpSpPr bwMode="auto">
            <a:xfrm>
              <a:off x="5041392" y="3161157"/>
              <a:ext cx="962025" cy="417195"/>
              <a:chOff x="537" y="182"/>
              <a:chExt cx="101" cy="42"/>
            </a:xfrm>
          </xdr:grpSpPr>
          <xdr:sp macro="" textlink="">
            <xdr:nvSpPr>
              <xdr:cNvPr id="20487" name="Check Box 7" hidden="1">
                <a:extLst>
                  <a:ext uri="{63B3BB69-23CF-44E3-9099-C40C66FF867C}">
                    <a14:compatExt spid="_x0000_s20487"/>
                  </a:ext>
                  <a:ext uri="{FF2B5EF4-FFF2-40B4-BE49-F238E27FC236}">
                    <a16:creationId xmlns:a16="http://schemas.microsoft.com/office/drawing/2014/main" id="{00000000-0008-0000-0200-00000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 uri="{FF2B5EF4-FFF2-40B4-BE49-F238E27FC236}">
                    <a16:creationId xmlns:a16="http://schemas.microsoft.com/office/drawing/2014/main" id="{00000000-0008-0000-0200-00000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 uri="{FF2B5EF4-FFF2-40B4-BE49-F238E27FC236}">
                    <a16:creationId xmlns:a16="http://schemas.microsoft.com/office/drawing/2014/main" id="{00000000-0008-0000-0200-00000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200-00000E000000}"/>
                </a:ext>
              </a:extLst>
            </xdr:cNvPr>
            <xdr:cNvGrpSpPr>
              <a:grpSpLocks/>
            </xdr:cNvGrpSpPr>
          </xdr:nvGrpSpPr>
          <xdr:grpSpPr bwMode="auto">
            <a:xfrm>
              <a:off x="5041392" y="3587877"/>
              <a:ext cx="962025" cy="417195"/>
              <a:chOff x="537" y="182"/>
              <a:chExt cx="101" cy="42"/>
            </a:xfrm>
          </xdr:grpSpPr>
          <xdr:sp macro="" textlink="">
            <xdr:nvSpPr>
              <xdr:cNvPr id="20490" name="Check Box 10" hidden="1">
                <a:extLst>
                  <a:ext uri="{63B3BB69-23CF-44E3-9099-C40C66FF867C}">
                    <a14:compatExt spid="_x0000_s20490"/>
                  </a:ext>
                  <a:ext uri="{FF2B5EF4-FFF2-40B4-BE49-F238E27FC236}">
                    <a16:creationId xmlns:a16="http://schemas.microsoft.com/office/drawing/2014/main" id="{00000000-0008-0000-0200-00000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 uri="{FF2B5EF4-FFF2-40B4-BE49-F238E27FC236}">
                    <a16:creationId xmlns:a16="http://schemas.microsoft.com/office/drawing/2014/main" id="{00000000-0008-0000-0200-00000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 uri="{FF2B5EF4-FFF2-40B4-BE49-F238E27FC236}">
                    <a16:creationId xmlns:a16="http://schemas.microsoft.com/office/drawing/2014/main" id="{00000000-0008-0000-0200-00000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200-000012000000}"/>
                </a:ext>
              </a:extLst>
            </xdr:cNvPr>
            <xdr:cNvGrpSpPr>
              <a:grpSpLocks/>
            </xdr:cNvGrpSpPr>
          </xdr:nvGrpSpPr>
          <xdr:grpSpPr bwMode="auto">
            <a:xfrm>
              <a:off x="5041392" y="4014597"/>
              <a:ext cx="962025" cy="423291"/>
              <a:chOff x="537" y="182"/>
              <a:chExt cx="101" cy="42"/>
            </a:xfrm>
          </xdr:grpSpPr>
          <xdr:sp macro="" textlink="">
            <xdr:nvSpPr>
              <xdr:cNvPr id="20493" name="Check Box 13" hidden="1">
                <a:extLst>
                  <a:ext uri="{63B3BB69-23CF-44E3-9099-C40C66FF867C}">
                    <a14:compatExt spid="_x0000_s20493"/>
                  </a:ext>
                  <a:ext uri="{FF2B5EF4-FFF2-40B4-BE49-F238E27FC236}">
                    <a16:creationId xmlns:a16="http://schemas.microsoft.com/office/drawing/2014/main" id="{00000000-0008-0000-0200-00000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 uri="{FF2B5EF4-FFF2-40B4-BE49-F238E27FC236}">
                    <a16:creationId xmlns:a16="http://schemas.microsoft.com/office/drawing/2014/main" id="{00000000-0008-0000-0200-00000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 uri="{FF2B5EF4-FFF2-40B4-BE49-F238E27FC236}">
                    <a16:creationId xmlns:a16="http://schemas.microsoft.com/office/drawing/2014/main" id="{00000000-0008-0000-0200-00000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200-000016000000}"/>
                </a:ext>
              </a:extLst>
            </xdr:cNvPr>
            <xdr:cNvGrpSpPr>
              <a:grpSpLocks/>
            </xdr:cNvGrpSpPr>
          </xdr:nvGrpSpPr>
          <xdr:grpSpPr bwMode="auto">
            <a:xfrm>
              <a:off x="5041392" y="4456938"/>
              <a:ext cx="962025" cy="499110"/>
              <a:chOff x="537" y="182"/>
              <a:chExt cx="101" cy="42"/>
            </a:xfrm>
          </xdr:grpSpPr>
          <xdr:sp macro="" textlink="">
            <xdr:nvSpPr>
              <xdr:cNvPr id="20496" name="Check Box 16" hidden="1">
                <a:extLst>
                  <a:ext uri="{63B3BB69-23CF-44E3-9099-C40C66FF867C}">
                    <a14:compatExt spid="_x0000_s20496"/>
                  </a:ext>
                  <a:ext uri="{FF2B5EF4-FFF2-40B4-BE49-F238E27FC236}">
                    <a16:creationId xmlns:a16="http://schemas.microsoft.com/office/drawing/2014/main" id="{00000000-0008-0000-0200-00001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 uri="{FF2B5EF4-FFF2-40B4-BE49-F238E27FC236}">
                    <a16:creationId xmlns:a16="http://schemas.microsoft.com/office/drawing/2014/main" id="{00000000-0008-0000-0200-00001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 uri="{FF2B5EF4-FFF2-40B4-BE49-F238E27FC236}">
                    <a16:creationId xmlns:a16="http://schemas.microsoft.com/office/drawing/2014/main" id="{00000000-0008-0000-0200-00001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200-00001A000000}"/>
                </a:ext>
              </a:extLst>
            </xdr:cNvPr>
            <xdr:cNvGrpSpPr>
              <a:grpSpLocks/>
            </xdr:cNvGrpSpPr>
          </xdr:nvGrpSpPr>
          <xdr:grpSpPr bwMode="auto">
            <a:xfrm>
              <a:off x="5041392" y="4965573"/>
              <a:ext cx="962025" cy="685419"/>
              <a:chOff x="537" y="182"/>
              <a:chExt cx="101" cy="42"/>
            </a:xfrm>
          </xdr:grpSpPr>
          <xdr:sp macro="" textlink="">
            <xdr:nvSpPr>
              <xdr:cNvPr id="20499" name="Check Box 19" hidden="1">
                <a:extLst>
                  <a:ext uri="{63B3BB69-23CF-44E3-9099-C40C66FF867C}">
                    <a14:compatExt spid="_x0000_s20499"/>
                  </a:ext>
                  <a:ext uri="{FF2B5EF4-FFF2-40B4-BE49-F238E27FC236}">
                    <a16:creationId xmlns:a16="http://schemas.microsoft.com/office/drawing/2014/main" id="{00000000-0008-0000-0200-00001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 uri="{FF2B5EF4-FFF2-40B4-BE49-F238E27FC236}">
                    <a16:creationId xmlns:a16="http://schemas.microsoft.com/office/drawing/2014/main" id="{00000000-0008-0000-0200-00001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 uri="{FF2B5EF4-FFF2-40B4-BE49-F238E27FC236}">
                    <a16:creationId xmlns:a16="http://schemas.microsoft.com/office/drawing/2014/main" id="{00000000-0008-0000-0200-00001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200-00001E000000}"/>
                </a:ext>
              </a:extLst>
            </xdr:cNvPr>
            <xdr:cNvGrpSpPr>
              <a:grpSpLocks/>
            </xdr:cNvGrpSpPr>
          </xdr:nvGrpSpPr>
          <xdr:grpSpPr bwMode="auto">
            <a:xfrm>
              <a:off x="5041392" y="5650992"/>
              <a:ext cx="962025" cy="426720"/>
              <a:chOff x="537" y="182"/>
              <a:chExt cx="101" cy="42"/>
            </a:xfrm>
          </xdr:grpSpPr>
          <xdr:sp macro="" textlink="">
            <xdr:nvSpPr>
              <xdr:cNvPr id="20502" name="Check Box 22" hidden="1">
                <a:extLst>
                  <a:ext uri="{63B3BB69-23CF-44E3-9099-C40C66FF867C}">
                    <a14:compatExt spid="_x0000_s20502"/>
                  </a:ext>
                  <a:ext uri="{FF2B5EF4-FFF2-40B4-BE49-F238E27FC236}">
                    <a16:creationId xmlns:a16="http://schemas.microsoft.com/office/drawing/2014/main" id="{00000000-0008-0000-0200-00001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 uri="{FF2B5EF4-FFF2-40B4-BE49-F238E27FC236}">
                    <a16:creationId xmlns:a16="http://schemas.microsoft.com/office/drawing/2014/main" id="{00000000-0008-0000-0200-00001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 uri="{FF2B5EF4-FFF2-40B4-BE49-F238E27FC236}">
                    <a16:creationId xmlns:a16="http://schemas.microsoft.com/office/drawing/2014/main" id="{00000000-0008-0000-0200-00001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200-000022000000}"/>
                </a:ext>
              </a:extLst>
            </xdr:cNvPr>
            <xdr:cNvGrpSpPr>
              <a:grpSpLocks/>
            </xdr:cNvGrpSpPr>
          </xdr:nvGrpSpPr>
          <xdr:grpSpPr bwMode="auto">
            <a:xfrm>
              <a:off x="5041392" y="6077712"/>
              <a:ext cx="962025" cy="426720"/>
              <a:chOff x="537" y="182"/>
              <a:chExt cx="101" cy="42"/>
            </a:xfrm>
          </xdr:grpSpPr>
          <xdr:sp macro="" textlink="">
            <xdr:nvSpPr>
              <xdr:cNvPr id="20505" name="Check Box 25" hidden="1">
                <a:extLst>
                  <a:ext uri="{63B3BB69-23CF-44E3-9099-C40C66FF867C}">
                    <a14:compatExt spid="_x0000_s20505"/>
                  </a:ext>
                  <a:ext uri="{FF2B5EF4-FFF2-40B4-BE49-F238E27FC236}">
                    <a16:creationId xmlns:a16="http://schemas.microsoft.com/office/drawing/2014/main" id="{00000000-0008-0000-0200-00001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 uri="{FF2B5EF4-FFF2-40B4-BE49-F238E27FC236}">
                    <a16:creationId xmlns:a16="http://schemas.microsoft.com/office/drawing/2014/main" id="{00000000-0008-0000-0200-00001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 uri="{FF2B5EF4-FFF2-40B4-BE49-F238E27FC236}">
                    <a16:creationId xmlns:a16="http://schemas.microsoft.com/office/drawing/2014/main" id="{00000000-0008-0000-0200-00001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200-000026000000}"/>
                </a:ext>
              </a:extLst>
            </xdr:cNvPr>
            <xdr:cNvGrpSpPr>
              <a:grpSpLocks/>
            </xdr:cNvGrpSpPr>
          </xdr:nvGrpSpPr>
          <xdr:grpSpPr bwMode="auto">
            <a:xfrm>
              <a:off x="5041392" y="6504432"/>
              <a:ext cx="962025" cy="262128"/>
              <a:chOff x="537" y="182"/>
              <a:chExt cx="101" cy="42"/>
            </a:xfrm>
          </xdr:grpSpPr>
          <xdr:sp macro="" textlink="">
            <xdr:nvSpPr>
              <xdr:cNvPr id="20508" name="Check Box 28" hidden="1">
                <a:extLst>
                  <a:ext uri="{63B3BB69-23CF-44E3-9099-C40C66FF867C}">
                    <a14:compatExt spid="_x0000_s20508"/>
                  </a:ext>
                  <a:ext uri="{FF2B5EF4-FFF2-40B4-BE49-F238E27FC236}">
                    <a16:creationId xmlns:a16="http://schemas.microsoft.com/office/drawing/2014/main" id="{00000000-0008-0000-0200-00001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 uri="{FF2B5EF4-FFF2-40B4-BE49-F238E27FC236}">
                    <a16:creationId xmlns:a16="http://schemas.microsoft.com/office/drawing/2014/main" id="{00000000-0008-0000-0200-00001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 uri="{FF2B5EF4-FFF2-40B4-BE49-F238E27FC236}">
                    <a16:creationId xmlns:a16="http://schemas.microsoft.com/office/drawing/2014/main" id="{00000000-0008-0000-0200-00001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200-00002A000000}"/>
                </a:ext>
              </a:extLst>
            </xdr:cNvPr>
            <xdr:cNvGrpSpPr>
              <a:grpSpLocks/>
            </xdr:cNvGrpSpPr>
          </xdr:nvGrpSpPr>
          <xdr:grpSpPr bwMode="auto">
            <a:xfrm>
              <a:off x="5041392" y="6766560"/>
              <a:ext cx="962025" cy="426720"/>
              <a:chOff x="537" y="182"/>
              <a:chExt cx="101" cy="42"/>
            </a:xfrm>
          </xdr:grpSpPr>
          <xdr:sp macro="" textlink="">
            <xdr:nvSpPr>
              <xdr:cNvPr id="20511" name="Check Box 31" hidden="1">
                <a:extLst>
                  <a:ext uri="{63B3BB69-23CF-44E3-9099-C40C66FF867C}">
                    <a14:compatExt spid="_x0000_s20511"/>
                  </a:ext>
                  <a:ext uri="{FF2B5EF4-FFF2-40B4-BE49-F238E27FC236}">
                    <a16:creationId xmlns:a16="http://schemas.microsoft.com/office/drawing/2014/main" id="{00000000-0008-0000-0200-00001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 uri="{FF2B5EF4-FFF2-40B4-BE49-F238E27FC236}">
                    <a16:creationId xmlns:a16="http://schemas.microsoft.com/office/drawing/2014/main" id="{00000000-0008-0000-0200-00002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 uri="{FF2B5EF4-FFF2-40B4-BE49-F238E27FC236}">
                    <a16:creationId xmlns:a16="http://schemas.microsoft.com/office/drawing/2014/main" id="{00000000-0008-0000-0200-00002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200-00002E000000}"/>
                </a:ext>
              </a:extLst>
            </xdr:cNvPr>
            <xdr:cNvGrpSpPr>
              <a:grpSpLocks/>
            </xdr:cNvGrpSpPr>
          </xdr:nvGrpSpPr>
          <xdr:grpSpPr bwMode="auto">
            <a:xfrm>
              <a:off x="5041392" y="7193280"/>
              <a:ext cx="962025" cy="694944"/>
              <a:chOff x="537" y="182"/>
              <a:chExt cx="101" cy="42"/>
            </a:xfrm>
          </xdr:grpSpPr>
          <xdr:sp macro="" textlink="">
            <xdr:nvSpPr>
              <xdr:cNvPr id="20514" name="Check Box 34" hidden="1">
                <a:extLst>
                  <a:ext uri="{63B3BB69-23CF-44E3-9099-C40C66FF867C}">
                    <a14:compatExt spid="_x0000_s20514"/>
                  </a:ext>
                  <a:ext uri="{FF2B5EF4-FFF2-40B4-BE49-F238E27FC236}">
                    <a16:creationId xmlns:a16="http://schemas.microsoft.com/office/drawing/2014/main" id="{00000000-0008-0000-0200-00002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 uri="{FF2B5EF4-FFF2-40B4-BE49-F238E27FC236}">
                    <a16:creationId xmlns:a16="http://schemas.microsoft.com/office/drawing/2014/main" id="{00000000-0008-0000-0200-00002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 uri="{FF2B5EF4-FFF2-40B4-BE49-F238E27FC236}">
                    <a16:creationId xmlns:a16="http://schemas.microsoft.com/office/drawing/2014/main" id="{00000000-0008-0000-0200-00002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200-000032000000}"/>
                </a:ext>
              </a:extLst>
            </xdr:cNvPr>
            <xdr:cNvGrpSpPr>
              <a:grpSpLocks/>
            </xdr:cNvGrpSpPr>
          </xdr:nvGrpSpPr>
          <xdr:grpSpPr bwMode="auto">
            <a:xfrm>
              <a:off x="5041392" y="7897749"/>
              <a:ext cx="962025" cy="417195"/>
              <a:chOff x="537" y="182"/>
              <a:chExt cx="101" cy="42"/>
            </a:xfrm>
          </xdr:grpSpPr>
          <xdr:sp macro="" textlink="">
            <xdr:nvSpPr>
              <xdr:cNvPr id="20517" name="Check Box 37" hidden="1">
                <a:extLst>
                  <a:ext uri="{63B3BB69-23CF-44E3-9099-C40C66FF867C}">
                    <a14:compatExt spid="_x0000_s20517"/>
                  </a:ext>
                  <a:ext uri="{FF2B5EF4-FFF2-40B4-BE49-F238E27FC236}">
                    <a16:creationId xmlns:a16="http://schemas.microsoft.com/office/drawing/2014/main" id="{00000000-0008-0000-0200-00002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 uri="{FF2B5EF4-FFF2-40B4-BE49-F238E27FC236}">
                    <a16:creationId xmlns:a16="http://schemas.microsoft.com/office/drawing/2014/main" id="{00000000-0008-0000-0200-00002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 uri="{FF2B5EF4-FFF2-40B4-BE49-F238E27FC236}">
                    <a16:creationId xmlns:a16="http://schemas.microsoft.com/office/drawing/2014/main" id="{00000000-0008-0000-0200-00002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200-000036000000}"/>
                </a:ext>
              </a:extLst>
            </xdr:cNvPr>
            <xdr:cNvGrpSpPr>
              <a:grpSpLocks/>
            </xdr:cNvGrpSpPr>
          </xdr:nvGrpSpPr>
          <xdr:grpSpPr bwMode="auto">
            <a:xfrm>
              <a:off x="5041392" y="8314944"/>
              <a:ext cx="962025" cy="323088"/>
              <a:chOff x="537" y="182"/>
              <a:chExt cx="101" cy="42"/>
            </a:xfrm>
          </xdr:grpSpPr>
          <xdr:sp macro="" textlink="">
            <xdr:nvSpPr>
              <xdr:cNvPr id="20520" name="Check Box 40" hidden="1">
                <a:extLst>
                  <a:ext uri="{63B3BB69-23CF-44E3-9099-C40C66FF867C}">
                    <a14:compatExt spid="_x0000_s20520"/>
                  </a:ext>
                  <a:ext uri="{FF2B5EF4-FFF2-40B4-BE49-F238E27FC236}">
                    <a16:creationId xmlns:a16="http://schemas.microsoft.com/office/drawing/2014/main" id="{00000000-0008-0000-0200-00002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 uri="{FF2B5EF4-FFF2-40B4-BE49-F238E27FC236}">
                    <a16:creationId xmlns:a16="http://schemas.microsoft.com/office/drawing/2014/main" id="{00000000-0008-0000-0200-00002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 uri="{FF2B5EF4-FFF2-40B4-BE49-F238E27FC236}">
                    <a16:creationId xmlns:a16="http://schemas.microsoft.com/office/drawing/2014/main" id="{00000000-0008-0000-0200-00002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200-00003A000000}"/>
                </a:ext>
              </a:extLst>
            </xdr:cNvPr>
            <xdr:cNvGrpSpPr>
              <a:grpSpLocks/>
            </xdr:cNvGrpSpPr>
          </xdr:nvGrpSpPr>
          <xdr:grpSpPr bwMode="auto">
            <a:xfrm>
              <a:off x="5041392" y="8638032"/>
              <a:ext cx="962025" cy="390144"/>
              <a:chOff x="537" y="182"/>
              <a:chExt cx="101" cy="42"/>
            </a:xfrm>
          </xdr:grpSpPr>
          <xdr:sp macro="" textlink="">
            <xdr:nvSpPr>
              <xdr:cNvPr id="20523" name="Check Box 43" hidden="1">
                <a:extLst>
                  <a:ext uri="{63B3BB69-23CF-44E3-9099-C40C66FF867C}">
                    <a14:compatExt spid="_x0000_s20523"/>
                  </a:ext>
                  <a:ext uri="{FF2B5EF4-FFF2-40B4-BE49-F238E27FC236}">
                    <a16:creationId xmlns:a16="http://schemas.microsoft.com/office/drawing/2014/main" id="{00000000-0008-0000-0200-00002B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 uri="{FF2B5EF4-FFF2-40B4-BE49-F238E27FC236}">
                    <a16:creationId xmlns:a16="http://schemas.microsoft.com/office/drawing/2014/main" id="{00000000-0008-0000-0200-00002C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 uri="{FF2B5EF4-FFF2-40B4-BE49-F238E27FC236}">
                    <a16:creationId xmlns:a16="http://schemas.microsoft.com/office/drawing/2014/main" id="{00000000-0008-0000-0200-00002D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200-00003E000000}"/>
                </a:ext>
              </a:extLst>
            </xdr:cNvPr>
            <xdr:cNvGrpSpPr>
              <a:grpSpLocks/>
            </xdr:cNvGrpSpPr>
          </xdr:nvGrpSpPr>
          <xdr:grpSpPr bwMode="auto">
            <a:xfrm>
              <a:off x="5041392" y="9028176"/>
              <a:ext cx="962025" cy="579120"/>
              <a:chOff x="537" y="182"/>
              <a:chExt cx="101" cy="42"/>
            </a:xfrm>
          </xdr:grpSpPr>
          <xdr:sp macro="" textlink="">
            <xdr:nvSpPr>
              <xdr:cNvPr id="20526" name="Check Box 46" hidden="1">
                <a:extLst>
                  <a:ext uri="{63B3BB69-23CF-44E3-9099-C40C66FF867C}">
                    <a14:compatExt spid="_x0000_s20526"/>
                  </a:ext>
                  <a:ext uri="{FF2B5EF4-FFF2-40B4-BE49-F238E27FC236}">
                    <a16:creationId xmlns:a16="http://schemas.microsoft.com/office/drawing/2014/main" id="{00000000-0008-0000-0200-00002E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 uri="{FF2B5EF4-FFF2-40B4-BE49-F238E27FC236}">
                    <a16:creationId xmlns:a16="http://schemas.microsoft.com/office/drawing/2014/main" id="{00000000-0008-0000-0200-00002F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 uri="{FF2B5EF4-FFF2-40B4-BE49-F238E27FC236}">
                    <a16:creationId xmlns:a16="http://schemas.microsoft.com/office/drawing/2014/main" id="{00000000-0008-0000-0200-000030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200-000042000000}"/>
                </a:ext>
              </a:extLst>
            </xdr:cNvPr>
            <xdr:cNvGrpSpPr>
              <a:grpSpLocks/>
            </xdr:cNvGrpSpPr>
          </xdr:nvGrpSpPr>
          <xdr:grpSpPr bwMode="auto">
            <a:xfrm>
              <a:off x="5041392" y="9607296"/>
              <a:ext cx="962025" cy="585216"/>
              <a:chOff x="537" y="182"/>
              <a:chExt cx="101" cy="42"/>
            </a:xfrm>
          </xdr:grpSpPr>
          <xdr:sp macro="" textlink="">
            <xdr:nvSpPr>
              <xdr:cNvPr id="20529" name="Check Box 49" hidden="1">
                <a:extLst>
                  <a:ext uri="{63B3BB69-23CF-44E3-9099-C40C66FF867C}">
                    <a14:compatExt spid="_x0000_s20529"/>
                  </a:ext>
                  <a:ext uri="{FF2B5EF4-FFF2-40B4-BE49-F238E27FC236}">
                    <a16:creationId xmlns:a16="http://schemas.microsoft.com/office/drawing/2014/main" id="{00000000-0008-0000-0200-00003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 uri="{FF2B5EF4-FFF2-40B4-BE49-F238E27FC236}">
                    <a16:creationId xmlns:a16="http://schemas.microsoft.com/office/drawing/2014/main" id="{00000000-0008-0000-0200-00003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 uri="{FF2B5EF4-FFF2-40B4-BE49-F238E27FC236}">
                    <a16:creationId xmlns:a16="http://schemas.microsoft.com/office/drawing/2014/main" id="{00000000-0008-0000-0200-00003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200-000046000000}"/>
                </a:ext>
              </a:extLst>
            </xdr:cNvPr>
            <xdr:cNvGrpSpPr>
              <a:grpSpLocks/>
            </xdr:cNvGrpSpPr>
          </xdr:nvGrpSpPr>
          <xdr:grpSpPr bwMode="auto">
            <a:xfrm>
              <a:off x="5041392" y="10192512"/>
              <a:ext cx="962025" cy="262128"/>
              <a:chOff x="537" y="182"/>
              <a:chExt cx="101" cy="42"/>
            </a:xfrm>
          </xdr:grpSpPr>
          <xdr:sp macro="" textlink="">
            <xdr:nvSpPr>
              <xdr:cNvPr id="20532" name="Check Box 52" hidden="1">
                <a:extLst>
                  <a:ext uri="{63B3BB69-23CF-44E3-9099-C40C66FF867C}">
                    <a14:compatExt spid="_x0000_s20532"/>
                  </a:ext>
                  <a:ext uri="{FF2B5EF4-FFF2-40B4-BE49-F238E27FC236}">
                    <a16:creationId xmlns:a16="http://schemas.microsoft.com/office/drawing/2014/main" id="{00000000-0008-0000-0200-00003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 uri="{FF2B5EF4-FFF2-40B4-BE49-F238E27FC236}">
                    <a16:creationId xmlns:a16="http://schemas.microsoft.com/office/drawing/2014/main" id="{00000000-0008-0000-0200-00003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 uri="{FF2B5EF4-FFF2-40B4-BE49-F238E27FC236}">
                    <a16:creationId xmlns:a16="http://schemas.microsoft.com/office/drawing/2014/main" id="{00000000-0008-0000-0200-00003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200-00004A000000}"/>
                </a:ext>
              </a:extLst>
            </xdr:cNvPr>
            <xdr:cNvGrpSpPr>
              <a:grpSpLocks/>
            </xdr:cNvGrpSpPr>
          </xdr:nvGrpSpPr>
          <xdr:grpSpPr bwMode="auto">
            <a:xfrm>
              <a:off x="5041392" y="10454640"/>
              <a:ext cx="962025" cy="268224"/>
              <a:chOff x="537" y="182"/>
              <a:chExt cx="101" cy="42"/>
            </a:xfrm>
          </xdr:grpSpPr>
          <xdr:sp macro="" textlink="">
            <xdr:nvSpPr>
              <xdr:cNvPr id="20535" name="Check Box 55" hidden="1">
                <a:extLst>
                  <a:ext uri="{63B3BB69-23CF-44E3-9099-C40C66FF867C}">
                    <a14:compatExt spid="_x0000_s20535"/>
                  </a:ext>
                  <a:ext uri="{FF2B5EF4-FFF2-40B4-BE49-F238E27FC236}">
                    <a16:creationId xmlns:a16="http://schemas.microsoft.com/office/drawing/2014/main" id="{00000000-0008-0000-0200-00003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 uri="{FF2B5EF4-FFF2-40B4-BE49-F238E27FC236}">
                    <a16:creationId xmlns:a16="http://schemas.microsoft.com/office/drawing/2014/main" id="{00000000-0008-0000-0200-00003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 uri="{FF2B5EF4-FFF2-40B4-BE49-F238E27FC236}">
                    <a16:creationId xmlns:a16="http://schemas.microsoft.com/office/drawing/2014/main" id="{00000000-0008-0000-0200-00003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200-00004E000000}"/>
                </a:ext>
              </a:extLst>
            </xdr:cNvPr>
            <xdr:cNvGrpSpPr>
              <a:grpSpLocks/>
            </xdr:cNvGrpSpPr>
          </xdr:nvGrpSpPr>
          <xdr:grpSpPr bwMode="auto">
            <a:xfrm>
              <a:off x="5041392" y="10722864"/>
              <a:ext cx="962025" cy="262128"/>
              <a:chOff x="537" y="182"/>
              <a:chExt cx="101" cy="42"/>
            </a:xfrm>
          </xdr:grpSpPr>
          <xdr:sp macro="" textlink="">
            <xdr:nvSpPr>
              <xdr:cNvPr id="20538" name="Check Box 58" hidden="1">
                <a:extLst>
                  <a:ext uri="{63B3BB69-23CF-44E3-9099-C40C66FF867C}">
                    <a14:compatExt spid="_x0000_s20538"/>
                  </a:ext>
                  <a:ext uri="{FF2B5EF4-FFF2-40B4-BE49-F238E27FC236}">
                    <a16:creationId xmlns:a16="http://schemas.microsoft.com/office/drawing/2014/main" id="{00000000-0008-0000-0200-00003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 uri="{FF2B5EF4-FFF2-40B4-BE49-F238E27FC236}">
                    <a16:creationId xmlns:a16="http://schemas.microsoft.com/office/drawing/2014/main" id="{00000000-0008-0000-0200-00003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 uri="{FF2B5EF4-FFF2-40B4-BE49-F238E27FC236}">
                    <a16:creationId xmlns:a16="http://schemas.microsoft.com/office/drawing/2014/main" id="{00000000-0008-0000-0200-00003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200-000052000000}"/>
                </a:ext>
              </a:extLst>
            </xdr:cNvPr>
            <xdr:cNvGrpSpPr>
              <a:grpSpLocks/>
            </xdr:cNvGrpSpPr>
          </xdr:nvGrpSpPr>
          <xdr:grpSpPr bwMode="auto">
            <a:xfrm>
              <a:off x="5041392" y="10984992"/>
              <a:ext cx="962025" cy="694944"/>
              <a:chOff x="537" y="182"/>
              <a:chExt cx="101" cy="42"/>
            </a:xfrm>
          </xdr:grpSpPr>
          <xdr:sp macro="" textlink="">
            <xdr:nvSpPr>
              <xdr:cNvPr id="20541" name="Check Box 61" hidden="1">
                <a:extLst>
                  <a:ext uri="{63B3BB69-23CF-44E3-9099-C40C66FF867C}">
                    <a14:compatExt spid="_x0000_s20541"/>
                  </a:ext>
                  <a:ext uri="{FF2B5EF4-FFF2-40B4-BE49-F238E27FC236}">
                    <a16:creationId xmlns:a16="http://schemas.microsoft.com/office/drawing/2014/main" id="{00000000-0008-0000-0200-00003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 uri="{FF2B5EF4-FFF2-40B4-BE49-F238E27FC236}">
                    <a16:creationId xmlns:a16="http://schemas.microsoft.com/office/drawing/2014/main" id="{00000000-0008-0000-0200-00003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 uri="{FF2B5EF4-FFF2-40B4-BE49-F238E27FC236}">
                    <a16:creationId xmlns:a16="http://schemas.microsoft.com/office/drawing/2014/main" id="{00000000-0008-0000-0200-00003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200-000056000000}"/>
                </a:ext>
              </a:extLst>
            </xdr:cNvPr>
            <xdr:cNvGrpSpPr>
              <a:grpSpLocks/>
            </xdr:cNvGrpSpPr>
          </xdr:nvGrpSpPr>
          <xdr:grpSpPr bwMode="auto">
            <a:xfrm>
              <a:off x="5041392" y="11679936"/>
              <a:ext cx="962025" cy="396240"/>
              <a:chOff x="537" y="182"/>
              <a:chExt cx="101" cy="42"/>
            </a:xfrm>
          </xdr:grpSpPr>
          <xdr:sp macro="" textlink="">
            <xdr:nvSpPr>
              <xdr:cNvPr id="20544" name="Check Box 64" hidden="1">
                <a:extLst>
                  <a:ext uri="{63B3BB69-23CF-44E3-9099-C40C66FF867C}">
                    <a14:compatExt spid="_x0000_s20544"/>
                  </a:ext>
                  <a:ext uri="{FF2B5EF4-FFF2-40B4-BE49-F238E27FC236}">
                    <a16:creationId xmlns:a16="http://schemas.microsoft.com/office/drawing/2014/main" id="{00000000-0008-0000-0200-00004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 uri="{FF2B5EF4-FFF2-40B4-BE49-F238E27FC236}">
                    <a16:creationId xmlns:a16="http://schemas.microsoft.com/office/drawing/2014/main" id="{00000000-0008-0000-0200-00004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 uri="{FF2B5EF4-FFF2-40B4-BE49-F238E27FC236}">
                    <a16:creationId xmlns:a16="http://schemas.microsoft.com/office/drawing/2014/main" id="{00000000-0008-0000-0200-00004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200-00005A000000}"/>
                </a:ext>
              </a:extLst>
            </xdr:cNvPr>
            <xdr:cNvGrpSpPr>
              <a:grpSpLocks/>
            </xdr:cNvGrpSpPr>
          </xdr:nvGrpSpPr>
          <xdr:grpSpPr bwMode="auto">
            <a:xfrm>
              <a:off x="5041392" y="12076176"/>
              <a:ext cx="962025" cy="585216"/>
              <a:chOff x="537" y="182"/>
              <a:chExt cx="101" cy="42"/>
            </a:xfrm>
          </xdr:grpSpPr>
          <xdr:sp macro="" textlink="">
            <xdr:nvSpPr>
              <xdr:cNvPr id="20547" name="Check Box 67" hidden="1">
                <a:extLst>
                  <a:ext uri="{63B3BB69-23CF-44E3-9099-C40C66FF867C}">
                    <a14:compatExt spid="_x0000_s20547"/>
                  </a:ext>
                  <a:ext uri="{FF2B5EF4-FFF2-40B4-BE49-F238E27FC236}">
                    <a16:creationId xmlns:a16="http://schemas.microsoft.com/office/drawing/2014/main" id="{00000000-0008-0000-0200-00004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 uri="{FF2B5EF4-FFF2-40B4-BE49-F238E27FC236}">
                    <a16:creationId xmlns:a16="http://schemas.microsoft.com/office/drawing/2014/main" id="{00000000-0008-0000-0200-00004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 uri="{FF2B5EF4-FFF2-40B4-BE49-F238E27FC236}">
                    <a16:creationId xmlns:a16="http://schemas.microsoft.com/office/drawing/2014/main" id="{00000000-0008-0000-0200-00004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200-00005E000000}"/>
                </a:ext>
              </a:extLst>
            </xdr:cNvPr>
            <xdr:cNvGrpSpPr>
              <a:grpSpLocks/>
            </xdr:cNvGrpSpPr>
          </xdr:nvGrpSpPr>
          <xdr:grpSpPr bwMode="auto">
            <a:xfrm>
              <a:off x="5041392" y="12661392"/>
              <a:ext cx="962025" cy="847344"/>
              <a:chOff x="537" y="182"/>
              <a:chExt cx="101" cy="42"/>
            </a:xfrm>
          </xdr:grpSpPr>
          <xdr:sp macro="" textlink="">
            <xdr:nvSpPr>
              <xdr:cNvPr id="20550" name="Check Box 70" hidden="1">
                <a:extLst>
                  <a:ext uri="{63B3BB69-23CF-44E3-9099-C40C66FF867C}">
                    <a14:compatExt spid="_x0000_s20550"/>
                  </a:ext>
                  <a:ext uri="{FF2B5EF4-FFF2-40B4-BE49-F238E27FC236}">
                    <a16:creationId xmlns:a16="http://schemas.microsoft.com/office/drawing/2014/main" id="{00000000-0008-0000-0200-00004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 uri="{FF2B5EF4-FFF2-40B4-BE49-F238E27FC236}">
                    <a16:creationId xmlns:a16="http://schemas.microsoft.com/office/drawing/2014/main" id="{00000000-0008-0000-0200-00004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 uri="{FF2B5EF4-FFF2-40B4-BE49-F238E27FC236}">
                    <a16:creationId xmlns:a16="http://schemas.microsoft.com/office/drawing/2014/main" id="{00000000-0008-0000-0200-00004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200-000062000000}"/>
                </a:ext>
              </a:extLst>
            </xdr:cNvPr>
            <xdr:cNvGrpSpPr>
              <a:grpSpLocks/>
            </xdr:cNvGrpSpPr>
          </xdr:nvGrpSpPr>
          <xdr:grpSpPr bwMode="auto">
            <a:xfrm>
              <a:off x="5041392" y="13508736"/>
              <a:ext cx="962025" cy="268224"/>
              <a:chOff x="537" y="182"/>
              <a:chExt cx="101" cy="42"/>
            </a:xfrm>
          </xdr:grpSpPr>
          <xdr:sp macro="" textlink="">
            <xdr:nvSpPr>
              <xdr:cNvPr id="20553" name="Check Box 73" hidden="1">
                <a:extLst>
                  <a:ext uri="{63B3BB69-23CF-44E3-9099-C40C66FF867C}">
                    <a14:compatExt spid="_x0000_s20553"/>
                  </a:ext>
                  <a:ext uri="{FF2B5EF4-FFF2-40B4-BE49-F238E27FC236}">
                    <a16:creationId xmlns:a16="http://schemas.microsoft.com/office/drawing/2014/main" id="{00000000-0008-0000-0200-00004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 uri="{FF2B5EF4-FFF2-40B4-BE49-F238E27FC236}">
                    <a16:creationId xmlns:a16="http://schemas.microsoft.com/office/drawing/2014/main" id="{00000000-0008-0000-0200-00004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 uri="{FF2B5EF4-FFF2-40B4-BE49-F238E27FC236}">
                    <a16:creationId xmlns:a16="http://schemas.microsoft.com/office/drawing/2014/main" id="{00000000-0008-0000-0200-00004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200-000066000000}"/>
                </a:ext>
              </a:extLst>
            </xdr:cNvPr>
            <xdr:cNvGrpSpPr>
              <a:grpSpLocks/>
            </xdr:cNvGrpSpPr>
          </xdr:nvGrpSpPr>
          <xdr:grpSpPr bwMode="auto">
            <a:xfrm>
              <a:off x="5041392" y="13776960"/>
              <a:ext cx="962025" cy="426720"/>
              <a:chOff x="537" y="182"/>
              <a:chExt cx="101" cy="42"/>
            </a:xfrm>
          </xdr:grpSpPr>
          <xdr:sp macro="" textlink="">
            <xdr:nvSpPr>
              <xdr:cNvPr id="20556" name="Check Box 76" hidden="1">
                <a:extLst>
                  <a:ext uri="{63B3BB69-23CF-44E3-9099-C40C66FF867C}">
                    <a14:compatExt spid="_x0000_s20556"/>
                  </a:ext>
                  <a:ext uri="{FF2B5EF4-FFF2-40B4-BE49-F238E27FC236}">
                    <a16:creationId xmlns:a16="http://schemas.microsoft.com/office/drawing/2014/main" id="{00000000-0008-0000-0200-00004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 uri="{FF2B5EF4-FFF2-40B4-BE49-F238E27FC236}">
                    <a16:creationId xmlns:a16="http://schemas.microsoft.com/office/drawing/2014/main" id="{00000000-0008-0000-0200-00004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 uri="{FF2B5EF4-FFF2-40B4-BE49-F238E27FC236}">
                    <a16:creationId xmlns:a16="http://schemas.microsoft.com/office/drawing/2014/main" id="{00000000-0008-0000-0200-00004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200-00006A000000}"/>
                </a:ext>
              </a:extLst>
            </xdr:cNvPr>
            <xdr:cNvGrpSpPr>
              <a:grpSpLocks/>
            </xdr:cNvGrpSpPr>
          </xdr:nvGrpSpPr>
          <xdr:grpSpPr bwMode="auto">
            <a:xfrm>
              <a:off x="5041392" y="14203680"/>
              <a:ext cx="962025" cy="694944"/>
              <a:chOff x="537" y="182"/>
              <a:chExt cx="101" cy="42"/>
            </a:xfrm>
          </xdr:grpSpPr>
          <xdr:sp macro="" textlink="">
            <xdr:nvSpPr>
              <xdr:cNvPr id="20559" name="Check Box 79" hidden="1">
                <a:extLst>
                  <a:ext uri="{63B3BB69-23CF-44E3-9099-C40C66FF867C}">
                    <a14:compatExt spid="_x0000_s20559"/>
                  </a:ext>
                  <a:ext uri="{FF2B5EF4-FFF2-40B4-BE49-F238E27FC236}">
                    <a16:creationId xmlns:a16="http://schemas.microsoft.com/office/drawing/2014/main" id="{00000000-0008-0000-0200-00004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 uri="{FF2B5EF4-FFF2-40B4-BE49-F238E27FC236}">
                    <a16:creationId xmlns:a16="http://schemas.microsoft.com/office/drawing/2014/main" id="{00000000-0008-0000-0200-00005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 uri="{FF2B5EF4-FFF2-40B4-BE49-F238E27FC236}">
                    <a16:creationId xmlns:a16="http://schemas.microsoft.com/office/drawing/2014/main" id="{00000000-0008-0000-0200-00005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200-00006E000000}"/>
                </a:ext>
              </a:extLst>
            </xdr:cNvPr>
            <xdr:cNvGrpSpPr>
              <a:grpSpLocks/>
            </xdr:cNvGrpSpPr>
          </xdr:nvGrpSpPr>
          <xdr:grpSpPr bwMode="auto">
            <a:xfrm>
              <a:off x="5041392" y="14898624"/>
              <a:ext cx="962025" cy="524256"/>
              <a:chOff x="537" y="182"/>
              <a:chExt cx="101" cy="42"/>
            </a:xfrm>
          </xdr:grpSpPr>
          <xdr:sp macro="" textlink="">
            <xdr:nvSpPr>
              <xdr:cNvPr id="20562" name="Check Box 82" hidden="1">
                <a:extLst>
                  <a:ext uri="{63B3BB69-23CF-44E3-9099-C40C66FF867C}">
                    <a14:compatExt spid="_x0000_s20562"/>
                  </a:ext>
                  <a:ext uri="{FF2B5EF4-FFF2-40B4-BE49-F238E27FC236}">
                    <a16:creationId xmlns:a16="http://schemas.microsoft.com/office/drawing/2014/main" id="{00000000-0008-0000-0200-00005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 uri="{FF2B5EF4-FFF2-40B4-BE49-F238E27FC236}">
                    <a16:creationId xmlns:a16="http://schemas.microsoft.com/office/drawing/2014/main" id="{00000000-0008-0000-0200-00005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 uri="{FF2B5EF4-FFF2-40B4-BE49-F238E27FC236}">
                    <a16:creationId xmlns:a16="http://schemas.microsoft.com/office/drawing/2014/main" id="{00000000-0008-0000-0200-00005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200-000072000000}"/>
                </a:ext>
              </a:extLst>
            </xdr:cNvPr>
            <xdr:cNvGrpSpPr>
              <a:grpSpLocks/>
            </xdr:cNvGrpSpPr>
          </xdr:nvGrpSpPr>
          <xdr:grpSpPr bwMode="auto">
            <a:xfrm>
              <a:off x="5041392" y="15422880"/>
              <a:ext cx="962025" cy="585216"/>
              <a:chOff x="537" y="182"/>
              <a:chExt cx="101" cy="42"/>
            </a:xfrm>
          </xdr:grpSpPr>
          <xdr:sp macro="" textlink="">
            <xdr:nvSpPr>
              <xdr:cNvPr id="20565" name="Check Box 85" hidden="1">
                <a:extLst>
                  <a:ext uri="{63B3BB69-23CF-44E3-9099-C40C66FF867C}">
                    <a14:compatExt spid="_x0000_s20565"/>
                  </a:ext>
                  <a:ext uri="{FF2B5EF4-FFF2-40B4-BE49-F238E27FC236}">
                    <a16:creationId xmlns:a16="http://schemas.microsoft.com/office/drawing/2014/main" id="{00000000-0008-0000-0200-00005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 uri="{FF2B5EF4-FFF2-40B4-BE49-F238E27FC236}">
                    <a16:creationId xmlns:a16="http://schemas.microsoft.com/office/drawing/2014/main" id="{00000000-0008-0000-0200-00005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 uri="{FF2B5EF4-FFF2-40B4-BE49-F238E27FC236}">
                    <a16:creationId xmlns:a16="http://schemas.microsoft.com/office/drawing/2014/main" id="{00000000-0008-0000-0200-00005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200-000076000000}"/>
                </a:ext>
              </a:extLst>
            </xdr:cNvPr>
            <xdr:cNvGrpSpPr>
              <a:grpSpLocks/>
            </xdr:cNvGrpSpPr>
          </xdr:nvGrpSpPr>
          <xdr:grpSpPr bwMode="auto">
            <a:xfrm>
              <a:off x="5041392" y="16008096"/>
              <a:ext cx="962025" cy="585216"/>
              <a:chOff x="537" y="182"/>
              <a:chExt cx="101" cy="42"/>
            </a:xfrm>
          </xdr:grpSpPr>
          <xdr:sp macro="" textlink="">
            <xdr:nvSpPr>
              <xdr:cNvPr id="20568" name="Check Box 88" hidden="1">
                <a:extLst>
                  <a:ext uri="{63B3BB69-23CF-44E3-9099-C40C66FF867C}">
                    <a14:compatExt spid="_x0000_s20568"/>
                  </a:ext>
                  <a:ext uri="{FF2B5EF4-FFF2-40B4-BE49-F238E27FC236}">
                    <a16:creationId xmlns:a16="http://schemas.microsoft.com/office/drawing/2014/main" id="{00000000-0008-0000-0200-00005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 uri="{FF2B5EF4-FFF2-40B4-BE49-F238E27FC236}">
                    <a16:creationId xmlns:a16="http://schemas.microsoft.com/office/drawing/2014/main" id="{00000000-0008-0000-0200-00005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 uri="{FF2B5EF4-FFF2-40B4-BE49-F238E27FC236}">
                    <a16:creationId xmlns:a16="http://schemas.microsoft.com/office/drawing/2014/main" id="{00000000-0008-0000-0200-00005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8.xml"/><Relationship Id="rId18" Type="http://schemas.openxmlformats.org/officeDocument/2006/relationships/ctrlProp" Target="../ctrlProps/ctrlProp23.xml"/><Relationship Id="rId26" Type="http://schemas.openxmlformats.org/officeDocument/2006/relationships/ctrlProp" Target="../ctrlProps/ctrlProp31.xml"/><Relationship Id="rId39" Type="http://schemas.openxmlformats.org/officeDocument/2006/relationships/ctrlProp" Target="../ctrlProps/ctrlProp44.xml"/><Relationship Id="rId21" Type="http://schemas.openxmlformats.org/officeDocument/2006/relationships/ctrlProp" Target="../ctrlProps/ctrlProp26.xml"/><Relationship Id="rId34" Type="http://schemas.openxmlformats.org/officeDocument/2006/relationships/ctrlProp" Target="../ctrlProps/ctrlProp39.xml"/><Relationship Id="rId42" Type="http://schemas.openxmlformats.org/officeDocument/2006/relationships/ctrlProp" Target="../ctrlProps/ctrlProp47.xml"/><Relationship Id="rId47" Type="http://schemas.openxmlformats.org/officeDocument/2006/relationships/ctrlProp" Target="../ctrlProps/ctrlProp52.xml"/><Relationship Id="rId50" Type="http://schemas.openxmlformats.org/officeDocument/2006/relationships/ctrlProp" Target="../ctrlProps/ctrlProp55.xml"/><Relationship Id="rId55" Type="http://schemas.openxmlformats.org/officeDocument/2006/relationships/ctrlProp" Target="../ctrlProps/ctrlProp60.xml"/><Relationship Id="rId63" Type="http://schemas.openxmlformats.org/officeDocument/2006/relationships/ctrlProp" Target="../ctrlProps/ctrlProp68.xml"/><Relationship Id="rId68" Type="http://schemas.openxmlformats.org/officeDocument/2006/relationships/ctrlProp" Target="../ctrlProps/ctrlProp73.xml"/><Relationship Id="rId76" Type="http://schemas.openxmlformats.org/officeDocument/2006/relationships/ctrlProp" Target="../ctrlProps/ctrlProp81.xml"/><Relationship Id="rId84" Type="http://schemas.openxmlformats.org/officeDocument/2006/relationships/ctrlProp" Target="../ctrlProps/ctrlProp89.xml"/><Relationship Id="rId89" Type="http://schemas.openxmlformats.org/officeDocument/2006/relationships/ctrlProp" Target="../ctrlProps/ctrlProp94.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16" Type="http://schemas.openxmlformats.org/officeDocument/2006/relationships/ctrlProp" Target="../ctrlProps/ctrlProp21.xml"/><Relationship Id="rId29" Type="http://schemas.openxmlformats.org/officeDocument/2006/relationships/ctrlProp" Target="../ctrlProps/ctrlProp34.xml"/><Relationship Id="rId11" Type="http://schemas.openxmlformats.org/officeDocument/2006/relationships/ctrlProp" Target="../ctrlProps/ctrlProp16.xml"/><Relationship Id="rId24" Type="http://schemas.openxmlformats.org/officeDocument/2006/relationships/ctrlProp" Target="../ctrlProps/ctrlProp29.xml"/><Relationship Id="rId32" Type="http://schemas.openxmlformats.org/officeDocument/2006/relationships/ctrlProp" Target="../ctrlProps/ctrlProp37.xml"/><Relationship Id="rId37" Type="http://schemas.openxmlformats.org/officeDocument/2006/relationships/ctrlProp" Target="../ctrlProps/ctrlProp42.xml"/><Relationship Id="rId40" Type="http://schemas.openxmlformats.org/officeDocument/2006/relationships/ctrlProp" Target="../ctrlProps/ctrlProp45.xml"/><Relationship Id="rId45" Type="http://schemas.openxmlformats.org/officeDocument/2006/relationships/ctrlProp" Target="../ctrlProps/ctrlProp50.xml"/><Relationship Id="rId53" Type="http://schemas.openxmlformats.org/officeDocument/2006/relationships/ctrlProp" Target="../ctrlProps/ctrlProp58.xml"/><Relationship Id="rId58" Type="http://schemas.openxmlformats.org/officeDocument/2006/relationships/ctrlProp" Target="../ctrlProps/ctrlProp63.xml"/><Relationship Id="rId66" Type="http://schemas.openxmlformats.org/officeDocument/2006/relationships/ctrlProp" Target="../ctrlProps/ctrlProp71.xml"/><Relationship Id="rId74" Type="http://schemas.openxmlformats.org/officeDocument/2006/relationships/ctrlProp" Target="../ctrlProps/ctrlProp79.xml"/><Relationship Id="rId79" Type="http://schemas.openxmlformats.org/officeDocument/2006/relationships/ctrlProp" Target="../ctrlProps/ctrlProp84.xml"/><Relationship Id="rId87" Type="http://schemas.openxmlformats.org/officeDocument/2006/relationships/ctrlProp" Target="../ctrlProps/ctrlProp92.xml"/><Relationship Id="rId5" Type="http://schemas.openxmlformats.org/officeDocument/2006/relationships/ctrlProp" Target="../ctrlProps/ctrlProp10.xml"/><Relationship Id="rId61" Type="http://schemas.openxmlformats.org/officeDocument/2006/relationships/ctrlProp" Target="../ctrlProps/ctrlProp66.xml"/><Relationship Id="rId82" Type="http://schemas.openxmlformats.org/officeDocument/2006/relationships/ctrlProp" Target="../ctrlProps/ctrlProp87.xml"/><Relationship Id="rId90" Type="http://schemas.openxmlformats.org/officeDocument/2006/relationships/ctrlProp" Target="../ctrlProps/ctrlProp95.xml"/><Relationship Id="rId19" Type="http://schemas.openxmlformats.org/officeDocument/2006/relationships/ctrlProp" Target="../ctrlProps/ctrlProp24.xml"/><Relationship Id="rId14" Type="http://schemas.openxmlformats.org/officeDocument/2006/relationships/ctrlProp" Target="../ctrlProps/ctrlProp19.xml"/><Relationship Id="rId22" Type="http://schemas.openxmlformats.org/officeDocument/2006/relationships/ctrlProp" Target="../ctrlProps/ctrlProp27.xml"/><Relationship Id="rId27" Type="http://schemas.openxmlformats.org/officeDocument/2006/relationships/ctrlProp" Target="../ctrlProps/ctrlProp32.xml"/><Relationship Id="rId30" Type="http://schemas.openxmlformats.org/officeDocument/2006/relationships/ctrlProp" Target="../ctrlProps/ctrlProp35.xml"/><Relationship Id="rId35" Type="http://schemas.openxmlformats.org/officeDocument/2006/relationships/ctrlProp" Target="../ctrlProps/ctrlProp40.xml"/><Relationship Id="rId43" Type="http://schemas.openxmlformats.org/officeDocument/2006/relationships/ctrlProp" Target="../ctrlProps/ctrlProp48.xml"/><Relationship Id="rId48" Type="http://schemas.openxmlformats.org/officeDocument/2006/relationships/ctrlProp" Target="../ctrlProps/ctrlProp53.xml"/><Relationship Id="rId56" Type="http://schemas.openxmlformats.org/officeDocument/2006/relationships/ctrlProp" Target="../ctrlProps/ctrlProp61.xml"/><Relationship Id="rId64" Type="http://schemas.openxmlformats.org/officeDocument/2006/relationships/ctrlProp" Target="../ctrlProps/ctrlProp69.xml"/><Relationship Id="rId69" Type="http://schemas.openxmlformats.org/officeDocument/2006/relationships/ctrlProp" Target="../ctrlProps/ctrlProp74.xml"/><Relationship Id="rId77" Type="http://schemas.openxmlformats.org/officeDocument/2006/relationships/ctrlProp" Target="../ctrlProps/ctrlProp82.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2"/>
  <sheetViews>
    <sheetView showGridLines="0" zoomScaleNormal="100" workbookViewId="0">
      <selection activeCell="L7" sqref="L7:N7"/>
    </sheetView>
  </sheetViews>
  <sheetFormatPr defaultColWidth="9" defaultRowHeight="13.2"/>
  <cols>
    <col min="1" max="1" width="5" style="489" customWidth="1"/>
    <col min="2" max="2" width="5.3984375" style="489" customWidth="1"/>
    <col min="3" max="3" width="5.8984375" style="489" customWidth="1"/>
    <col min="4" max="4" width="7.3984375" style="489" customWidth="1"/>
    <col min="5" max="5" width="5.8984375" style="489" customWidth="1"/>
    <col min="6" max="7" width="7.3984375" style="489" customWidth="1"/>
    <col min="8" max="10" width="7.59765625" style="489" customWidth="1"/>
    <col min="11" max="12" width="8.3984375" style="489" customWidth="1"/>
    <col min="13" max="13" width="6.59765625" style="489" customWidth="1"/>
    <col min="14" max="14" width="15.09765625" style="489" customWidth="1"/>
    <col min="15" max="16384" width="9" style="489"/>
  </cols>
  <sheetData>
    <row r="1" spans="1:14" ht="24.6">
      <c r="A1" s="897" t="s">
        <v>369</v>
      </c>
      <c r="B1" s="897"/>
      <c r="C1" s="897"/>
      <c r="D1" s="897"/>
      <c r="E1" s="897"/>
      <c r="F1" s="897"/>
      <c r="G1" s="897"/>
      <c r="H1" s="897"/>
      <c r="I1" s="897"/>
      <c r="J1" s="897"/>
      <c r="K1" s="897"/>
      <c r="L1" s="897"/>
      <c r="M1" s="897"/>
      <c r="N1" s="897"/>
    </row>
    <row r="2" spans="1:14" ht="24.6">
      <c r="A2" s="897" t="s">
        <v>370</v>
      </c>
      <c r="B2" s="897"/>
      <c r="C2" s="897"/>
      <c r="D2" s="897"/>
      <c r="E2" s="897"/>
      <c r="F2" s="897"/>
      <c r="G2" s="897"/>
      <c r="H2" s="897"/>
      <c r="I2" s="897"/>
      <c r="J2" s="897"/>
      <c r="K2" s="897"/>
      <c r="L2" s="897"/>
      <c r="M2" s="897"/>
      <c r="N2" s="897"/>
    </row>
    <row r="3" spans="1:14" ht="16.5" customHeight="1">
      <c r="A3" s="797"/>
      <c r="B3" s="797"/>
      <c r="C3" s="797"/>
      <c r="D3" s="797"/>
      <c r="E3" s="797"/>
      <c r="F3" s="797"/>
      <c r="G3" s="797"/>
      <c r="H3" s="797"/>
      <c r="I3" s="797"/>
      <c r="J3" s="797"/>
      <c r="K3" s="797"/>
      <c r="L3" s="797"/>
      <c r="M3" s="797"/>
      <c r="N3" s="797"/>
    </row>
    <row r="4" spans="1:14" ht="16.5" customHeight="1">
      <c r="A4" s="798" t="s">
        <v>371</v>
      </c>
      <c r="B4" s="798"/>
      <c r="C4" s="885"/>
      <c r="D4" s="886"/>
      <c r="E4" s="886"/>
      <c r="F4" s="886"/>
      <c r="G4" s="886"/>
      <c r="H4" s="887"/>
      <c r="J4" s="799"/>
      <c r="K4" s="800" t="s">
        <v>372</v>
      </c>
      <c r="L4" s="898"/>
      <c r="M4" s="899"/>
      <c r="N4" s="900"/>
    </row>
    <row r="5" spans="1:14" ht="16.5" customHeight="1">
      <c r="A5" s="798" t="s">
        <v>373</v>
      </c>
      <c r="B5" s="798"/>
      <c r="C5" s="885"/>
      <c r="D5" s="886"/>
      <c r="E5" s="886"/>
      <c r="F5" s="886"/>
      <c r="G5" s="886"/>
      <c r="H5" s="887"/>
      <c r="J5" s="799"/>
      <c r="K5" s="800" t="s">
        <v>374</v>
      </c>
      <c r="L5" s="898">
        <f>Sheet1!P7</f>
        <v>0</v>
      </c>
      <c r="M5" s="899"/>
      <c r="N5" s="900"/>
    </row>
    <row r="6" spans="1:14" ht="16.5" customHeight="1">
      <c r="A6" s="798" t="s">
        <v>375</v>
      </c>
      <c r="B6" s="798"/>
      <c r="C6" s="798"/>
      <c r="D6" s="798"/>
      <c r="E6" s="884" t="s">
        <v>12</v>
      </c>
      <c r="F6" s="884"/>
      <c r="G6" s="884"/>
      <c r="H6" s="884"/>
      <c r="J6" s="799"/>
      <c r="K6" s="800" t="s">
        <v>376</v>
      </c>
      <c r="L6" s="885"/>
      <c r="M6" s="886"/>
      <c r="N6" s="887"/>
    </row>
    <row r="7" spans="1:14" ht="16.5" customHeight="1">
      <c r="A7" s="798" t="s">
        <v>377</v>
      </c>
      <c r="B7" s="798"/>
      <c r="C7" s="798"/>
      <c r="D7" s="798"/>
      <c r="E7" s="885" t="s">
        <v>378</v>
      </c>
      <c r="F7" s="886"/>
      <c r="G7" s="886"/>
      <c r="H7" s="887"/>
      <c r="J7" s="799"/>
      <c r="K7" s="800" t="s">
        <v>379</v>
      </c>
      <c r="L7" s="885" t="s">
        <v>769</v>
      </c>
      <c r="M7" s="886"/>
      <c r="N7" s="887"/>
    </row>
    <row r="8" spans="1:14" ht="16.5" customHeight="1">
      <c r="A8" s="798" t="s">
        <v>380</v>
      </c>
      <c r="B8" s="798"/>
      <c r="C8" s="798"/>
      <c r="D8" s="798"/>
      <c r="E8" s="888" t="str">
        <f>Sheet1!K12</f>
        <v/>
      </c>
      <c r="F8" s="889"/>
      <c r="G8" s="889"/>
      <c r="H8" s="890"/>
      <c r="J8" s="799"/>
      <c r="K8" s="800" t="s">
        <v>381</v>
      </c>
      <c r="L8" s="885" t="str">
        <f>Sheet1!R14</f>
        <v/>
      </c>
      <c r="M8" s="886"/>
      <c r="N8" s="887"/>
    </row>
    <row r="9" spans="1:14" ht="11.25" customHeight="1">
      <c r="A9" s="798"/>
      <c r="B9" s="798"/>
      <c r="C9" s="798"/>
      <c r="D9" s="798"/>
      <c r="E9" s="801"/>
      <c r="F9" s="802"/>
      <c r="G9" s="802"/>
      <c r="H9" s="802"/>
      <c r="J9" s="799"/>
      <c r="K9" s="800"/>
      <c r="L9" s="802"/>
      <c r="M9" s="802"/>
      <c r="N9" s="802"/>
    </row>
    <row r="10" spans="1:14" ht="16.5" customHeight="1">
      <c r="A10" s="803" t="s">
        <v>541</v>
      </c>
      <c r="E10" s="891" t="s">
        <v>770</v>
      </c>
      <c r="F10" s="892"/>
      <c r="G10" s="892"/>
      <c r="H10" s="893"/>
      <c r="I10" s="804" t="s">
        <v>540</v>
      </c>
    </row>
    <row r="11" spans="1:14" ht="11.25" customHeight="1">
      <c r="C11" s="798"/>
      <c r="D11" s="798"/>
      <c r="E11" s="798"/>
      <c r="F11" s="798"/>
      <c r="G11" s="798"/>
      <c r="H11" s="799"/>
      <c r="I11" s="799"/>
      <c r="K11" s="805"/>
      <c r="L11" s="805"/>
      <c r="M11" s="805"/>
      <c r="N11" s="805"/>
    </row>
    <row r="12" spans="1:14" ht="16.5" customHeight="1" thickBot="1">
      <c r="A12" s="798" t="s">
        <v>383</v>
      </c>
      <c r="B12" s="798"/>
      <c r="C12" s="798"/>
      <c r="D12" s="798"/>
      <c r="E12" s="894" t="s">
        <v>384</v>
      </c>
      <c r="F12" s="895"/>
      <c r="G12" s="894" t="s">
        <v>379</v>
      </c>
      <c r="H12" s="895"/>
      <c r="I12" s="894" t="s">
        <v>16</v>
      </c>
      <c r="J12" s="895"/>
      <c r="K12" s="894" t="s">
        <v>382</v>
      </c>
      <c r="L12" s="896"/>
      <c r="M12" s="896"/>
      <c r="N12" s="895"/>
    </row>
    <row r="13" spans="1:14" ht="16.5" customHeight="1" thickTop="1">
      <c r="A13" s="798"/>
      <c r="B13" s="798"/>
      <c r="C13" s="798"/>
      <c r="D13" s="806" t="s">
        <v>385</v>
      </c>
      <c r="E13" s="879" t="s">
        <v>756</v>
      </c>
      <c r="F13" s="880"/>
      <c r="G13" s="879" t="s">
        <v>757</v>
      </c>
      <c r="H13" s="880"/>
      <c r="I13" s="881"/>
      <c r="J13" s="882"/>
      <c r="K13" s="879" t="s">
        <v>758</v>
      </c>
      <c r="L13" s="883"/>
      <c r="M13" s="883"/>
      <c r="N13" s="880"/>
    </row>
    <row r="14" spans="1:14" ht="16.5" customHeight="1">
      <c r="D14" s="806" t="s">
        <v>386</v>
      </c>
      <c r="E14" s="872"/>
      <c r="F14" s="873"/>
      <c r="G14" s="872"/>
      <c r="H14" s="873"/>
      <c r="I14" s="874"/>
      <c r="J14" s="875"/>
      <c r="K14" s="872"/>
      <c r="L14" s="876"/>
      <c r="M14" s="876"/>
      <c r="N14" s="873"/>
    </row>
    <row r="15" spans="1:14" ht="36" customHeight="1">
      <c r="A15" s="877" t="s">
        <v>717</v>
      </c>
      <c r="B15" s="877"/>
      <c r="C15" s="877"/>
      <c r="D15" s="877"/>
      <c r="E15" s="877"/>
      <c r="F15" s="877"/>
      <c r="G15" s="877"/>
      <c r="H15" s="877"/>
      <c r="I15" s="877"/>
      <c r="J15" s="877"/>
      <c r="K15" s="877"/>
      <c r="L15" s="877"/>
      <c r="M15" s="877"/>
      <c r="N15" s="877"/>
    </row>
    <row r="16" spans="1:14" ht="16.5" customHeight="1">
      <c r="A16" s="803" t="s">
        <v>387</v>
      </c>
      <c r="B16" s="803"/>
      <c r="C16" s="807"/>
      <c r="D16" s="808" t="s">
        <v>718</v>
      </c>
      <c r="E16" s="808"/>
      <c r="F16" s="808"/>
      <c r="G16" s="809"/>
      <c r="H16" s="810"/>
      <c r="I16" s="811"/>
      <c r="J16" s="809"/>
      <c r="K16" s="808"/>
      <c r="L16" s="808"/>
      <c r="N16" s="806" t="s">
        <v>388</v>
      </c>
    </row>
    <row r="17" spans="1:15" s="819" customFormat="1" ht="15.75" customHeight="1">
      <c r="A17" s="812" t="s">
        <v>719</v>
      </c>
      <c r="B17" s="813"/>
      <c r="C17" s="814"/>
      <c r="D17" s="815" t="s">
        <v>610</v>
      </c>
      <c r="E17" s="814"/>
      <c r="F17" s="815" t="s">
        <v>720</v>
      </c>
      <c r="G17" s="816"/>
      <c r="H17" s="817"/>
      <c r="I17" s="818"/>
      <c r="J17" s="818"/>
      <c r="K17" s="818"/>
      <c r="L17" s="818"/>
      <c r="M17" s="818"/>
      <c r="N17" s="818"/>
      <c r="O17" s="814"/>
    </row>
    <row r="18" spans="1:15" ht="13.5" customHeight="1">
      <c r="A18" s="820"/>
      <c r="B18" s="820"/>
      <c r="C18" s="819"/>
      <c r="D18" s="821"/>
      <c r="E18" s="819"/>
      <c r="F18" s="819"/>
      <c r="G18" s="821"/>
      <c r="H18" s="822"/>
      <c r="I18" s="823"/>
      <c r="J18" s="823"/>
      <c r="K18" s="823"/>
      <c r="L18" s="823"/>
      <c r="M18" s="823"/>
    </row>
    <row r="19" spans="1:15" ht="21" customHeight="1">
      <c r="A19" s="878" t="s">
        <v>389</v>
      </c>
      <c r="B19" s="878"/>
      <c r="C19" s="878"/>
      <c r="D19" s="878"/>
      <c r="E19" s="878"/>
      <c r="F19" s="878"/>
      <c r="G19" s="878"/>
      <c r="H19" s="878"/>
      <c r="I19" s="878"/>
      <c r="J19" s="878"/>
      <c r="K19" s="878"/>
      <c r="L19" s="878"/>
      <c r="M19" s="878"/>
      <c r="N19" s="878"/>
    </row>
    <row r="20" spans="1:15" ht="15" customHeight="1">
      <c r="A20" s="870" t="s">
        <v>539</v>
      </c>
      <c r="B20" s="870"/>
      <c r="C20" s="870"/>
      <c r="D20" s="870"/>
      <c r="E20" s="870"/>
      <c r="F20" s="870"/>
      <c r="G20" s="870"/>
      <c r="H20" s="870"/>
      <c r="I20" s="870"/>
      <c r="J20" s="870"/>
      <c r="K20" s="870"/>
      <c r="L20" s="870"/>
      <c r="M20" s="870"/>
      <c r="N20" s="870"/>
    </row>
    <row r="21" spans="1:15" ht="15" customHeight="1">
      <c r="A21" s="798"/>
      <c r="B21" s="798"/>
      <c r="C21" s="798"/>
      <c r="D21" s="798"/>
      <c r="E21" s="798"/>
      <c r="F21" s="798"/>
      <c r="G21" s="798"/>
      <c r="H21" s="798"/>
      <c r="I21" s="798"/>
      <c r="J21" s="798"/>
      <c r="K21" s="798"/>
      <c r="L21" s="798"/>
      <c r="M21" s="798"/>
      <c r="N21" s="824" t="s">
        <v>390</v>
      </c>
    </row>
    <row r="22" spans="1:15" ht="15.75" customHeight="1">
      <c r="A22" s="825" t="s">
        <v>721</v>
      </c>
      <c r="B22" s="825"/>
      <c r="C22" s="825"/>
      <c r="D22" s="825"/>
      <c r="E22" s="825"/>
      <c r="F22" s="825"/>
      <c r="G22" s="825"/>
      <c r="H22" s="825"/>
      <c r="I22" s="825"/>
      <c r="J22" s="825"/>
      <c r="K22" s="825"/>
      <c r="L22" s="825"/>
      <c r="M22" s="825"/>
      <c r="N22" s="826" t="str">
        <f>Sheet1!Q454</f>
        <v/>
      </c>
    </row>
    <row r="23" spans="1:15" ht="15.75" customHeight="1">
      <c r="A23" s="825"/>
      <c r="B23" s="825"/>
      <c r="C23" s="827" t="s">
        <v>537</v>
      </c>
      <c r="D23" s="825"/>
      <c r="E23" s="825"/>
      <c r="F23" s="825"/>
      <c r="G23" s="825"/>
      <c r="H23" s="825"/>
      <c r="I23" s="825"/>
      <c r="J23" s="825"/>
      <c r="K23" s="825"/>
      <c r="L23" s="825"/>
      <c r="M23" s="825"/>
    </row>
    <row r="24" spans="1:15" ht="15.75" customHeight="1">
      <c r="A24" s="825"/>
      <c r="B24" s="825"/>
      <c r="C24" s="828" t="s">
        <v>536</v>
      </c>
      <c r="D24" s="825"/>
      <c r="E24" s="825"/>
      <c r="F24" s="825"/>
      <c r="G24" s="825"/>
      <c r="H24" s="825"/>
      <c r="I24" s="825"/>
      <c r="J24" s="825"/>
      <c r="K24" s="825"/>
      <c r="L24" s="825"/>
      <c r="M24" s="825"/>
    </row>
    <row r="25" spans="1:15" ht="15.75" customHeight="1">
      <c r="A25" s="829"/>
      <c r="B25" s="829"/>
      <c r="C25" s="830" t="s">
        <v>393</v>
      </c>
      <c r="D25" s="827"/>
      <c r="E25" s="827"/>
      <c r="F25" s="831"/>
      <c r="G25" s="831" t="s">
        <v>357</v>
      </c>
      <c r="H25" s="832">
        <f>Sheet1!Q451</f>
        <v>0</v>
      </c>
      <c r="I25" s="831" t="s">
        <v>358</v>
      </c>
      <c r="J25" s="832">
        <f>Sheet1!Q452</f>
        <v>0</v>
      </c>
      <c r="K25" s="831" t="s">
        <v>359</v>
      </c>
      <c r="L25" s="832">
        <f>Sheet1!Q453</f>
        <v>0</v>
      </c>
      <c r="M25" s="833"/>
      <c r="N25" s="829"/>
    </row>
    <row r="26" spans="1:15" ht="15.75" customHeight="1">
      <c r="A26" s="825" t="s">
        <v>722</v>
      </c>
      <c r="B26" s="825"/>
      <c r="C26" s="825"/>
      <c r="D26" s="825"/>
      <c r="E26" s="825"/>
      <c r="F26" s="825"/>
      <c r="G26" s="825"/>
      <c r="H26" s="825"/>
      <c r="I26" s="825"/>
      <c r="J26" s="825"/>
      <c r="K26" s="825"/>
      <c r="L26" s="825"/>
      <c r="M26" s="825"/>
      <c r="N26" s="826"/>
    </row>
    <row r="27" spans="1:15" ht="15.75" customHeight="1">
      <c r="A27" s="825" t="s">
        <v>723</v>
      </c>
      <c r="B27" s="825"/>
      <c r="C27" s="825"/>
      <c r="D27" s="825"/>
      <c r="E27" s="825"/>
      <c r="F27" s="825"/>
      <c r="G27" s="825"/>
      <c r="H27" s="825"/>
      <c r="I27" s="825"/>
      <c r="J27" s="825"/>
      <c r="K27" s="825"/>
      <c r="L27" s="825"/>
      <c r="M27" s="825"/>
      <c r="N27" s="826"/>
    </row>
    <row r="28" spans="1:15" ht="15.75" customHeight="1">
      <c r="A28" s="825" t="s">
        <v>724</v>
      </c>
      <c r="B28" s="825"/>
      <c r="C28" s="825"/>
      <c r="D28" s="825"/>
      <c r="E28" s="825"/>
      <c r="F28" s="831"/>
      <c r="G28" s="834"/>
      <c r="H28" s="835"/>
      <c r="I28" s="834"/>
      <c r="J28" s="825"/>
      <c r="K28" s="825"/>
      <c r="L28" s="825"/>
      <c r="M28" s="825"/>
      <c r="N28" s="826"/>
    </row>
    <row r="29" spans="1:15" ht="15.75" customHeight="1">
      <c r="A29" s="825"/>
      <c r="B29" s="825"/>
      <c r="C29" s="827" t="s">
        <v>391</v>
      </c>
      <c r="D29" s="825"/>
      <c r="E29" s="825"/>
      <c r="F29" s="831" t="s">
        <v>283</v>
      </c>
      <c r="G29" s="836" t="str">
        <f>Sheet1!T463</f>
        <v/>
      </c>
      <c r="H29" s="831" t="s">
        <v>284</v>
      </c>
      <c r="I29" s="836" t="str">
        <f>Sheet1!T464</f>
        <v/>
      </c>
      <c r="J29" s="825"/>
      <c r="K29" s="825"/>
      <c r="L29" s="825"/>
      <c r="M29" s="825"/>
      <c r="N29" s="837"/>
    </row>
    <row r="30" spans="1:15" ht="15.75" customHeight="1">
      <c r="A30" s="825"/>
      <c r="B30" s="825"/>
      <c r="C30" s="827" t="s">
        <v>538</v>
      </c>
      <c r="D30" s="825"/>
      <c r="E30" s="825"/>
      <c r="F30" s="825"/>
      <c r="G30" s="825"/>
      <c r="H30" s="825"/>
      <c r="I30" s="825"/>
      <c r="J30" s="825"/>
      <c r="K30" s="825"/>
      <c r="L30" s="825"/>
      <c r="M30" s="825"/>
      <c r="N30" s="826"/>
    </row>
    <row r="31" spans="1:15" ht="15.75" customHeight="1">
      <c r="A31" s="825"/>
      <c r="B31" s="825"/>
      <c r="C31" s="827" t="s">
        <v>392</v>
      </c>
      <c r="D31" s="825"/>
      <c r="E31" s="825"/>
      <c r="F31" s="825"/>
      <c r="G31" s="825"/>
      <c r="H31" s="825"/>
      <c r="I31" s="825"/>
      <c r="J31" s="825"/>
      <c r="K31" s="825"/>
      <c r="L31" s="825"/>
      <c r="M31" s="825"/>
      <c r="N31" s="826"/>
    </row>
    <row r="32" spans="1:15" ht="15.75" customHeight="1">
      <c r="A32" s="825" t="s">
        <v>725</v>
      </c>
      <c r="B32" s="825"/>
      <c r="C32" s="825"/>
      <c r="D32" s="825"/>
      <c r="E32" s="825"/>
      <c r="F32" s="825"/>
      <c r="G32" s="825"/>
      <c r="H32" s="825"/>
      <c r="I32" s="825"/>
      <c r="J32" s="825"/>
      <c r="K32" s="825"/>
      <c r="L32" s="825"/>
      <c r="M32" s="825"/>
      <c r="N32" s="826"/>
    </row>
    <row r="33" spans="1:14" ht="15.75" customHeight="1">
      <c r="A33" s="825"/>
      <c r="B33" s="825"/>
      <c r="C33" s="827" t="s">
        <v>535</v>
      </c>
      <c r="D33" s="827"/>
      <c r="E33" s="827"/>
      <c r="F33" s="825"/>
      <c r="G33" s="825"/>
      <c r="H33" s="825"/>
      <c r="I33" s="825"/>
      <c r="J33" s="825"/>
      <c r="K33" s="825"/>
      <c r="L33" s="836" t="e">
        <f>MGD</f>
        <v>#DIV/0!</v>
      </c>
      <c r="M33" s="827" t="s">
        <v>339</v>
      </c>
      <c r="N33" s="829"/>
    </row>
    <row r="34" spans="1:14" ht="15.75" customHeight="1">
      <c r="A34" s="825" t="s">
        <v>726</v>
      </c>
      <c r="B34" s="825"/>
      <c r="C34" s="825"/>
      <c r="D34" s="825"/>
      <c r="E34" s="825"/>
      <c r="F34" s="825"/>
      <c r="G34" s="825"/>
      <c r="H34" s="825"/>
      <c r="I34" s="825"/>
      <c r="J34" s="825"/>
      <c r="K34" s="825"/>
      <c r="L34" s="825"/>
      <c r="M34" s="825"/>
      <c r="N34" s="826"/>
    </row>
    <row r="35" spans="1:14" ht="15.75" customHeight="1">
      <c r="A35" s="825" t="s">
        <v>727</v>
      </c>
      <c r="B35" s="825"/>
      <c r="C35" s="825"/>
      <c r="D35" s="825"/>
      <c r="E35" s="825"/>
      <c r="F35" s="825"/>
      <c r="G35" s="825"/>
      <c r="H35" s="825"/>
      <c r="I35" s="825"/>
      <c r="J35" s="825"/>
      <c r="K35" s="825"/>
      <c r="L35" s="825"/>
      <c r="M35" s="825"/>
      <c r="N35" s="826" t="str">
        <f>Sheet1!X221</f>
        <v/>
      </c>
    </row>
    <row r="36" spans="1:14" ht="15.75" customHeight="1">
      <c r="A36" s="825" t="s">
        <v>728</v>
      </c>
      <c r="B36" s="825"/>
      <c r="C36" s="825"/>
      <c r="D36" s="825"/>
      <c r="E36" s="825"/>
      <c r="F36" s="825"/>
      <c r="G36" s="825"/>
      <c r="H36" s="825"/>
      <c r="I36" s="825"/>
      <c r="J36" s="825"/>
      <c r="K36" s="825"/>
      <c r="L36" s="825"/>
      <c r="M36" s="825"/>
      <c r="N36" s="826"/>
    </row>
    <row r="37" spans="1:14" ht="15.75" customHeight="1">
      <c r="A37" s="825" t="s">
        <v>729</v>
      </c>
      <c r="B37" s="825"/>
      <c r="C37" s="825"/>
      <c r="D37" s="825"/>
      <c r="E37" s="825"/>
      <c r="F37" s="825"/>
      <c r="G37" s="825"/>
      <c r="H37" s="825"/>
      <c r="I37" s="825"/>
      <c r="J37" s="825"/>
      <c r="K37" s="825"/>
      <c r="L37" s="825"/>
      <c r="M37" s="825"/>
      <c r="N37" s="826"/>
    </row>
    <row r="38" spans="1:14" ht="15.75" customHeight="1">
      <c r="A38" s="825" t="s">
        <v>730</v>
      </c>
      <c r="B38" s="825"/>
      <c r="C38" s="825"/>
      <c r="D38" s="825"/>
      <c r="E38" s="825"/>
      <c r="F38" s="825"/>
      <c r="G38" s="825"/>
      <c r="H38" s="825"/>
      <c r="I38" s="825"/>
      <c r="J38" s="825"/>
      <c r="K38" s="825"/>
      <c r="L38" s="825"/>
      <c r="M38" s="825"/>
      <c r="N38" s="826"/>
    </row>
    <row r="39" spans="1:14" ht="15.75" customHeight="1">
      <c r="A39" s="825" t="s">
        <v>731</v>
      </c>
      <c r="B39" s="825"/>
      <c r="C39" s="825"/>
      <c r="D39" s="825"/>
      <c r="E39" s="825"/>
      <c r="F39" s="825"/>
      <c r="G39" s="825"/>
      <c r="H39" s="825"/>
      <c r="I39" s="825"/>
      <c r="J39" s="825"/>
      <c r="K39" s="825"/>
      <c r="L39" s="825"/>
      <c r="M39" s="825"/>
      <c r="N39" s="826"/>
    </row>
    <row r="40" spans="1:14" ht="15.75" customHeight="1">
      <c r="A40" s="825" t="s">
        <v>732</v>
      </c>
      <c r="B40" s="825"/>
      <c r="C40" s="825"/>
      <c r="D40" s="825"/>
      <c r="E40" s="825"/>
      <c r="F40" s="825"/>
      <c r="G40" s="825"/>
      <c r="H40" s="825"/>
      <c r="I40" s="825"/>
      <c r="J40" s="825"/>
      <c r="K40" s="825"/>
      <c r="L40" s="825"/>
      <c r="M40" s="825"/>
      <c r="N40" s="826"/>
    </row>
    <row r="41" spans="1:14" ht="15.75" customHeight="1">
      <c r="A41" s="825" t="s">
        <v>733</v>
      </c>
      <c r="B41" s="825"/>
      <c r="C41" s="825"/>
      <c r="D41" s="825"/>
      <c r="E41" s="825"/>
      <c r="F41" s="825"/>
      <c r="G41" s="825"/>
      <c r="H41" s="825"/>
      <c r="I41" s="825"/>
      <c r="J41" s="825"/>
      <c r="K41" s="825"/>
      <c r="L41" s="825"/>
      <c r="M41" s="825"/>
      <c r="N41" s="826"/>
    </row>
    <row r="42" spans="1:14" ht="15.75" customHeight="1">
      <c r="A42" s="825" t="s">
        <v>734</v>
      </c>
      <c r="B42" s="825"/>
      <c r="C42" s="825"/>
      <c r="D42" s="825"/>
      <c r="E42" s="825"/>
      <c r="F42" s="825"/>
      <c r="G42" s="825"/>
      <c r="H42" s="825"/>
      <c r="I42" s="825"/>
      <c r="J42" s="825"/>
      <c r="K42" s="825"/>
      <c r="L42" s="825"/>
      <c r="M42" s="825"/>
      <c r="N42" s="826"/>
    </row>
    <row r="43" spans="1:14" ht="15.75" customHeight="1">
      <c r="A43" s="825" t="s">
        <v>735</v>
      </c>
      <c r="B43" s="825"/>
      <c r="C43" s="825"/>
      <c r="D43" s="825"/>
      <c r="E43" s="825"/>
      <c r="F43" s="825"/>
      <c r="G43" s="825"/>
      <c r="H43" s="825"/>
      <c r="I43" s="825"/>
      <c r="J43" s="825"/>
      <c r="K43" s="825"/>
      <c r="L43" s="825"/>
      <c r="M43" s="825"/>
      <c r="N43" s="826"/>
    </row>
    <row r="44" spans="1:14" ht="15.75" customHeight="1">
      <c r="A44" s="825" t="s">
        <v>736</v>
      </c>
      <c r="B44" s="825"/>
      <c r="C44" s="825"/>
      <c r="D44" s="825"/>
      <c r="E44" s="825"/>
      <c r="F44" s="825"/>
      <c r="G44" s="825"/>
      <c r="H44" s="825"/>
      <c r="I44" s="825"/>
      <c r="J44" s="825"/>
      <c r="K44" s="825"/>
      <c r="L44" s="825"/>
      <c r="M44" s="825"/>
      <c r="N44" s="826"/>
    </row>
    <row r="45" spans="1:14" ht="15.75" customHeight="1">
      <c r="A45" s="825" t="s">
        <v>737</v>
      </c>
      <c r="B45" s="825"/>
      <c r="C45" s="825"/>
      <c r="D45" s="825"/>
      <c r="E45" s="825"/>
      <c r="F45" s="825"/>
      <c r="G45" s="825"/>
      <c r="H45" s="825"/>
      <c r="I45" s="825"/>
      <c r="J45" s="825"/>
      <c r="K45" s="825"/>
      <c r="L45" s="825"/>
      <c r="M45" s="825"/>
      <c r="N45" s="826"/>
    </row>
    <row r="46" spans="1:14" ht="15.75" customHeight="1">
      <c r="A46" s="825" t="s">
        <v>738</v>
      </c>
      <c r="B46" s="825"/>
      <c r="C46" s="825"/>
      <c r="D46" s="825"/>
      <c r="E46" s="825"/>
      <c r="F46" s="825"/>
      <c r="G46" s="825"/>
      <c r="H46" s="825"/>
      <c r="I46" s="825"/>
      <c r="J46" s="825"/>
      <c r="K46" s="825"/>
      <c r="L46" s="825"/>
      <c r="M46" s="825"/>
      <c r="N46" s="826"/>
    </row>
    <row r="47" spans="1:14" ht="15.75" customHeight="1">
      <c r="A47" s="825"/>
      <c r="B47" s="825"/>
      <c r="C47" s="827" t="s">
        <v>739</v>
      </c>
      <c r="D47" s="825"/>
      <c r="E47" s="825"/>
      <c r="F47" s="825"/>
      <c r="G47" s="825"/>
      <c r="H47" s="825"/>
      <c r="I47" s="825"/>
      <c r="J47" s="825"/>
      <c r="K47" s="825"/>
      <c r="L47" s="825"/>
      <c r="M47" s="825"/>
    </row>
    <row r="48" spans="1:14" ht="15.75" customHeight="1">
      <c r="A48" s="829"/>
      <c r="B48" s="829"/>
      <c r="C48" s="830" t="s">
        <v>393</v>
      </c>
      <c r="D48" s="827"/>
      <c r="E48" s="827"/>
      <c r="F48" s="831"/>
      <c r="G48" s="831" t="s">
        <v>357</v>
      </c>
      <c r="H48" s="832">
        <f>Sheet1!S451</f>
        <v>0</v>
      </c>
      <c r="I48" s="831" t="s">
        <v>358</v>
      </c>
      <c r="J48" s="832">
        <f>Sheet1!S452</f>
        <v>0</v>
      </c>
      <c r="K48" s="831" t="s">
        <v>359</v>
      </c>
      <c r="L48" s="832">
        <f>Sheet1!S453</f>
        <v>0</v>
      </c>
      <c r="M48" s="833"/>
      <c r="N48" s="829"/>
    </row>
    <row r="49" spans="1:14" ht="15.75" customHeight="1">
      <c r="A49" s="825" t="s">
        <v>740</v>
      </c>
      <c r="B49" s="825"/>
      <c r="C49" s="825"/>
      <c r="D49" s="825"/>
      <c r="E49" s="825"/>
      <c r="F49" s="825"/>
      <c r="G49" s="825"/>
      <c r="H49" s="825"/>
      <c r="I49" s="825"/>
      <c r="J49" s="825"/>
      <c r="K49" s="825"/>
      <c r="L49" s="825"/>
      <c r="M49" s="825"/>
      <c r="N49" s="826"/>
    </row>
    <row r="50" spans="1:14" ht="15.75" customHeight="1">
      <c r="A50" s="825" t="s">
        <v>741</v>
      </c>
      <c r="B50" s="825"/>
      <c r="C50" s="825"/>
      <c r="D50" s="825"/>
      <c r="E50" s="825"/>
      <c r="F50" s="825"/>
      <c r="G50" s="825"/>
      <c r="H50" s="825"/>
      <c r="I50" s="825"/>
      <c r="J50" s="825"/>
      <c r="K50" s="825"/>
      <c r="L50" s="825"/>
      <c r="M50" s="825"/>
      <c r="N50" s="826"/>
    </row>
    <row r="51" spans="1:14" ht="15.75" customHeight="1">
      <c r="A51" s="825"/>
      <c r="B51" s="825"/>
      <c r="C51" s="825"/>
      <c r="D51" s="825"/>
      <c r="E51" s="825"/>
      <c r="F51" s="825"/>
      <c r="G51" s="825"/>
      <c r="H51" s="825"/>
      <c r="I51" s="825"/>
      <c r="J51" s="825"/>
      <c r="K51" s="825"/>
      <c r="L51" s="825"/>
      <c r="M51" s="825"/>
    </row>
    <row r="52" spans="1:14" ht="15.75" customHeight="1">
      <c r="A52" s="871" t="s">
        <v>534</v>
      </c>
      <c r="B52" s="871"/>
      <c r="C52" s="871"/>
      <c r="D52" s="871"/>
      <c r="E52" s="871"/>
      <c r="F52" s="871"/>
      <c r="G52" s="871"/>
      <c r="H52" s="871"/>
      <c r="I52" s="871"/>
      <c r="J52" s="871"/>
      <c r="K52" s="871"/>
      <c r="L52" s="871"/>
      <c r="M52" s="871"/>
      <c r="N52" s="871"/>
    </row>
  </sheetData>
  <mergeCells count="29">
    <mergeCell ref="A1:N1"/>
    <mergeCell ref="A2:N2"/>
    <mergeCell ref="C4:H4"/>
    <mergeCell ref="L4:N4"/>
    <mergeCell ref="C5:H5"/>
    <mergeCell ref="L5:N5"/>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20:N20"/>
    <mergeCell ref="A52:N52"/>
    <mergeCell ref="E14:F14"/>
    <mergeCell ref="G14:H14"/>
    <mergeCell ref="I14:J14"/>
    <mergeCell ref="K14:N14"/>
    <mergeCell ref="A15:N15"/>
    <mergeCell ref="A19:N19"/>
  </mergeCells>
  <conditionalFormatting sqref="N27:N38 N48 N41:N42 N50">
    <cfRule type="cellIs" dxfId="176" priority="13" stopIfTrue="1" operator="equal">
      <formula>"Fail"</formula>
    </cfRule>
  </conditionalFormatting>
  <conditionalFormatting sqref="N26:N38">
    <cfRule type="cellIs" dxfId="175" priority="12" stopIfTrue="1" operator="equal">
      <formula>"Fail"</formula>
    </cfRule>
  </conditionalFormatting>
  <conditionalFormatting sqref="N40">
    <cfRule type="cellIs" dxfId="174" priority="11" stopIfTrue="1" operator="equal">
      <formula>"Fail"</formula>
    </cfRule>
  </conditionalFormatting>
  <conditionalFormatting sqref="N35:N38">
    <cfRule type="cellIs" dxfId="173" priority="10" stopIfTrue="1" operator="equal">
      <formula>"Fail"</formula>
    </cfRule>
  </conditionalFormatting>
  <conditionalFormatting sqref="N30">
    <cfRule type="cellIs" dxfId="172" priority="9" stopIfTrue="1" operator="equal">
      <formula>"Fail"</formula>
    </cfRule>
  </conditionalFormatting>
  <conditionalFormatting sqref="N25:N38">
    <cfRule type="cellIs" dxfId="171" priority="8" stopIfTrue="1" operator="equal">
      <formula>"Fail"</formula>
    </cfRule>
  </conditionalFormatting>
  <conditionalFormatting sqref="N39">
    <cfRule type="cellIs" dxfId="170" priority="7" stopIfTrue="1" operator="equal">
      <formula>"Fail"</formula>
    </cfRule>
  </conditionalFormatting>
  <conditionalFormatting sqref="N45">
    <cfRule type="cellIs" dxfId="169" priority="4" stopIfTrue="1" operator="equal">
      <formula>"Fail"</formula>
    </cfRule>
  </conditionalFormatting>
  <conditionalFormatting sqref="N22">
    <cfRule type="cellIs" dxfId="168" priority="2" stopIfTrue="1" operator="equal">
      <formula>"Fail"</formula>
    </cfRule>
  </conditionalFormatting>
  <conditionalFormatting sqref="N43">
    <cfRule type="cellIs" dxfId="167" priority="6" stopIfTrue="1" operator="equal">
      <formula>"Fail"</formula>
    </cfRule>
  </conditionalFormatting>
  <conditionalFormatting sqref="N44">
    <cfRule type="cellIs" dxfId="166" priority="5" stopIfTrue="1" operator="equal">
      <formula>"Fail"</formula>
    </cfRule>
  </conditionalFormatting>
  <conditionalFormatting sqref="N49">
    <cfRule type="cellIs" dxfId="165" priority="1" stopIfTrue="1" operator="equal">
      <formula>"Fail"</formula>
    </cfRule>
  </conditionalFormatting>
  <conditionalFormatting sqref="N46">
    <cfRule type="cellIs" dxfId="164" priority="3" stopIfTrue="1" operator="equal">
      <formula>"Fail"</formula>
    </cfRule>
  </conditionalFormatting>
  <dataValidations count="9">
    <dataValidation type="list" allowBlank="1" sqref="N43:N46 N49" xr:uid="{00000000-0002-0000-0000-000000000000}">
      <formula1>NA</formula1>
    </dataValidation>
    <dataValidation type="list" allowBlank="1" showInputMessage="1" showErrorMessage="1" sqref="N50 N27:N33 N36:N38" xr:uid="{00000000-0002-0000-0000-000001000000}">
      <formula1>NA</formula1>
    </dataValidation>
    <dataValidation type="list" allowBlank="1" sqref="L7:N7" xr:uid="{00000000-0002-0000-0000-000002000000}">
      <formula1>Model</formula1>
    </dataValidation>
    <dataValidation type="list" allowBlank="1" showInputMessage="1" sqref="J48 J25 L25 L48" xr:uid="{00000000-0002-0000-0000-000003000000}">
      <formula1>SpeckMassLst</formula1>
    </dataValidation>
    <dataValidation type="list" allowBlank="1" showInputMessage="1" sqref="H25 H48" xr:uid="{00000000-0002-0000-0000-000004000000}">
      <formula1>FiberLst</formula1>
    </dataValidation>
    <dataValidation type="list" allowBlank="1" showInputMessage="1" showErrorMessage="1" sqref="N26 N28:N34 N36:N42" xr:uid="{00000000-0002-0000-0000-000005000000}">
      <formula1>PF</formula1>
    </dataValidation>
    <dataValidation allowBlank="1" showInputMessage="1" sqref="L33" xr:uid="{00000000-0002-0000-0000-000007000000}"/>
    <dataValidation type="list" allowBlank="1" showInputMessage="1" sqref="N22 N35" xr:uid="{00000000-0002-0000-0000-000008000000}">
      <formula1>PF</formula1>
    </dataValidation>
    <dataValidation type="list" allowBlank="1" showInputMessage="1" sqref="N34:N35" xr:uid="{00000000-0002-0000-0000-000009000000}">
      <formula1>NA</formula1>
    </dataValidation>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nchor moveWithCells="1">
                  <from>
                    <xdr:col>8</xdr:col>
                    <xdr:colOff>0</xdr:colOff>
                    <xdr:row>12</xdr:row>
                    <xdr:rowOff>0</xdr:rowOff>
                  </from>
                  <to>
                    <xdr:col>8</xdr:col>
                    <xdr:colOff>541020</xdr:colOff>
                    <xdr:row>13</xdr:row>
                    <xdr:rowOff>7620</xdr:rowOff>
                  </to>
                </anchor>
              </controlPr>
            </control>
          </mc:Choice>
        </mc:AlternateContent>
        <mc:AlternateContent xmlns:mc="http://schemas.openxmlformats.org/markup-compatibility/2006">
          <mc:Choice Requires="x14">
            <control shapeId="14338" r:id="rId5" name="Check Box 2">
              <controlPr defaultSize="0" autoFill="0" autoLine="0" autoPict="0">
                <anchor moveWithCells="1">
                  <from>
                    <xdr:col>8</xdr:col>
                    <xdr:colOff>525780</xdr:colOff>
                    <xdr:row>12</xdr:row>
                    <xdr:rowOff>0</xdr:rowOff>
                  </from>
                  <to>
                    <xdr:col>9</xdr:col>
                    <xdr:colOff>487680</xdr:colOff>
                    <xdr:row>13</xdr:row>
                    <xdr:rowOff>7620</xdr:rowOff>
                  </to>
                </anchor>
              </controlPr>
            </control>
          </mc:Choice>
        </mc:AlternateContent>
        <mc:AlternateContent xmlns:mc="http://schemas.openxmlformats.org/markup-compatibility/2006">
          <mc:Choice Requires="x14">
            <control shapeId="14339" r:id="rId6" name="Check Box 3">
              <controlPr defaultSize="0" autoFill="0" autoLine="0" autoPict="0">
                <anchor moveWithCells="1">
                  <from>
                    <xdr:col>8</xdr:col>
                    <xdr:colOff>0</xdr:colOff>
                    <xdr:row>13</xdr:row>
                    <xdr:rowOff>0</xdr:rowOff>
                  </from>
                  <to>
                    <xdr:col>8</xdr:col>
                    <xdr:colOff>541020</xdr:colOff>
                    <xdr:row>14</xdr:row>
                    <xdr:rowOff>7620</xdr:rowOff>
                  </to>
                </anchor>
              </controlPr>
            </control>
          </mc:Choice>
        </mc:AlternateContent>
        <mc:AlternateContent xmlns:mc="http://schemas.openxmlformats.org/markup-compatibility/2006">
          <mc:Choice Requires="x14">
            <control shapeId="14340" r:id="rId7" name="Check Box 4">
              <controlPr defaultSize="0" autoFill="0" autoLine="0" autoPict="0">
                <anchor moveWithCells="1">
                  <from>
                    <xdr:col>8</xdr:col>
                    <xdr:colOff>525780</xdr:colOff>
                    <xdr:row>13</xdr:row>
                    <xdr:rowOff>0</xdr:rowOff>
                  </from>
                  <to>
                    <xdr:col>9</xdr:col>
                    <xdr:colOff>487680</xdr:colOff>
                    <xdr:row>14</xdr:row>
                    <xdr:rowOff>7620</xdr:rowOff>
                  </to>
                </anchor>
              </controlPr>
            </control>
          </mc:Choice>
        </mc:AlternateContent>
        <mc:AlternateContent xmlns:mc="http://schemas.openxmlformats.org/markup-compatibility/2006">
          <mc:Choice Requires="x14">
            <control shapeId="14341" r:id="rId8" name="Check Box 5">
              <controlPr defaultSize="0" autoFill="0" autoLine="0" autoPict="0">
                <anchor moveWithCells="1">
                  <from>
                    <xdr:col>2</xdr:col>
                    <xdr:colOff>251460</xdr:colOff>
                    <xdr:row>15</xdr:row>
                    <xdr:rowOff>7620</xdr:rowOff>
                  </from>
                  <to>
                    <xdr:col>3</xdr:col>
                    <xdr:colOff>106680</xdr:colOff>
                    <xdr:row>16</xdr:row>
                    <xdr:rowOff>7620</xdr:rowOff>
                  </to>
                </anchor>
              </controlPr>
            </control>
          </mc:Choice>
        </mc:AlternateContent>
        <mc:AlternateContent xmlns:mc="http://schemas.openxmlformats.org/markup-compatibility/2006">
          <mc:Choice Requires="x14">
            <control shapeId="14342" r:id="rId9" name="Check Box 6">
              <controlPr defaultSize="0" autoFill="0" autoLine="0" autoPict="0">
                <anchor moveWithCells="1">
                  <from>
                    <xdr:col>13</xdr:col>
                    <xdr:colOff>114300</xdr:colOff>
                    <xdr:row>15</xdr:row>
                    <xdr:rowOff>7620</xdr:rowOff>
                  </from>
                  <to>
                    <xdr:col>13</xdr:col>
                    <xdr:colOff>419100</xdr:colOff>
                    <xdr:row>16</xdr:row>
                    <xdr:rowOff>7620</xdr:rowOff>
                  </to>
                </anchor>
              </controlPr>
            </control>
          </mc:Choice>
        </mc:AlternateContent>
        <mc:AlternateContent xmlns:mc="http://schemas.openxmlformats.org/markup-compatibility/2006">
          <mc:Choice Requires="x14">
            <control shapeId="14343" r:id="rId10" name="Check Box 7">
              <controlPr defaultSize="0" autoFill="0" autoLine="0" autoPict="0">
                <anchor moveWithCells="1">
                  <from>
                    <xdr:col>2</xdr:col>
                    <xdr:colOff>251460</xdr:colOff>
                    <xdr:row>16</xdr:row>
                    <xdr:rowOff>7620</xdr:rowOff>
                  </from>
                  <to>
                    <xdr:col>3</xdr:col>
                    <xdr:colOff>106680</xdr:colOff>
                    <xdr:row>17</xdr:row>
                    <xdr:rowOff>0</xdr:rowOff>
                  </to>
                </anchor>
              </controlPr>
            </control>
          </mc:Choice>
        </mc:AlternateContent>
        <mc:AlternateContent xmlns:mc="http://schemas.openxmlformats.org/markup-compatibility/2006">
          <mc:Choice Requires="x14">
            <control shapeId="14344" r:id="rId11" name="Check Box 8">
              <controlPr defaultSize="0" autoFill="0" autoLine="0" autoPict="0">
                <anchor moveWithCells="1">
                  <from>
                    <xdr:col>4</xdr:col>
                    <xdr:colOff>251460</xdr:colOff>
                    <xdr:row>16</xdr:row>
                    <xdr:rowOff>0</xdr:rowOff>
                  </from>
                  <to>
                    <xdr:col>5</xdr:col>
                    <xdr:colOff>106680</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1"/>
  <sheetViews>
    <sheetView showGridLines="0" workbookViewId="0">
      <selection activeCell="L17" sqref="L17"/>
    </sheetView>
  </sheetViews>
  <sheetFormatPr defaultColWidth="9" defaultRowHeight="13.2"/>
  <cols>
    <col min="1" max="1" width="3.8984375" style="483" customWidth="1"/>
    <col min="2" max="2" width="19.09765625" style="483" customWidth="1"/>
    <col min="3" max="4" width="8.59765625" style="483" customWidth="1"/>
    <col min="5" max="5" width="9" style="483" customWidth="1"/>
    <col min="6" max="6" width="3.19921875" style="483" customWidth="1"/>
    <col min="7" max="7" width="13.69921875" style="483" customWidth="1"/>
    <col min="8" max="8" width="8.5" style="483" customWidth="1"/>
    <col min="9" max="9" width="9.5" style="483" customWidth="1"/>
    <col min="10" max="10" width="8.3984375" style="483" customWidth="1"/>
    <col min="11" max="11" width="8.59765625" style="483" customWidth="1"/>
    <col min="12" max="16384" width="9" style="483"/>
  </cols>
  <sheetData>
    <row r="1" spans="1:12" ht="27" customHeight="1">
      <c r="A1" s="912" t="s">
        <v>369</v>
      </c>
      <c r="B1" s="912"/>
      <c r="C1" s="912"/>
      <c r="D1" s="912"/>
      <c r="E1" s="912"/>
      <c r="F1" s="912"/>
      <c r="G1" s="912"/>
      <c r="H1" s="912"/>
      <c r="I1" s="912"/>
      <c r="J1" s="912"/>
      <c r="K1" s="912"/>
    </row>
    <row r="2" spans="1:12" ht="18" customHeight="1">
      <c r="A2" s="517" t="s">
        <v>394</v>
      </c>
      <c r="B2" s="516"/>
      <c r="C2" s="516"/>
      <c r="D2" s="516"/>
      <c r="E2" s="516"/>
      <c r="F2" s="516"/>
      <c r="G2" s="516"/>
      <c r="H2" s="516"/>
      <c r="I2" s="516"/>
      <c r="J2" s="516"/>
      <c r="K2" s="516"/>
    </row>
    <row r="3" spans="1:12" ht="15.75" customHeight="1"/>
    <row r="4" spans="1:12" ht="24" customHeight="1">
      <c r="A4" s="515" t="s">
        <v>395</v>
      </c>
      <c r="B4" s="514"/>
      <c r="C4" s="512"/>
      <c r="D4" s="512"/>
      <c r="E4" s="512"/>
      <c r="F4" s="512"/>
      <c r="G4" s="512"/>
      <c r="H4" s="512"/>
      <c r="I4" s="512"/>
      <c r="J4" s="513"/>
      <c r="K4" s="512"/>
    </row>
    <row r="5" spans="1:12" ht="42" customHeight="1">
      <c r="A5" s="913" t="s">
        <v>546</v>
      </c>
      <c r="B5" s="913"/>
      <c r="C5" s="913"/>
      <c r="D5" s="913"/>
      <c r="E5" s="913"/>
      <c r="F5" s="913"/>
      <c r="G5" s="913"/>
      <c r="H5" s="913"/>
      <c r="I5" s="913"/>
      <c r="J5" s="913"/>
      <c r="K5" s="913"/>
    </row>
    <row r="6" spans="1:12" ht="15" customHeight="1">
      <c r="A6" s="511" t="s">
        <v>545</v>
      </c>
      <c r="B6" s="510"/>
      <c r="C6" s="510"/>
      <c r="D6" s="510"/>
      <c r="E6" s="510"/>
      <c r="F6" s="510"/>
      <c r="G6" s="510"/>
      <c r="H6" s="510"/>
      <c r="I6" s="509"/>
      <c r="J6" s="508"/>
      <c r="K6" s="508"/>
    </row>
    <row r="7" spans="1:12" ht="15" customHeight="1">
      <c r="A7" s="507" t="s">
        <v>544</v>
      </c>
      <c r="B7" s="506"/>
      <c r="C7" s="506"/>
      <c r="D7" s="506"/>
      <c r="E7" s="506"/>
      <c r="F7" s="506"/>
      <c r="G7" s="506"/>
      <c r="H7" s="506"/>
      <c r="I7" s="506"/>
      <c r="J7" s="506"/>
      <c r="K7" s="506"/>
    </row>
    <row r="8" spans="1:12" ht="15" customHeight="1">
      <c r="J8" s="914"/>
      <c r="K8" s="914"/>
    </row>
    <row r="9" spans="1:12" ht="15" customHeight="1">
      <c r="A9" s="492"/>
      <c r="E9" s="492"/>
      <c r="H9" s="710" t="s">
        <v>396</v>
      </c>
      <c r="I9" s="505"/>
      <c r="J9" s="915" t="s">
        <v>390</v>
      </c>
      <c r="K9" s="915"/>
    </row>
    <row r="10" spans="1:12" ht="15.75" customHeight="1">
      <c r="A10" s="504" t="s">
        <v>397</v>
      </c>
      <c r="B10" s="486" t="s">
        <v>398</v>
      </c>
      <c r="C10" s="485"/>
      <c r="E10" s="492"/>
      <c r="G10" s="715"/>
      <c r="H10" s="716"/>
      <c r="I10" s="716" t="s">
        <v>742</v>
      </c>
      <c r="J10" s="901"/>
      <c r="K10" s="902"/>
    </row>
    <row r="11" spans="1:12" ht="15.75" customHeight="1">
      <c r="A11" s="499" t="s">
        <v>399</v>
      </c>
      <c r="B11" s="486" t="s">
        <v>402</v>
      </c>
      <c r="C11" s="485"/>
      <c r="E11" s="492"/>
      <c r="H11" s="500" t="s">
        <v>403</v>
      </c>
      <c r="J11" s="901"/>
      <c r="K11" s="902"/>
    </row>
    <row r="12" spans="1:12" ht="15.75" customHeight="1">
      <c r="A12" s="504" t="s">
        <v>401</v>
      </c>
      <c r="B12" s="486" t="s">
        <v>405</v>
      </c>
      <c r="C12" s="485"/>
      <c r="E12" s="492"/>
      <c r="H12" s="500" t="s">
        <v>403</v>
      </c>
      <c r="J12" s="901"/>
      <c r="K12" s="902"/>
    </row>
    <row r="13" spans="1:12" ht="15.75" customHeight="1">
      <c r="A13" s="499" t="s">
        <v>404</v>
      </c>
      <c r="B13" s="486" t="s">
        <v>400</v>
      </c>
      <c r="C13" s="485"/>
      <c r="E13" s="492"/>
      <c r="H13" s="502"/>
      <c r="I13" s="502" t="s">
        <v>743</v>
      </c>
      <c r="J13" s="901"/>
      <c r="K13" s="902"/>
    </row>
    <row r="14" spans="1:12" ht="15.75" customHeight="1">
      <c r="A14" s="501" t="s">
        <v>406</v>
      </c>
      <c r="B14" s="486" t="s">
        <v>744</v>
      </c>
      <c r="C14" s="485"/>
      <c r="E14" s="492"/>
      <c r="H14" s="500" t="s">
        <v>407</v>
      </c>
      <c r="J14" s="901"/>
      <c r="K14" s="902"/>
      <c r="L14" s="492"/>
    </row>
    <row r="15" spans="1:12" ht="15.75" customHeight="1">
      <c r="A15" s="499" t="s">
        <v>408</v>
      </c>
      <c r="B15" s="486" t="s">
        <v>409</v>
      </c>
      <c r="C15" s="485"/>
      <c r="E15" s="492"/>
      <c r="H15" s="500" t="s">
        <v>410</v>
      </c>
      <c r="J15" s="901"/>
      <c r="K15" s="902"/>
      <c r="L15" s="492"/>
    </row>
    <row r="16" spans="1:12" ht="15.75" customHeight="1">
      <c r="A16" s="499" t="s">
        <v>411</v>
      </c>
      <c r="B16" s="486" t="s">
        <v>745</v>
      </c>
      <c r="C16" s="485"/>
      <c r="E16" s="492"/>
      <c r="H16" s="500" t="s">
        <v>746</v>
      </c>
      <c r="J16" s="711"/>
      <c r="K16" s="712"/>
      <c r="L16" s="492"/>
    </row>
    <row r="17" spans="1:12" ht="15.75" customHeight="1">
      <c r="A17" s="499" t="s">
        <v>413</v>
      </c>
      <c r="B17" s="486" t="s">
        <v>747</v>
      </c>
      <c r="C17" s="485"/>
      <c r="E17" s="492"/>
      <c r="H17" s="500" t="s">
        <v>412</v>
      </c>
      <c r="J17" s="901" t="s">
        <v>488</v>
      </c>
      <c r="K17" s="902"/>
      <c r="L17" s="492"/>
    </row>
    <row r="18" spans="1:12" ht="15.75" customHeight="1">
      <c r="A18" s="499" t="s">
        <v>748</v>
      </c>
      <c r="B18" s="498" t="s">
        <v>543</v>
      </c>
      <c r="C18" s="485"/>
      <c r="H18" s="497" t="s">
        <v>414</v>
      </c>
      <c r="I18" s="484"/>
      <c r="J18" s="901"/>
      <c r="K18" s="902"/>
      <c r="L18" s="496"/>
    </row>
    <row r="19" spans="1:12" ht="15.75" customHeight="1">
      <c r="A19" s="499" t="s">
        <v>749</v>
      </c>
      <c r="B19" s="498" t="s">
        <v>750</v>
      </c>
      <c r="C19" s="485"/>
      <c r="H19" s="503" t="s">
        <v>751</v>
      </c>
      <c r="I19" s="484"/>
      <c r="J19" s="901" t="s">
        <v>488</v>
      </c>
      <c r="K19" s="902"/>
      <c r="L19" s="496"/>
    </row>
    <row r="20" spans="1:12" ht="15.75" customHeight="1">
      <c r="A20" s="487"/>
      <c r="B20" s="495"/>
      <c r="E20" s="492"/>
      <c r="H20" s="494"/>
      <c r="J20" s="493"/>
      <c r="K20" s="493"/>
      <c r="L20" s="492"/>
    </row>
    <row r="21" spans="1:12" ht="24" customHeight="1">
      <c r="A21" s="903" t="s">
        <v>415</v>
      </c>
      <c r="B21" s="903"/>
      <c r="C21" s="903"/>
      <c r="D21" s="903"/>
      <c r="E21" s="903"/>
      <c r="F21" s="903"/>
      <c r="G21" s="903"/>
      <c r="H21" s="903"/>
      <c r="I21" s="903"/>
      <c r="J21" s="903"/>
      <c r="K21" s="903"/>
    </row>
    <row r="22" spans="1:12" ht="15" customHeight="1">
      <c r="A22" s="491"/>
      <c r="B22" s="490"/>
      <c r="C22" s="490"/>
      <c r="D22" s="490"/>
      <c r="E22" s="490"/>
      <c r="F22" s="490"/>
      <c r="G22" s="490"/>
      <c r="H22" s="490"/>
      <c r="I22" s="490"/>
      <c r="J22" s="490"/>
      <c r="K22" s="490"/>
    </row>
    <row r="23" spans="1:12" ht="290.25" customHeight="1">
      <c r="A23" s="904"/>
      <c r="B23" s="905"/>
      <c r="C23" s="905"/>
      <c r="D23" s="905"/>
      <c r="E23" s="905"/>
      <c r="F23" s="905"/>
      <c r="G23" s="905"/>
      <c r="H23" s="905"/>
      <c r="I23" s="905"/>
      <c r="J23" s="905"/>
      <c r="K23" s="906"/>
    </row>
    <row r="24" spans="1:12" ht="15" customHeight="1" thickBot="1">
      <c r="A24" s="907"/>
      <c r="B24" s="907"/>
      <c r="C24" s="907"/>
      <c r="D24" s="907"/>
      <c r="E24" s="907"/>
      <c r="F24" s="907"/>
      <c r="G24" s="907"/>
      <c r="H24" s="907"/>
      <c r="I24" s="907"/>
      <c r="J24" s="907"/>
      <c r="K24" s="907"/>
    </row>
    <row r="25" spans="1:12" ht="13.8" hidden="1" thickBot="1">
      <c r="A25" s="908"/>
      <c r="B25" s="908"/>
      <c r="C25" s="908"/>
      <c r="D25" s="908"/>
      <c r="E25" s="908"/>
      <c r="F25" s="908"/>
      <c r="G25" s="908"/>
      <c r="H25" s="908"/>
      <c r="I25" s="908"/>
      <c r="J25" s="908"/>
      <c r="K25" s="908"/>
    </row>
    <row r="26" spans="1:12" ht="13.8" hidden="1" thickBot="1">
      <c r="A26" s="908"/>
      <c r="B26" s="908"/>
      <c r="C26" s="908"/>
      <c r="D26" s="908"/>
      <c r="E26" s="908"/>
      <c r="F26" s="908"/>
      <c r="G26" s="908"/>
      <c r="H26" s="908"/>
      <c r="I26" s="908"/>
      <c r="J26" s="908"/>
      <c r="K26" s="908"/>
    </row>
    <row r="27" spans="1:12" ht="13.8" hidden="1" thickBot="1">
      <c r="A27" s="908"/>
      <c r="B27" s="908"/>
      <c r="C27" s="908"/>
      <c r="D27" s="908"/>
      <c r="E27" s="908"/>
      <c r="F27" s="908"/>
      <c r="G27" s="908"/>
      <c r="H27" s="908"/>
      <c r="I27" s="908"/>
      <c r="J27" s="908"/>
      <c r="K27" s="908"/>
    </row>
    <row r="28" spans="1:12" ht="13.8" hidden="1" thickBot="1">
      <c r="A28" s="908"/>
      <c r="B28" s="908"/>
      <c r="C28" s="908"/>
      <c r="D28" s="908"/>
      <c r="E28" s="908"/>
      <c r="F28" s="908"/>
      <c r="G28" s="908"/>
      <c r="H28" s="908"/>
      <c r="I28" s="908"/>
      <c r="J28" s="908"/>
      <c r="K28" s="908"/>
    </row>
    <row r="29" spans="1:12" ht="13.8" hidden="1" thickBot="1">
      <c r="A29" s="908"/>
      <c r="B29" s="908"/>
      <c r="C29" s="908"/>
      <c r="D29" s="908"/>
      <c r="E29" s="908"/>
      <c r="F29" s="908"/>
      <c r="G29" s="908"/>
      <c r="H29" s="908"/>
      <c r="I29" s="908"/>
      <c r="J29" s="908"/>
      <c r="K29" s="908"/>
    </row>
    <row r="30" spans="1:12" ht="13.8" hidden="1" thickBot="1">
      <c r="A30" s="908"/>
      <c r="B30" s="908"/>
      <c r="C30" s="908"/>
      <c r="D30" s="908"/>
      <c r="E30" s="908"/>
      <c r="F30" s="908"/>
      <c r="G30" s="908"/>
      <c r="H30" s="908"/>
      <c r="I30" s="908"/>
      <c r="J30" s="908"/>
      <c r="K30" s="908"/>
    </row>
    <row r="31" spans="1:12" ht="201.75" customHeight="1" thickBot="1">
      <c r="A31" s="909" t="s">
        <v>542</v>
      </c>
      <c r="B31" s="910"/>
      <c r="C31" s="910"/>
      <c r="D31" s="910"/>
      <c r="E31" s="910"/>
      <c r="F31" s="910"/>
      <c r="G31" s="910"/>
      <c r="H31" s="910"/>
      <c r="I31" s="910"/>
      <c r="J31" s="910"/>
      <c r="K31" s="911"/>
    </row>
  </sheetData>
  <mergeCells count="17">
    <mergeCell ref="J18:K18"/>
    <mergeCell ref="A1:K1"/>
    <mergeCell ref="A5:K5"/>
    <mergeCell ref="J8:K8"/>
    <mergeCell ref="J9:K9"/>
    <mergeCell ref="J10:K10"/>
    <mergeCell ref="J11:K11"/>
    <mergeCell ref="J12:K12"/>
    <mergeCell ref="J13:K13"/>
    <mergeCell ref="J14:K14"/>
    <mergeCell ref="J15:K15"/>
    <mergeCell ref="J17:K17"/>
    <mergeCell ref="J19:K19"/>
    <mergeCell ref="A21:K21"/>
    <mergeCell ref="A23:K23"/>
    <mergeCell ref="A24:K30"/>
    <mergeCell ref="A31:K31"/>
  </mergeCells>
  <conditionalFormatting sqref="J10:K18">
    <cfRule type="cellIs" dxfId="163" priority="2" stopIfTrue="1" operator="equal">
      <formula>"Fail"</formula>
    </cfRule>
  </conditionalFormatting>
  <conditionalFormatting sqref="J19:K19">
    <cfRule type="cellIs" dxfId="162" priority="1" stopIfTrue="1" operator="equal">
      <formula>"Fail"</formula>
    </cfRule>
  </conditionalFormatting>
  <dataValidations count="2">
    <dataValidation type="list" allowBlank="1" showInputMessage="1" showErrorMessage="1" sqref="J14:K19" xr:uid="{00000000-0002-0000-0100-000000000000}">
      <formula1>NA</formula1>
    </dataValidation>
    <dataValidation type="list" allowBlank="1" showInputMessage="1" showErrorMessage="1" sqref="J10:K13" xr:uid="{00000000-0002-0000-0100-000001000000}">
      <formula1>PF</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9"/>
  <sheetViews>
    <sheetView showGridLines="0" zoomScale="125" zoomScaleNormal="140" zoomScaleSheetLayoutView="100" workbookViewId="0">
      <selection activeCell="B3" sqref="B3:E3"/>
    </sheetView>
  </sheetViews>
  <sheetFormatPr defaultRowHeight="13.2"/>
  <cols>
    <col min="1" max="1" width="13.5" style="483" customWidth="1"/>
    <col min="2" max="2" width="6.5" style="483" customWidth="1"/>
    <col min="3" max="3" width="36.19921875" style="483" customWidth="1"/>
    <col min="4" max="4" width="9.8984375" style="483" customWidth="1"/>
    <col min="5" max="5" width="15.5" style="483" customWidth="1"/>
    <col min="6" max="7" width="9" style="483"/>
    <col min="8" max="8" width="10.8984375" style="483" customWidth="1"/>
    <col min="9" max="256" width="9" style="483"/>
    <col min="257" max="257" width="13.5" style="483" customWidth="1"/>
    <col min="258" max="258" width="6.5" style="483" customWidth="1"/>
    <col min="259" max="259" width="36.19921875" style="483" customWidth="1"/>
    <col min="260" max="260" width="9.8984375" style="483" customWidth="1"/>
    <col min="261" max="261" width="15.5" style="483" customWidth="1"/>
    <col min="262" max="263" width="9" style="483"/>
    <col min="264" max="264" width="10.8984375" style="483" customWidth="1"/>
    <col min="265" max="512" width="9" style="483"/>
    <col min="513" max="513" width="13.5" style="483" customWidth="1"/>
    <col min="514" max="514" width="6.5" style="483" customWidth="1"/>
    <col min="515" max="515" width="36.19921875" style="483" customWidth="1"/>
    <col min="516" max="516" width="9.8984375" style="483" customWidth="1"/>
    <col min="517" max="517" width="15.5" style="483" customWidth="1"/>
    <col min="518" max="519" width="9" style="483"/>
    <col min="520" max="520" width="10.8984375" style="483" customWidth="1"/>
    <col min="521" max="768" width="9" style="483"/>
    <col min="769" max="769" width="13.5" style="483" customWidth="1"/>
    <col min="770" max="770" width="6.5" style="483" customWidth="1"/>
    <col min="771" max="771" width="36.19921875" style="483" customWidth="1"/>
    <col min="772" max="772" width="9.8984375" style="483" customWidth="1"/>
    <col min="773" max="773" width="15.5" style="483" customWidth="1"/>
    <col min="774" max="775" width="9" style="483"/>
    <col min="776" max="776" width="10.8984375" style="483" customWidth="1"/>
    <col min="777" max="1024" width="9" style="483"/>
    <col min="1025" max="1025" width="13.5" style="483" customWidth="1"/>
    <col min="1026" max="1026" width="6.5" style="483" customWidth="1"/>
    <col min="1027" max="1027" width="36.19921875" style="483" customWidth="1"/>
    <col min="1028" max="1028" width="9.8984375" style="483" customWidth="1"/>
    <col min="1029" max="1029" width="15.5" style="483" customWidth="1"/>
    <col min="1030" max="1031" width="9" style="483"/>
    <col min="1032" max="1032" width="10.8984375" style="483" customWidth="1"/>
    <col min="1033" max="1280" width="9" style="483"/>
    <col min="1281" max="1281" width="13.5" style="483" customWidth="1"/>
    <col min="1282" max="1282" width="6.5" style="483" customWidth="1"/>
    <col min="1283" max="1283" width="36.19921875" style="483" customWidth="1"/>
    <col min="1284" max="1284" width="9.8984375" style="483" customWidth="1"/>
    <col min="1285" max="1285" width="15.5" style="483" customWidth="1"/>
    <col min="1286" max="1287" width="9" style="483"/>
    <col min="1288" max="1288" width="10.8984375" style="483" customWidth="1"/>
    <col min="1289" max="1536" width="9" style="483"/>
    <col min="1537" max="1537" width="13.5" style="483" customWidth="1"/>
    <col min="1538" max="1538" width="6.5" style="483" customWidth="1"/>
    <col min="1539" max="1539" width="36.19921875" style="483" customWidth="1"/>
    <col min="1540" max="1540" width="9.8984375" style="483" customWidth="1"/>
    <col min="1541" max="1541" width="15.5" style="483" customWidth="1"/>
    <col min="1542" max="1543" width="9" style="483"/>
    <col min="1544" max="1544" width="10.8984375" style="483" customWidth="1"/>
    <col min="1545" max="1792" width="9" style="483"/>
    <col min="1793" max="1793" width="13.5" style="483" customWidth="1"/>
    <col min="1794" max="1794" width="6.5" style="483" customWidth="1"/>
    <col min="1795" max="1795" width="36.19921875" style="483" customWidth="1"/>
    <col min="1796" max="1796" width="9.8984375" style="483" customWidth="1"/>
    <col min="1797" max="1797" width="15.5" style="483" customWidth="1"/>
    <col min="1798" max="1799" width="9" style="483"/>
    <col min="1800" max="1800" width="10.8984375" style="483" customWidth="1"/>
    <col min="1801" max="2048" width="9" style="483"/>
    <col min="2049" max="2049" width="13.5" style="483" customWidth="1"/>
    <col min="2050" max="2050" width="6.5" style="483" customWidth="1"/>
    <col min="2051" max="2051" width="36.19921875" style="483" customWidth="1"/>
    <col min="2052" max="2052" width="9.8984375" style="483" customWidth="1"/>
    <col min="2053" max="2053" width="15.5" style="483" customWidth="1"/>
    <col min="2054" max="2055" width="9" style="483"/>
    <col min="2056" max="2056" width="10.8984375" style="483" customWidth="1"/>
    <col min="2057" max="2304" width="9" style="483"/>
    <col min="2305" max="2305" width="13.5" style="483" customWidth="1"/>
    <col min="2306" max="2306" width="6.5" style="483" customWidth="1"/>
    <col min="2307" max="2307" width="36.19921875" style="483" customWidth="1"/>
    <col min="2308" max="2308" width="9.8984375" style="483" customWidth="1"/>
    <col min="2309" max="2309" width="15.5" style="483" customWidth="1"/>
    <col min="2310" max="2311" width="9" style="483"/>
    <col min="2312" max="2312" width="10.8984375" style="483" customWidth="1"/>
    <col min="2313" max="2560" width="9" style="483"/>
    <col min="2561" max="2561" width="13.5" style="483" customWidth="1"/>
    <col min="2562" max="2562" width="6.5" style="483" customWidth="1"/>
    <col min="2563" max="2563" width="36.19921875" style="483" customWidth="1"/>
    <col min="2564" max="2564" width="9.8984375" style="483" customWidth="1"/>
    <col min="2565" max="2565" width="15.5" style="483" customWidth="1"/>
    <col min="2566" max="2567" width="9" style="483"/>
    <col min="2568" max="2568" width="10.8984375" style="483" customWidth="1"/>
    <col min="2569" max="2816" width="9" style="483"/>
    <col min="2817" max="2817" width="13.5" style="483" customWidth="1"/>
    <col min="2818" max="2818" width="6.5" style="483" customWidth="1"/>
    <col min="2819" max="2819" width="36.19921875" style="483" customWidth="1"/>
    <col min="2820" max="2820" width="9.8984375" style="483" customWidth="1"/>
    <col min="2821" max="2821" width="15.5" style="483" customWidth="1"/>
    <col min="2822" max="2823" width="9" style="483"/>
    <col min="2824" max="2824" width="10.8984375" style="483" customWidth="1"/>
    <col min="2825" max="3072" width="9" style="483"/>
    <col min="3073" max="3073" width="13.5" style="483" customWidth="1"/>
    <col min="3074" max="3074" width="6.5" style="483" customWidth="1"/>
    <col min="3075" max="3075" width="36.19921875" style="483" customWidth="1"/>
    <col min="3076" max="3076" width="9.8984375" style="483" customWidth="1"/>
    <col min="3077" max="3077" width="15.5" style="483" customWidth="1"/>
    <col min="3078" max="3079" width="9" style="483"/>
    <col min="3080" max="3080" width="10.8984375" style="483" customWidth="1"/>
    <col min="3081" max="3328" width="9" style="483"/>
    <col min="3329" max="3329" width="13.5" style="483" customWidth="1"/>
    <col min="3330" max="3330" width="6.5" style="483" customWidth="1"/>
    <col min="3331" max="3331" width="36.19921875" style="483" customWidth="1"/>
    <col min="3332" max="3332" width="9.8984375" style="483" customWidth="1"/>
    <col min="3333" max="3333" width="15.5" style="483" customWidth="1"/>
    <col min="3334" max="3335" width="9" style="483"/>
    <col min="3336" max="3336" width="10.8984375" style="483" customWidth="1"/>
    <col min="3337" max="3584" width="9" style="483"/>
    <col min="3585" max="3585" width="13.5" style="483" customWidth="1"/>
    <col min="3586" max="3586" width="6.5" style="483" customWidth="1"/>
    <col min="3587" max="3587" width="36.19921875" style="483" customWidth="1"/>
    <col min="3588" max="3588" width="9.8984375" style="483" customWidth="1"/>
    <col min="3589" max="3589" width="15.5" style="483" customWidth="1"/>
    <col min="3590" max="3591" width="9" style="483"/>
    <col min="3592" max="3592" width="10.8984375" style="483" customWidth="1"/>
    <col min="3593" max="3840" width="9" style="483"/>
    <col min="3841" max="3841" width="13.5" style="483" customWidth="1"/>
    <col min="3842" max="3842" width="6.5" style="483" customWidth="1"/>
    <col min="3843" max="3843" width="36.19921875" style="483" customWidth="1"/>
    <col min="3844" max="3844" width="9.8984375" style="483" customWidth="1"/>
    <col min="3845" max="3845" width="15.5" style="483" customWidth="1"/>
    <col min="3846" max="3847" width="9" style="483"/>
    <col min="3848" max="3848" width="10.8984375" style="483" customWidth="1"/>
    <col min="3849" max="4096" width="9" style="483"/>
    <col min="4097" max="4097" width="13.5" style="483" customWidth="1"/>
    <col min="4098" max="4098" width="6.5" style="483" customWidth="1"/>
    <col min="4099" max="4099" width="36.19921875" style="483" customWidth="1"/>
    <col min="4100" max="4100" width="9.8984375" style="483" customWidth="1"/>
    <col min="4101" max="4101" width="15.5" style="483" customWidth="1"/>
    <col min="4102" max="4103" width="9" style="483"/>
    <col min="4104" max="4104" width="10.8984375" style="483" customWidth="1"/>
    <col min="4105" max="4352" width="9" style="483"/>
    <col min="4353" max="4353" width="13.5" style="483" customWidth="1"/>
    <col min="4354" max="4354" width="6.5" style="483" customWidth="1"/>
    <col min="4355" max="4355" width="36.19921875" style="483" customWidth="1"/>
    <col min="4356" max="4356" width="9.8984375" style="483" customWidth="1"/>
    <col min="4357" max="4357" width="15.5" style="483" customWidth="1"/>
    <col min="4358" max="4359" width="9" style="483"/>
    <col min="4360" max="4360" width="10.8984375" style="483" customWidth="1"/>
    <col min="4361" max="4608" width="9" style="483"/>
    <col min="4609" max="4609" width="13.5" style="483" customWidth="1"/>
    <col min="4610" max="4610" width="6.5" style="483" customWidth="1"/>
    <col min="4611" max="4611" width="36.19921875" style="483" customWidth="1"/>
    <col min="4612" max="4612" width="9.8984375" style="483" customWidth="1"/>
    <col min="4613" max="4613" width="15.5" style="483" customWidth="1"/>
    <col min="4614" max="4615" width="9" style="483"/>
    <col min="4616" max="4616" width="10.8984375" style="483" customWidth="1"/>
    <col min="4617" max="4864" width="9" style="483"/>
    <col min="4865" max="4865" width="13.5" style="483" customWidth="1"/>
    <col min="4866" max="4866" width="6.5" style="483" customWidth="1"/>
    <col min="4867" max="4867" width="36.19921875" style="483" customWidth="1"/>
    <col min="4868" max="4868" width="9.8984375" style="483" customWidth="1"/>
    <col min="4869" max="4869" width="15.5" style="483" customWidth="1"/>
    <col min="4870" max="4871" width="9" style="483"/>
    <col min="4872" max="4872" width="10.8984375" style="483" customWidth="1"/>
    <col min="4873" max="5120" width="9" style="483"/>
    <col min="5121" max="5121" width="13.5" style="483" customWidth="1"/>
    <col min="5122" max="5122" width="6.5" style="483" customWidth="1"/>
    <col min="5123" max="5123" width="36.19921875" style="483" customWidth="1"/>
    <col min="5124" max="5124" width="9.8984375" style="483" customWidth="1"/>
    <col min="5125" max="5125" width="15.5" style="483" customWidth="1"/>
    <col min="5126" max="5127" width="9" style="483"/>
    <col min="5128" max="5128" width="10.8984375" style="483" customWidth="1"/>
    <col min="5129" max="5376" width="9" style="483"/>
    <col min="5377" max="5377" width="13.5" style="483" customWidth="1"/>
    <col min="5378" max="5378" width="6.5" style="483" customWidth="1"/>
    <col min="5379" max="5379" width="36.19921875" style="483" customWidth="1"/>
    <col min="5380" max="5380" width="9.8984375" style="483" customWidth="1"/>
    <col min="5381" max="5381" width="15.5" style="483" customWidth="1"/>
    <col min="5382" max="5383" width="9" style="483"/>
    <col min="5384" max="5384" width="10.8984375" style="483" customWidth="1"/>
    <col min="5385" max="5632" width="9" style="483"/>
    <col min="5633" max="5633" width="13.5" style="483" customWidth="1"/>
    <col min="5634" max="5634" width="6.5" style="483" customWidth="1"/>
    <col min="5635" max="5635" width="36.19921875" style="483" customWidth="1"/>
    <col min="5636" max="5636" width="9.8984375" style="483" customWidth="1"/>
    <col min="5637" max="5637" width="15.5" style="483" customWidth="1"/>
    <col min="5638" max="5639" width="9" style="483"/>
    <col min="5640" max="5640" width="10.8984375" style="483" customWidth="1"/>
    <col min="5641" max="5888" width="9" style="483"/>
    <col min="5889" max="5889" width="13.5" style="483" customWidth="1"/>
    <col min="5890" max="5890" width="6.5" style="483" customWidth="1"/>
    <col min="5891" max="5891" width="36.19921875" style="483" customWidth="1"/>
    <col min="5892" max="5892" width="9.8984375" style="483" customWidth="1"/>
    <col min="5893" max="5893" width="15.5" style="483" customWidth="1"/>
    <col min="5894" max="5895" width="9" style="483"/>
    <col min="5896" max="5896" width="10.8984375" style="483" customWidth="1"/>
    <col min="5897" max="6144" width="9" style="483"/>
    <col min="6145" max="6145" width="13.5" style="483" customWidth="1"/>
    <col min="6146" max="6146" width="6.5" style="483" customWidth="1"/>
    <col min="6147" max="6147" width="36.19921875" style="483" customWidth="1"/>
    <col min="6148" max="6148" width="9.8984375" style="483" customWidth="1"/>
    <col min="6149" max="6149" width="15.5" style="483" customWidth="1"/>
    <col min="6150" max="6151" width="9" style="483"/>
    <col min="6152" max="6152" width="10.8984375" style="483" customWidth="1"/>
    <col min="6153" max="6400" width="9" style="483"/>
    <col min="6401" max="6401" width="13.5" style="483" customWidth="1"/>
    <col min="6402" max="6402" width="6.5" style="483" customWidth="1"/>
    <col min="6403" max="6403" width="36.19921875" style="483" customWidth="1"/>
    <col min="6404" max="6404" width="9.8984375" style="483" customWidth="1"/>
    <col min="6405" max="6405" width="15.5" style="483" customWidth="1"/>
    <col min="6406" max="6407" width="9" style="483"/>
    <col min="6408" max="6408" width="10.8984375" style="483" customWidth="1"/>
    <col min="6409" max="6656" width="9" style="483"/>
    <col min="6657" max="6657" width="13.5" style="483" customWidth="1"/>
    <col min="6658" max="6658" width="6.5" style="483" customWidth="1"/>
    <col min="6659" max="6659" width="36.19921875" style="483" customWidth="1"/>
    <col min="6660" max="6660" width="9.8984375" style="483" customWidth="1"/>
    <col min="6661" max="6661" width="15.5" style="483" customWidth="1"/>
    <col min="6662" max="6663" width="9" style="483"/>
    <col min="6664" max="6664" width="10.8984375" style="483" customWidth="1"/>
    <col min="6665" max="6912" width="9" style="483"/>
    <col min="6913" max="6913" width="13.5" style="483" customWidth="1"/>
    <col min="6914" max="6914" width="6.5" style="483" customWidth="1"/>
    <col min="6915" max="6915" width="36.19921875" style="483" customWidth="1"/>
    <col min="6916" max="6916" width="9.8984375" style="483" customWidth="1"/>
    <col min="6917" max="6917" width="15.5" style="483" customWidth="1"/>
    <col min="6918" max="6919" width="9" style="483"/>
    <col min="6920" max="6920" width="10.8984375" style="483" customWidth="1"/>
    <col min="6921" max="7168" width="9" style="483"/>
    <col min="7169" max="7169" width="13.5" style="483" customWidth="1"/>
    <col min="7170" max="7170" width="6.5" style="483" customWidth="1"/>
    <col min="7171" max="7171" width="36.19921875" style="483" customWidth="1"/>
    <col min="7172" max="7172" width="9.8984375" style="483" customWidth="1"/>
    <col min="7173" max="7173" width="15.5" style="483" customWidth="1"/>
    <col min="7174" max="7175" width="9" style="483"/>
    <col min="7176" max="7176" width="10.8984375" style="483" customWidth="1"/>
    <col min="7177" max="7424" width="9" style="483"/>
    <col min="7425" max="7425" width="13.5" style="483" customWidth="1"/>
    <col min="7426" max="7426" width="6.5" style="483" customWidth="1"/>
    <col min="7427" max="7427" width="36.19921875" style="483" customWidth="1"/>
    <col min="7428" max="7428" width="9.8984375" style="483" customWidth="1"/>
    <col min="7429" max="7429" width="15.5" style="483" customWidth="1"/>
    <col min="7430" max="7431" width="9" style="483"/>
    <col min="7432" max="7432" width="10.8984375" style="483" customWidth="1"/>
    <col min="7433" max="7680" width="9" style="483"/>
    <col min="7681" max="7681" width="13.5" style="483" customWidth="1"/>
    <col min="7682" max="7682" width="6.5" style="483" customWidth="1"/>
    <col min="7683" max="7683" width="36.19921875" style="483" customWidth="1"/>
    <col min="7684" max="7684" width="9.8984375" style="483" customWidth="1"/>
    <col min="7685" max="7685" width="15.5" style="483" customWidth="1"/>
    <col min="7686" max="7687" width="9" style="483"/>
    <col min="7688" max="7688" width="10.8984375" style="483" customWidth="1"/>
    <col min="7689" max="7936" width="9" style="483"/>
    <col min="7937" max="7937" width="13.5" style="483" customWidth="1"/>
    <col min="7938" max="7938" width="6.5" style="483" customWidth="1"/>
    <col min="7939" max="7939" width="36.19921875" style="483" customWidth="1"/>
    <col min="7940" max="7940" width="9.8984375" style="483" customWidth="1"/>
    <col min="7941" max="7941" width="15.5" style="483" customWidth="1"/>
    <col min="7942" max="7943" width="9" style="483"/>
    <col min="7944" max="7944" width="10.8984375" style="483" customWidth="1"/>
    <col min="7945" max="8192" width="9" style="483"/>
    <col min="8193" max="8193" width="13.5" style="483" customWidth="1"/>
    <col min="8194" max="8194" width="6.5" style="483" customWidth="1"/>
    <col min="8195" max="8195" width="36.19921875" style="483" customWidth="1"/>
    <col min="8196" max="8196" width="9.8984375" style="483" customWidth="1"/>
    <col min="8197" max="8197" width="15.5" style="483" customWidth="1"/>
    <col min="8198" max="8199" width="9" style="483"/>
    <col min="8200" max="8200" width="10.8984375" style="483" customWidth="1"/>
    <col min="8201" max="8448" width="9" style="483"/>
    <col min="8449" max="8449" width="13.5" style="483" customWidth="1"/>
    <col min="8450" max="8450" width="6.5" style="483" customWidth="1"/>
    <col min="8451" max="8451" width="36.19921875" style="483" customWidth="1"/>
    <col min="8452" max="8452" width="9.8984375" style="483" customWidth="1"/>
    <col min="8453" max="8453" width="15.5" style="483" customWidth="1"/>
    <col min="8454" max="8455" width="9" style="483"/>
    <col min="8456" max="8456" width="10.8984375" style="483" customWidth="1"/>
    <col min="8457" max="8704" width="9" style="483"/>
    <col min="8705" max="8705" width="13.5" style="483" customWidth="1"/>
    <col min="8706" max="8706" width="6.5" style="483" customWidth="1"/>
    <col min="8707" max="8707" width="36.19921875" style="483" customWidth="1"/>
    <col min="8708" max="8708" width="9.8984375" style="483" customWidth="1"/>
    <col min="8709" max="8709" width="15.5" style="483" customWidth="1"/>
    <col min="8710" max="8711" width="9" style="483"/>
    <col min="8712" max="8712" width="10.8984375" style="483" customWidth="1"/>
    <col min="8713" max="8960" width="9" style="483"/>
    <col min="8961" max="8961" width="13.5" style="483" customWidth="1"/>
    <col min="8962" max="8962" width="6.5" style="483" customWidth="1"/>
    <col min="8963" max="8963" width="36.19921875" style="483" customWidth="1"/>
    <col min="8964" max="8964" width="9.8984375" style="483" customWidth="1"/>
    <col min="8965" max="8965" width="15.5" style="483" customWidth="1"/>
    <col min="8966" max="8967" width="9" style="483"/>
    <col min="8968" max="8968" width="10.8984375" style="483" customWidth="1"/>
    <col min="8969" max="9216" width="9" style="483"/>
    <col min="9217" max="9217" width="13.5" style="483" customWidth="1"/>
    <col min="9218" max="9218" width="6.5" style="483" customWidth="1"/>
    <col min="9219" max="9219" width="36.19921875" style="483" customWidth="1"/>
    <col min="9220" max="9220" width="9.8984375" style="483" customWidth="1"/>
    <col min="9221" max="9221" width="15.5" style="483" customWidth="1"/>
    <col min="9222" max="9223" width="9" style="483"/>
    <col min="9224" max="9224" width="10.8984375" style="483" customWidth="1"/>
    <col min="9225" max="9472" width="9" style="483"/>
    <col min="9473" max="9473" width="13.5" style="483" customWidth="1"/>
    <col min="9474" max="9474" width="6.5" style="483" customWidth="1"/>
    <col min="9475" max="9475" width="36.19921875" style="483" customWidth="1"/>
    <col min="9476" max="9476" width="9.8984375" style="483" customWidth="1"/>
    <col min="9477" max="9477" width="15.5" style="483" customWidth="1"/>
    <col min="9478" max="9479" width="9" style="483"/>
    <col min="9480" max="9480" width="10.8984375" style="483" customWidth="1"/>
    <col min="9481" max="9728" width="9" style="483"/>
    <col min="9729" max="9729" width="13.5" style="483" customWidth="1"/>
    <col min="9730" max="9730" width="6.5" style="483" customWidth="1"/>
    <col min="9731" max="9731" width="36.19921875" style="483" customWidth="1"/>
    <col min="9732" max="9732" width="9.8984375" style="483" customWidth="1"/>
    <col min="9733" max="9733" width="15.5" style="483" customWidth="1"/>
    <col min="9734" max="9735" width="9" style="483"/>
    <col min="9736" max="9736" width="10.8984375" style="483" customWidth="1"/>
    <col min="9737" max="9984" width="9" style="483"/>
    <col min="9985" max="9985" width="13.5" style="483" customWidth="1"/>
    <col min="9986" max="9986" width="6.5" style="483" customWidth="1"/>
    <col min="9987" max="9987" width="36.19921875" style="483" customWidth="1"/>
    <col min="9988" max="9988" width="9.8984375" style="483" customWidth="1"/>
    <col min="9989" max="9989" width="15.5" style="483" customWidth="1"/>
    <col min="9990" max="9991" width="9" style="483"/>
    <col min="9992" max="9992" width="10.8984375" style="483" customWidth="1"/>
    <col min="9993" max="10240" width="9" style="483"/>
    <col min="10241" max="10241" width="13.5" style="483" customWidth="1"/>
    <col min="10242" max="10242" width="6.5" style="483" customWidth="1"/>
    <col min="10243" max="10243" width="36.19921875" style="483" customWidth="1"/>
    <col min="10244" max="10244" width="9.8984375" style="483" customWidth="1"/>
    <col min="10245" max="10245" width="15.5" style="483" customWidth="1"/>
    <col min="10246" max="10247" width="9" style="483"/>
    <col min="10248" max="10248" width="10.8984375" style="483" customWidth="1"/>
    <col min="10249" max="10496" width="9" style="483"/>
    <col min="10497" max="10497" width="13.5" style="483" customWidth="1"/>
    <col min="10498" max="10498" width="6.5" style="483" customWidth="1"/>
    <col min="10499" max="10499" width="36.19921875" style="483" customWidth="1"/>
    <col min="10500" max="10500" width="9.8984375" style="483" customWidth="1"/>
    <col min="10501" max="10501" width="15.5" style="483" customWidth="1"/>
    <col min="10502" max="10503" width="9" style="483"/>
    <col min="10504" max="10504" width="10.8984375" style="483" customWidth="1"/>
    <col min="10505" max="10752" width="9" style="483"/>
    <col min="10753" max="10753" width="13.5" style="483" customWidth="1"/>
    <col min="10754" max="10754" width="6.5" style="483" customWidth="1"/>
    <col min="10755" max="10755" width="36.19921875" style="483" customWidth="1"/>
    <col min="10756" max="10756" width="9.8984375" style="483" customWidth="1"/>
    <col min="10757" max="10757" width="15.5" style="483" customWidth="1"/>
    <col min="10758" max="10759" width="9" style="483"/>
    <col min="10760" max="10760" width="10.8984375" style="483" customWidth="1"/>
    <col min="10761" max="11008" width="9" style="483"/>
    <col min="11009" max="11009" width="13.5" style="483" customWidth="1"/>
    <col min="11010" max="11010" width="6.5" style="483" customWidth="1"/>
    <col min="11011" max="11011" width="36.19921875" style="483" customWidth="1"/>
    <col min="11012" max="11012" width="9.8984375" style="483" customWidth="1"/>
    <col min="11013" max="11013" width="15.5" style="483" customWidth="1"/>
    <col min="11014" max="11015" width="9" style="483"/>
    <col min="11016" max="11016" width="10.8984375" style="483" customWidth="1"/>
    <col min="11017" max="11264" width="9" style="483"/>
    <col min="11265" max="11265" width="13.5" style="483" customWidth="1"/>
    <col min="11266" max="11266" width="6.5" style="483" customWidth="1"/>
    <col min="11267" max="11267" width="36.19921875" style="483" customWidth="1"/>
    <col min="11268" max="11268" width="9.8984375" style="483" customWidth="1"/>
    <col min="11269" max="11269" width="15.5" style="483" customWidth="1"/>
    <col min="11270" max="11271" width="9" style="483"/>
    <col min="11272" max="11272" width="10.8984375" style="483" customWidth="1"/>
    <col min="11273" max="11520" width="9" style="483"/>
    <col min="11521" max="11521" width="13.5" style="483" customWidth="1"/>
    <col min="11522" max="11522" width="6.5" style="483" customWidth="1"/>
    <col min="11523" max="11523" width="36.19921875" style="483" customWidth="1"/>
    <col min="11524" max="11524" width="9.8984375" style="483" customWidth="1"/>
    <col min="11525" max="11525" width="15.5" style="483" customWidth="1"/>
    <col min="11526" max="11527" width="9" style="483"/>
    <col min="11528" max="11528" width="10.8984375" style="483" customWidth="1"/>
    <col min="11529" max="11776" width="9" style="483"/>
    <col min="11777" max="11777" width="13.5" style="483" customWidth="1"/>
    <col min="11778" max="11778" width="6.5" style="483" customWidth="1"/>
    <col min="11779" max="11779" width="36.19921875" style="483" customWidth="1"/>
    <col min="11780" max="11780" width="9.8984375" style="483" customWidth="1"/>
    <col min="11781" max="11781" width="15.5" style="483" customWidth="1"/>
    <col min="11782" max="11783" width="9" style="483"/>
    <col min="11784" max="11784" width="10.8984375" style="483" customWidth="1"/>
    <col min="11785" max="12032" width="9" style="483"/>
    <col min="12033" max="12033" width="13.5" style="483" customWidth="1"/>
    <col min="12034" max="12034" width="6.5" style="483" customWidth="1"/>
    <col min="12035" max="12035" width="36.19921875" style="483" customWidth="1"/>
    <col min="12036" max="12036" width="9.8984375" style="483" customWidth="1"/>
    <col min="12037" max="12037" width="15.5" style="483" customWidth="1"/>
    <col min="12038" max="12039" width="9" style="483"/>
    <col min="12040" max="12040" width="10.8984375" style="483" customWidth="1"/>
    <col min="12041" max="12288" width="9" style="483"/>
    <col min="12289" max="12289" width="13.5" style="483" customWidth="1"/>
    <col min="12290" max="12290" width="6.5" style="483" customWidth="1"/>
    <col min="12291" max="12291" width="36.19921875" style="483" customWidth="1"/>
    <col min="12292" max="12292" width="9.8984375" style="483" customWidth="1"/>
    <col min="12293" max="12293" width="15.5" style="483" customWidth="1"/>
    <col min="12294" max="12295" width="9" style="483"/>
    <col min="12296" max="12296" width="10.8984375" style="483" customWidth="1"/>
    <col min="12297" max="12544" width="9" style="483"/>
    <col min="12545" max="12545" width="13.5" style="483" customWidth="1"/>
    <col min="12546" max="12546" width="6.5" style="483" customWidth="1"/>
    <col min="12547" max="12547" width="36.19921875" style="483" customWidth="1"/>
    <col min="12548" max="12548" width="9.8984375" style="483" customWidth="1"/>
    <col min="12549" max="12549" width="15.5" style="483" customWidth="1"/>
    <col min="12550" max="12551" width="9" style="483"/>
    <col min="12552" max="12552" width="10.8984375" style="483" customWidth="1"/>
    <col min="12553" max="12800" width="9" style="483"/>
    <col min="12801" max="12801" width="13.5" style="483" customWidth="1"/>
    <col min="12802" max="12802" width="6.5" style="483" customWidth="1"/>
    <col min="12803" max="12803" width="36.19921875" style="483" customWidth="1"/>
    <col min="12804" max="12804" width="9.8984375" style="483" customWidth="1"/>
    <col min="12805" max="12805" width="15.5" style="483" customWidth="1"/>
    <col min="12806" max="12807" width="9" style="483"/>
    <col min="12808" max="12808" width="10.8984375" style="483" customWidth="1"/>
    <col min="12809" max="13056" width="9" style="483"/>
    <col min="13057" max="13057" width="13.5" style="483" customWidth="1"/>
    <col min="13058" max="13058" width="6.5" style="483" customWidth="1"/>
    <col min="13059" max="13059" width="36.19921875" style="483" customWidth="1"/>
    <col min="13060" max="13060" width="9.8984375" style="483" customWidth="1"/>
    <col min="13061" max="13061" width="15.5" style="483" customWidth="1"/>
    <col min="13062" max="13063" width="9" style="483"/>
    <col min="13064" max="13064" width="10.8984375" style="483" customWidth="1"/>
    <col min="13065" max="13312" width="9" style="483"/>
    <col min="13313" max="13313" width="13.5" style="483" customWidth="1"/>
    <col min="13314" max="13314" width="6.5" style="483" customWidth="1"/>
    <col min="13315" max="13315" width="36.19921875" style="483" customWidth="1"/>
    <col min="13316" max="13316" width="9.8984375" style="483" customWidth="1"/>
    <col min="13317" max="13317" width="15.5" style="483" customWidth="1"/>
    <col min="13318" max="13319" width="9" style="483"/>
    <col min="13320" max="13320" width="10.8984375" style="483" customWidth="1"/>
    <col min="13321" max="13568" width="9" style="483"/>
    <col min="13569" max="13569" width="13.5" style="483" customWidth="1"/>
    <col min="13570" max="13570" width="6.5" style="483" customWidth="1"/>
    <col min="13571" max="13571" width="36.19921875" style="483" customWidth="1"/>
    <col min="13572" max="13572" width="9.8984375" style="483" customWidth="1"/>
    <col min="13573" max="13573" width="15.5" style="483" customWidth="1"/>
    <col min="13574" max="13575" width="9" style="483"/>
    <col min="13576" max="13576" width="10.8984375" style="483" customWidth="1"/>
    <col min="13577" max="13824" width="9" style="483"/>
    <col min="13825" max="13825" width="13.5" style="483" customWidth="1"/>
    <col min="13826" max="13826" width="6.5" style="483" customWidth="1"/>
    <col min="13827" max="13827" width="36.19921875" style="483" customWidth="1"/>
    <col min="13828" max="13828" width="9.8984375" style="483" customWidth="1"/>
    <col min="13829" max="13829" width="15.5" style="483" customWidth="1"/>
    <col min="13830" max="13831" width="9" style="483"/>
    <col min="13832" max="13832" width="10.8984375" style="483" customWidth="1"/>
    <col min="13833" max="14080" width="9" style="483"/>
    <col min="14081" max="14081" width="13.5" style="483" customWidth="1"/>
    <col min="14082" max="14082" width="6.5" style="483" customWidth="1"/>
    <col min="14083" max="14083" width="36.19921875" style="483" customWidth="1"/>
    <col min="14084" max="14084" width="9.8984375" style="483" customWidth="1"/>
    <col min="14085" max="14085" width="15.5" style="483" customWidth="1"/>
    <col min="14086" max="14087" width="9" style="483"/>
    <col min="14088" max="14088" width="10.8984375" style="483" customWidth="1"/>
    <col min="14089" max="14336" width="9" style="483"/>
    <col min="14337" max="14337" width="13.5" style="483" customWidth="1"/>
    <col min="14338" max="14338" width="6.5" style="483" customWidth="1"/>
    <col min="14339" max="14339" width="36.19921875" style="483" customWidth="1"/>
    <col min="14340" max="14340" width="9.8984375" style="483" customWidth="1"/>
    <col min="14341" max="14341" width="15.5" style="483" customWidth="1"/>
    <col min="14342" max="14343" width="9" style="483"/>
    <col min="14344" max="14344" width="10.8984375" style="483" customWidth="1"/>
    <col min="14345" max="14592" width="9" style="483"/>
    <col min="14593" max="14593" width="13.5" style="483" customWidth="1"/>
    <col min="14594" max="14594" width="6.5" style="483" customWidth="1"/>
    <col min="14595" max="14595" width="36.19921875" style="483" customWidth="1"/>
    <col min="14596" max="14596" width="9.8984375" style="483" customWidth="1"/>
    <col min="14597" max="14597" width="15.5" style="483" customWidth="1"/>
    <col min="14598" max="14599" width="9" style="483"/>
    <col min="14600" max="14600" width="10.8984375" style="483" customWidth="1"/>
    <col min="14601" max="14848" width="9" style="483"/>
    <col min="14849" max="14849" width="13.5" style="483" customWidth="1"/>
    <col min="14850" max="14850" width="6.5" style="483" customWidth="1"/>
    <col min="14851" max="14851" width="36.19921875" style="483" customWidth="1"/>
    <col min="14852" max="14852" width="9.8984375" style="483" customWidth="1"/>
    <col min="14853" max="14853" width="15.5" style="483" customWidth="1"/>
    <col min="14854" max="14855" width="9" style="483"/>
    <col min="14856" max="14856" width="10.8984375" style="483" customWidth="1"/>
    <col min="14857" max="15104" width="9" style="483"/>
    <col min="15105" max="15105" width="13.5" style="483" customWidth="1"/>
    <col min="15106" max="15106" width="6.5" style="483" customWidth="1"/>
    <col min="15107" max="15107" width="36.19921875" style="483" customWidth="1"/>
    <col min="15108" max="15108" width="9.8984375" style="483" customWidth="1"/>
    <col min="15109" max="15109" width="15.5" style="483" customWidth="1"/>
    <col min="15110" max="15111" width="9" style="483"/>
    <col min="15112" max="15112" width="10.8984375" style="483" customWidth="1"/>
    <col min="15113" max="15360" width="9" style="483"/>
    <col min="15361" max="15361" width="13.5" style="483" customWidth="1"/>
    <col min="15362" max="15362" width="6.5" style="483" customWidth="1"/>
    <col min="15363" max="15363" width="36.19921875" style="483" customWidth="1"/>
    <col min="15364" max="15364" width="9.8984375" style="483" customWidth="1"/>
    <col min="15365" max="15365" width="15.5" style="483" customWidth="1"/>
    <col min="15366" max="15367" width="9" style="483"/>
    <col min="15368" max="15368" width="10.8984375" style="483" customWidth="1"/>
    <col min="15369" max="15616" width="9" style="483"/>
    <col min="15617" max="15617" width="13.5" style="483" customWidth="1"/>
    <col min="15618" max="15618" width="6.5" style="483" customWidth="1"/>
    <col min="15619" max="15619" width="36.19921875" style="483" customWidth="1"/>
    <col min="15620" max="15620" width="9.8984375" style="483" customWidth="1"/>
    <col min="15621" max="15621" width="15.5" style="483" customWidth="1"/>
    <col min="15622" max="15623" width="9" style="483"/>
    <col min="15624" max="15624" width="10.8984375" style="483" customWidth="1"/>
    <col min="15625" max="15872" width="9" style="483"/>
    <col min="15873" max="15873" width="13.5" style="483" customWidth="1"/>
    <col min="15874" max="15874" width="6.5" style="483" customWidth="1"/>
    <col min="15875" max="15875" width="36.19921875" style="483" customWidth="1"/>
    <col min="15876" max="15876" width="9.8984375" style="483" customWidth="1"/>
    <col min="15877" max="15877" width="15.5" style="483" customWidth="1"/>
    <col min="15878" max="15879" width="9" style="483"/>
    <col min="15880" max="15880" width="10.8984375" style="483" customWidth="1"/>
    <col min="15881" max="16128" width="9" style="483"/>
    <col min="16129" max="16129" width="13.5" style="483" customWidth="1"/>
    <col min="16130" max="16130" width="6.5" style="483" customWidth="1"/>
    <col min="16131" max="16131" width="36.19921875" style="483" customWidth="1"/>
    <col min="16132" max="16132" width="9.8984375" style="483" customWidth="1"/>
    <col min="16133" max="16133" width="15.5" style="483" customWidth="1"/>
    <col min="16134" max="16135" width="9" style="483"/>
    <col min="16136" max="16136" width="10.8984375" style="483" customWidth="1"/>
    <col min="16137" max="16384" width="9" style="483"/>
  </cols>
  <sheetData>
    <row r="1" spans="1:5" ht="33" customHeight="1">
      <c r="A1" s="918" t="s">
        <v>630</v>
      </c>
      <c r="B1" s="919"/>
      <c r="C1" s="919"/>
      <c r="D1" s="919"/>
      <c r="E1" s="919"/>
    </row>
    <row r="2" spans="1:5" ht="18" customHeight="1">
      <c r="A2" s="717"/>
      <c r="B2" s="717"/>
      <c r="C2" s="717"/>
      <c r="D2" s="717"/>
      <c r="E2" s="717"/>
    </row>
    <row r="3" spans="1:5" ht="16.5" customHeight="1">
      <c r="A3" s="718" t="s">
        <v>631</v>
      </c>
      <c r="B3" s="920">
        <f>'QC Test Summary-Siemens'!C4</f>
        <v>0</v>
      </c>
      <c r="C3" s="920"/>
      <c r="D3" s="920"/>
      <c r="E3" s="920"/>
    </row>
    <row r="4" spans="1:5" ht="16.5" customHeight="1">
      <c r="A4" s="718" t="s">
        <v>632</v>
      </c>
      <c r="B4" s="921" t="str">
        <f>Sheet1!R17</f>
        <v/>
      </c>
      <c r="C4" s="921"/>
      <c r="D4" s="719" t="s">
        <v>43</v>
      </c>
      <c r="E4" s="720" t="str">
        <f>Sheet1!R18</f>
        <v/>
      </c>
    </row>
    <row r="5" spans="1:5" ht="16.5" customHeight="1">
      <c r="A5" s="718" t="s">
        <v>633</v>
      </c>
      <c r="B5" s="720" t="str">
        <f>Sheet1!V18</f>
        <v/>
      </c>
      <c r="C5" s="720"/>
      <c r="D5" s="719" t="s">
        <v>634</v>
      </c>
      <c r="E5" s="769" t="str">
        <f>Sheet1!V17</f>
        <v/>
      </c>
    </row>
    <row r="6" spans="1:5" ht="16.5" customHeight="1">
      <c r="A6" s="718" t="s">
        <v>635</v>
      </c>
      <c r="B6" s="921" t="str">
        <f>Sheet1!X7</f>
        <v>Eugene Mah</v>
      </c>
      <c r="C6" s="921"/>
      <c r="D6" s="719" t="s">
        <v>636</v>
      </c>
      <c r="E6" s="721" t="str">
        <f>Sheet1!R14</f>
        <v/>
      </c>
    </row>
    <row r="7" spans="1:5" ht="16.5" customHeight="1">
      <c r="A7" s="718" t="s">
        <v>637</v>
      </c>
      <c r="B7" s="921"/>
      <c r="C7" s="921"/>
      <c r="D7" s="719" t="s">
        <v>638</v>
      </c>
      <c r="E7" s="770">
        <f>Sheet1!P7</f>
        <v>0</v>
      </c>
    </row>
    <row r="8" spans="1:5" ht="21.75" customHeight="1" thickBot="1"/>
    <row r="9" spans="1:5" ht="35.25" customHeight="1" thickBot="1">
      <c r="A9" s="722" t="s">
        <v>639</v>
      </c>
      <c r="B9" s="723" t="s">
        <v>640</v>
      </c>
      <c r="C9" s="724" t="s">
        <v>641</v>
      </c>
      <c r="D9" s="723" t="s">
        <v>642</v>
      </c>
      <c r="E9" s="725" t="s">
        <v>759</v>
      </c>
    </row>
    <row r="10" spans="1:5" ht="33" customHeight="1" thickTop="1">
      <c r="A10" s="916" t="s">
        <v>643</v>
      </c>
      <c r="B10" s="726" t="s">
        <v>644</v>
      </c>
      <c r="C10" s="727" t="s">
        <v>645</v>
      </c>
      <c r="D10" s="728" t="s">
        <v>646</v>
      </c>
      <c r="E10" s="729"/>
    </row>
    <row r="11" spans="1:5" ht="25.5" customHeight="1" thickBot="1">
      <c r="A11" s="917"/>
      <c r="B11" s="730" t="s">
        <v>647</v>
      </c>
      <c r="C11" s="731" t="s">
        <v>648</v>
      </c>
      <c r="D11" s="732" t="s">
        <v>646</v>
      </c>
      <c r="E11" s="733"/>
    </row>
    <row r="12" spans="1:5" ht="33.75" customHeight="1">
      <c r="A12" s="927" t="s">
        <v>649</v>
      </c>
      <c r="B12" s="734" t="s">
        <v>650</v>
      </c>
      <c r="C12" s="735" t="s">
        <v>651</v>
      </c>
      <c r="D12" s="736" t="s">
        <v>652</v>
      </c>
      <c r="E12" s="737"/>
    </row>
    <row r="13" spans="1:5" ht="33.75" customHeight="1">
      <c r="A13" s="928"/>
      <c r="B13" s="738" t="s">
        <v>653</v>
      </c>
      <c r="C13" s="739" t="s">
        <v>654</v>
      </c>
      <c r="D13" s="740" t="s">
        <v>652</v>
      </c>
      <c r="E13" s="741"/>
    </row>
    <row r="14" spans="1:5" ht="34.5" customHeight="1" thickBot="1">
      <c r="A14" s="929"/>
      <c r="B14" s="742" t="s">
        <v>655</v>
      </c>
      <c r="C14" s="743" t="s">
        <v>656</v>
      </c>
      <c r="D14" s="732" t="s">
        <v>646</v>
      </c>
      <c r="E14" s="744"/>
    </row>
    <row r="15" spans="1:5" ht="40.799999999999997">
      <c r="A15" s="930" t="s">
        <v>657</v>
      </c>
      <c r="B15" s="745" t="s">
        <v>658</v>
      </c>
      <c r="C15" s="746" t="s">
        <v>659</v>
      </c>
      <c r="D15" s="736" t="s">
        <v>646</v>
      </c>
      <c r="E15" s="747"/>
    </row>
    <row r="16" spans="1:5" ht="54.75" customHeight="1" thickBot="1">
      <c r="A16" s="931"/>
      <c r="B16" s="730" t="s">
        <v>660</v>
      </c>
      <c r="C16" s="748" t="s">
        <v>709</v>
      </c>
      <c r="D16" s="732" t="s">
        <v>661</v>
      </c>
      <c r="E16" s="749"/>
    </row>
    <row r="17" spans="1:5" ht="33.75" customHeight="1">
      <c r="A17" s="922" t="s">
        <v>662</v>
      </c>
      <c r="B17" s="750" t="s">
        <v>663</v>
      </c>
      <c r="C17" s="735" t="s">
        <v>664</v>
      </c>
      <c r="D17" s="736" t="s">
        <v>646</v>
      </c>
      <c r="E17" s="751"/>
    </row>
    <row r="18" spans="1:5" ht="33.75" customHeight="1" thickBot="1">
      <c r="A18" s="917"/>
      <c r="B18" s="752" t="s">
        <v>665</v>
      </c>
      <c r="C18" s="753" t="s">
        <v>666</v>
      </c>
      <c r="D18" s="732" t="s">
        <v>646</v>
      </c>
      <c r="E18" s="733"/>
    </row>
    <row r="19" spans="1:5" ht="20.399999999999999">
      <c r="A19" s="932" t="s">
        <v>667</v>
      </c>
      <c r="B19" s="750" t="s">
        <v>668</v>
      </c>
      <c r="C19" s="735" t="s">
        <v>669</v>
      </c>
      <c r="D19" s="736" t="s">
        <v>646</v>
      </c>
      <c r="E19" s="751"/>
    </row>
    <row r="20" spans="1:5" ht="33.75" customHeight="1">
      <c r="A20" s="933"/>
      <c r="B20" s="754" t="s">
        <v>670</v>
      </c>
      <c r="C20" s="755" t="s">
        <v>671</v>
      </c>
      <c r="D20" s="728" t="s">
        <v>646</v>
      </c>
      <c r="E20" s="756"/>
    </row>
    <row r="21" spans="1:5" ht="54.75" customHeight="1" thickBot="1">
      <c r="A21" s="934"/>
      <c r="B21" s="752" t="s">
        <v>672</v>
      </c>
      <c r="C21" s="753" t="s">
        <v>673</v>
      </c>
      <c r="D21" s="732" t="s">
        <v>646</v>
      </c>
      <c r="E21" s="733"/>
    </row>
    <row r="22" spans="1:5" ht="33.75" customHeight="1">
      <c r="A22" s="922" t="s">
        <v>674</v>
      </c>
      <c r="B22" s="750" t="s">
        <v>675</v>
      </c>
      <c r="C22" s="735" t="s">
        <v>676</v>
      </c>
      <c r="D22" s="736" t="s">
        <v>646</v>
      </c>
      <c r="E22" s="751"/>
    </row>
    <row r="23" spans="1:5" ht="25.5" customHeight="1" thickBot="1">
      <c r="A23" s="917"/>
      <c r="B23" s="730" t="s">
        <v>677</v>
      </c>
      <c r="C23" s="743" t="s">
        <v>678</v>
      </c>
      <c r="D23" s="732" t="s">
        <v>646</v>
      </c>
      <c r="E23" s="749"/>
    </row>
    <row r="24" spans="1:5" ht="30.6">
      <c r="A24" s="932" t="s">
        <v>679</v>
      </c>
      <c r="B24" s="750" t="s">
        <v>680</v>
      </c>
      <c r="C24" s="735" t="s">
        <v>681</v>
      </c>
      <c r="D24" s="736" t="s">
        <v>646</v>
      </c>
      <c r="E24" s="751"/>
    </row>
    <row r="25" spans="1:5" ht="45.75" customHeight="1">
      <c r="A25" s="933"/>
      <c r="B25" s="754" t="s">
        <v>682</v>
      </c>
      <c r="C25" s="739" t="s">
        <v>683</v>
      </c>
      <c r="D25" s="728" t="s">
        <v>661</v>
      </c>
      <c r="E25" s="756"/>
    </row>
    <row r="26" spans="1:5" ht="46.5" customHeight="1">
      <c r="A26" s="933"/>
      <c r="B26" s="757" t="s">
        <v>684</v>
      </c>
      <c r="C26" s="739" t="s">
        <v>685</v>
      </c>
      <c r="D26" s="728" t="s">
        <v>646</v>
      </c>
      <c r="E26" s="756"/>
    </row>
    <row r="27" spans="1:5" ht="20.399999999999999">
      <c r="A27" s="933"/>
      <c r="B27" s="757" t="s">
        <v>686</v>
      </c>
      <c r="C27" s="739" t="s">
        <v>687</v>
      </c>
      <c r="D27" s="728" t="s">
        <v>646</v>
      </c>
      <c r="E27" s="756"/>
    </row>
    <row r="28" spans="1:5" ht="21" thickBot="1">
      <c r="A28" s="934"/>
      <c r="B28" s="758" t="s">
        <v>688</v>
      </c>
      <c r="C28" s="743" t="s">
        <v>689</v>
      </c>
      <c r="D28" s="732" t="s">
        <v>646</v>
      </c>
      <c r="E28" s="749"/>
    </row>
    <row r="29" spans="1:5" ht="20.399999999999999">
      <c r="A29" s="922" t="s">
        <v>690</v>
      </c>
      <c r="B29" s="759" t="s">
        <v>691</v>
      </c>
      <c r="C29" s="735" t="s">
        <v>692</v>
      </c>
      <c r="D29" s="736" t="s">
        <v>646</v>
      </c>
      <c r="E29" s="751"/>
    </row>
    <row r="30" spans="1:5" ht="54.75" customHeight="1">
      <c r="A30" s="923"/>
      <c r="B30" s="757" t="s">
        <v>693</v>
      </c>
      <c r="C30" s="739" t="s">
        <v>694</v>
      </c>
      <c r="D30" s="728" t="s">
        <v>646</v>
      </c>
      <c r="E30" s="756"/>
    </row>
    <row r="31" spans="1:5" ht="31.2" thickBot="1">
      <c r="A31" s="924"/>
      <c r="B31" s="758" t="s">
        <v>695</v>
      </c>
      <c r="C31" s="743" t="s">
        <v>696</v>
      </c>
      <c r="D31" s="732" t="s">
        <v>646</v>
      </c>
      <c r="E31" s="749"/>
    </row>
    <row r="32" spans="1:5" ht="46.5" customHeight="1">
      <c r="A32" s="922" t="s">
        <v>697</v>
      </c>
      <c r="B32" s="759" t="s">
        <v>698</v>
      </c>
      <c r="C32" s="735" t="s">
        <v>699</v>
      </c>
      <c r="D32" s="736" t="s">
        <v>652</v>
      </c>
      <c r="E32" s="751"/>
    </row>
    <row r="33" spans="1:5" ht="66.75" customHeight="1">
      <c r="A33" s="923"/>
      <c r="B33" s="757" t="s">
        <v>700</v>
      </c>
      <c r="C33" s="739" t="s">
        <v>760</v>
      </c>
      <c r="D33" s="740" t="s">
        <v>652</v>
      </c>
      <c r="E33" s="756"/>
    </row>
    <row r="34" spans="1:5" ht="21" thickBot="1">
      <c r="A34" s="924"/>
      <c r="B34" s="758" t="s">
        <v>701</v>
      </c>
      <c r="C34" s="743" t="s">
        <v>702</v>
      </c>
      <c r="D34" s="760" t="s">
        <v>652</v>
      </c>
      <c r="E34" s="749"/>
    </row>
    <row r="35" spans="1:5" ht="33.75" customHeight="1" thickBot="1">
      <c r="A35" s="761" t="s">
        <v>761</v>
      </c>
      <c r="B35" s="762">
        <v>11</v>
      </c>
      <c r="C35" s="763" t="s">
        <v>703</v>
      </c>
      <c r="D35" s="764" t="s">
        <v>652</v>
      </c>
      <c r="E35" s="765"/>
    </row>
    <row r="36" spans="1:5" ht="54.75" customHeight="1" thickBot="1">
      <c r="A36" s="761" t="s">
        <v>762</v>
      </c>
      <c r="B36" s="762">
        <v>12</v>
      </c>
      <c r="C36" s="763" t="s">
        <v>704</v>
      </c>
      <c r="D36" s="764" t="s">
        <v>652</v>
      </c>
      <c r="E36" s="765"/>
    </row>
    <row r="37" spans="1:5" ht="41.4" thickBot="1">
      <c r="A37" s="761" t="s">
        <v>763</v>
      </c>
      <c r="B37" s="762">
        <v>13</v>
      </c>
      <c r="C37" s="763" t="s">
        <v>705</v>
      </c>
      <c r="D37" s="764" t="s">
        <v>652</v>
      </c>
      <c r="E37" s="765"/>
    </row>
    <row r="38" spans="1:5" ht="46.5" customHeight="1" thickBot="1">
      <c r="A38" s="761" t="s">
        <v>764</v>
      </c>
      <c r="B38" s="762">
        <v>14</v>
      </c>
      <c r="C38" s="763" t="s">
        <v>706</v>
      </c>
      <c r="D38" s="764" t="s">
        <v>707</v>
      </c>
      <c r="E38" s="765"/>
    </row>
    <row r="39" spans="1:5" ht="46.5" customHeight="1" thickBot="1">
      <c r="A39" s="766" t="s">
        <v>765</v>
      </c>
      <c r="B39" s="767">
        <v>15</v>
      </c>
      <c r="C39" s="753" t="s">
        <v>708</v>
      </c>
      <c r="D39" s="732" t="s">
        <v>707</v>
      </c>
      <c r="E39" s="733"/>
    </row>
    <row r="40" spans="1:5">
      <c r="A40" s="925" t="s">
        <v>766</v>
      </c>
      <c r="B40" s="926"/>
      <c r="C40" s="926"/>
      <c r="D40" s="926"/>
      <c r="E40" s="926"/>
    </row>
    <row r="41" spans="1:5">
      <c r="A41" s="768"/>
      <c r="B41" s="768"/>
      <c r="C41" s="768"/>
      <c r="D41" s="768"/>
      <c r="E41" s="768"/>
    </row>
    <row r="42" spans="1:5">
      <c r="A42" s="768"/>
      <c r="B42" s="768"/>
      <c r="C42" s="768"/>
      <c r="D42" s="768"/>
      <c r="E42" s="768"/>
    </row>
    <row r="43" spans="1:5">
      <c r="A43" s="768"/>
      <c r="B43" s="768"/>
      <c r="C43" s="768"/>
      <c r="D43" s="768"/>
      <c r="E43" s="768"/>
    </row>
    <row r="44" spans="1:5">
      <c r="A44" s="768"/>
      <c r="B44" s="768"/>
      <c r="C44" s="768"/>
      <c r="D44" s="768"/>
      <c r="E44" s="768"/>
    </row>
    <row r="45" spans="1:5">
      <c r="A45" s="768"/>
      <c r="B45" s="768"/>
      <c r="C45" s="768"/>
      <c r="D45" s="768"/>
      <c r="E45" s="768"/>
    </row>
    <row r="46" spans="1:5">
      <c r="A46" s="768"/>
      <c r="B46" s="768"/>
      <c r="C46" s="768"/>
      <c r="D46" s="768"/>
      <c r="E46" s="768"/>
    </row>
    <row r="47" spans="1:5">
      <c r="A47" s="768"/>
      <c r="B47" s="768"/>
      <c r="C47" s="768"/>
      <c r="D47" s="768"/>
      <c r="E47" s="768"/>
    </row>
    <row r="48" spans="1:5">
      <c r="A48" s="768"/>
      <c r="B48" s="768"/>
      <c r="C48" s="768"/>
      <c r="D48" s="768"/>
      <c r="E48" s="768"/>
    </row>
    <row r="49" spans="1:5">
      <c r="A49" s="768"/>
      <c r="B49" s="768"/>
      <c r="C49" s="768"/>
      <c r="D49" s="768"/>
      <c r="E49" s="768"/>
    </row>
    <row r="50" spans="1:5">
      <c r="A50" s="768"/>
      <c r="B50" s="768"/>
      <c r="C50" s="768"/>
      <c r="D50" s="768"/>
      <c r="E50" s="768"/>
    </row>
    <row r="51" spans="1:5">
      <c r="A51" s="768"/>
      <c r="B51" s="768"/>
      <c r="C51" s="768"/>
      <c r="D51" s="768"/>
      <c r="E51" s="768"/>
    </row>
    <row r="52" spans="1:5">
      <c r="A52" s="768"/>
      <c r="B52" s="768"/>
      <c r="C52" s="768"/>
      <c r="D52" s="768"/>
      <c r="E52" s="768"/>
    </row>
    <row r="53" spans="1:5">
      <c r="A53" s="768"/>
      <c r="B53" s="768"/>
      <c r="C53" s="768"/>
      <c r="D53" s="768"/>
      <c r="E53" s="768"/>
    </row>
    <row r="54" spans="1:5">
      <c r="A54" s="768"/>
      <c r="B54" s="768"/>
      <c r="C54" s="768"/>
      <c r="D54" s="768"/>
      <c r="E54" s="768"/>
    </row>
    <row r="55" spans="1:5">
      <c r="A55" s="768"/>
      <c r="B55" s="768"/>
      <c r="C55" s="768"/>
      <c r="D55" s="768"/>
      <c r="E55" s="768"/>
    </row>
    <row r="56" spans="1:5">
      <c r="A56" s="768"/>
      <c r="B56" s="768"/>
      <c r="C56" s="768"/>
      <c r="D56" s="768"/>
      <c r="E56" s="768"/>
    </row>
    <row r="57" spans="1:5">
      <c r="A57" s="768"/>
      <c r="B57" s="768"/>
      <c r="C57" s="768"/>
      <c r="D57" s="768"/>
      <c r="E57" s="768"/>
    </row>
    <row r="58" spans="1:5">
      <c r="A58" s="768"/>
      <c r="B58" s="768"/>
      <c r="C58" s="768"/>
      <c r="D58" s="768"/>
      <c r="E58" s="768"/>
    </row>
    <row r="59" spans="1:5">
      <c r="A59" s="768"/>
      <c r="B59" s="768"/>
      <c r="C59" s="768"/>
      <c r="D59" s="768"/>
      <c r="E59" s="768"/>
    </row>
    <row r="60" spans="1:5">
      <c r="A60" s="768"/>
      <c r="B60" s="768"/>
      <c r="C60" s="768"/>
      <c r="D60" s="768"/>
      <c r="E60" s="768"/>
    </row>
    <row r="61" spans="1:5">
      <c r="A61" s="768"/>
      <c r="B61" s="768"/>
      <c r="C61" s="768"/>
      <c r="D61" s="768"/>
      <c r="E61" s="768"/>
    </row>
    <row r="62" spans="1:5">
      <c r="A62" s="768"/>
      <c r="B62" s="768"/>
      <c r="C62" s="768"/>
      <c r="D62" s="768"/>
      <c r="E62" s="768"/>
    </row>
    <row r="63" spans="1:5">
      <c r="A63" s="768"/>
      <c r="B63" s="768"/>
      <c r="C63" s="768"/>
      <c r="D63" s="768"/>
      <c r="E63" s="768"/>
    </row>
    <row r="64" spans="1:5">
      <c r="A64" s="768"/>
      <c r="B64" s="768"/>
      <c r="C64" s="768"/>
      <c r="D64" s="768"/>
      <c r="E64" s="768"/>
    </row>
    <row r="65" spans="1:5">
      <c r="A65" s="768"/>
      <c r="B65" s="768"/>
      <c r="C65" s="768"/>
      <c r="D65" s="768"/>
      <c r="E65" s="768"/>
    </row>
    <row r="66" spans="1:5">
      <c r="A66" s="768"/>
      <c r="B66" s="768"/>
      <c r="C66" s="768"/>
      <c r="D66" s="768"/>
      <c r="E66" s="768"/>
    </row>
    <row r="67" spans="1:5">
      <c r="A67" s="768"/>
      <c r="B67" s="768"/>
      <c r="C67" s="768"/>
      <c r="D67" s="768"/>
      <c r="E67" s="768"/>
    </row>
    <row r="68" spans="1:5">
      <c r="A68" s="768"/>
      <c r="B68" s="768"/>
      <c r="C68" s="768"/>
      <c r="D68" s="768"/>
      <c r="E68" s="768"/>
    </row>
    <row r="69" spans="1:5">
      <c r="A69" s="768"/>
      <c r="B69" s="768"/>
      <c r="C69" s="768"/>
      <c r="D69" s="768"/>
      <c r="E69" s="768"/>
    </row>
    <row r="70" spans="1:5">
      <c r="A70" s="768"/>
      <c r="B70" s="768"/>
      <c r="C70" s="768"/>
      <c r="D70" s="768"/>
      <c r="E70" s="768"/>
    </row>
    <row r="71" spans="1:5">
      <c r="A71" s="768"/>
      <c r="B71" s="768"/>
      <c r="C71" s="768"/>
      <c r="D71" s="768"/>
      <c r="E71" s="768"/>
    </row>
    <row r="72" spans="1:5">
      <c r="A72" s="768"/>
      <c r="B72" s="768"/>
      <c r="C72" s="768"/>
      <c r="D72" s="768"/>
      <c r="E72" s="768"/>
    </row>
    <row r="73" spans="1:5">
      <c r="A73" s="768"/>
      <c r="B73" s="768"/>
      <c r="C73" s="768"/>
      <c r="D73" s="768"/>
      <c r="E73" s="768"/>
    </row>
    <row r="74" spans="1:5">
      <c r="A74" s="768"/>
      <c r="B74" s="768"/>
      <c r="C74" s="768"/>
      <c r="D74" s="768"/>
      <c r="E74" s="768"/>
    </row>
    <row r="75" spans="1:5">
      <c r="A75" s="768"/>
      <c r="B75" s="768"/>
      <c r="C75" s="768"/>
      <c r="D75" s="768"/>
      <c r="E75" s="768"/>
    </row>
    <row r="76" spans="1:5">
      <c r="A76" s="768"/>
      <c r="B76" s="768"/>
      <c r="C76" s="768"/>
      <c r="D76" s="768"/>
      <c r="E76" s="768"/>
    </row>
    <row r="77" spans="1:5">
      <c r="A77" s="768"/>
      <c r="B77" s="768"/>
      <c r="C77" s="768"/>
      <c r="D77" s="768"/>
      <c r="E77" s="768"/>
    </row>
    <row r="78" spans="1:5">
      <c r="A78" s="768"/>
      <c r="B78" s="768"/>
      <c r="C78" s="768"/>
      <c r="D78" s="768"/>
      <c r="E78" s="768"/>
    </row>
    <row r="79" spans="1:5">
      <c r="A79" s="768"/>
      <c r="B79" s="768"/>
      <c r="C79" s="768"/>
      <c r="D79" s="768"/>
      <c r="E79" s="768"/>
    </row>
    <row r="80" spans="1:5">
      <c r="A80" s="768"/>
      <c r="B80" s="768"/>
      <c r="C80" s="768"/>
      <c r="D80" s="768"/>
      <c r="E80" s="768"/>
    </row>
    <row r="81" spans="1:5">
      <c r="A81" s="768"/>
      <c r="B81" s="768"/>
      <c r="C81" s="768"/>
      <c r="D81" s="768"/>
      <c r="E81" s="768"/>
    </row>
    <row r="82" spans="1:5">
      <c r="A82" s="768"/>
      <c r="B82" s="768"/>
      <c r="C82" s="768"/>
      <c r="D82" s="768"/>
      <c r="E82" s="768"/>
    </row>
    <row r="83" spans="1:5">
      <c r="A83" s="768"/>
      <c r="B83" s="768"/>
      <c r="C83" s="768"/>
      <c r="D83" s="768"/>
      <c r="E83" s="768"/>
    </row>
    <row r="84" spans="1:5">
      <c r="A84" s="768"/>
      <c r="B84" s="768"/>
      <c r="C84" s="768"/>
      <c r="D84" s="768"/>
      <c r="E84" s="768"/>
    </row>
    <row r="85" spans="1:5">
      <c r="A85" s="768"/>
      <c r="B85" s="768"/>
      <c r="C85" s="768"/>
      <c r="D85" s="768"/>
      <c r="E85" s="768"/>
    </row>
    <row r="86" spans="1:5">
      <c r="A86" s="768"/>
      <c r="B86" s="768"/>
      <c r="C86" s="768"/>
      <c r="D86" s="768"/>
      <c r="E86" s="768"/>
    </row>
    <row r="87" spans="1:5">
      <c r="A87" s="768"/>
      <c r="B87" s="768"/>
      <c r="C87" s="768"/>
      <c r="D87" s="768"/>
      <c r="E87" s="768"/>
    </row>
    <row r="88" spans="1:5">
      <c r="A88" s="768"/>
      <c r="B88" s="768"/>
      <c r="C88" s="768"/>
      <c r="D88" s="768"/>
      <c r="E88" s="768"/>
    </row>
    <row r="89" spans="1:5">
      <c r="A89" s="768"/>
      <c r="B89" s="768"/>
      <c r="C89" s="768"/>
      <c r="D89" s="768"/>
      <c r="E89" s="768"/>
    </row>
    <row r="90" spans="1:5">
      <c r="A90" s="768"/>
      <c r="B90" s="768"/>
      <c r="C90" s="768"/>
      <c r="D90" s="768"/>
      <c r="E90" s="768"/>
    </row>
    <row r="91" spans="1:5">
      <c r="A91" s="768"/>
      <c r="B91" s="768"/>
      <c r="C91" s="768"/>
      <c r="D91" s="768"/>
      <c r="E91" s="768"/>
    </row>
    <row r="92" spans="1:5">
      <c r="A92" s="768"/>
      <c r="B92" s="768"/>
      <c r="C92" s="768"/>
      <c r="D92" s="768"/>
      <c r="E92" s="768"/>
    </row>
    <row r="93" spans="1:5">
      <c r="A93" s="768"/>
      <c r="B93" s="768"/>
      <c r="C93" s="768"/>
      <c r="D93" s="768"/>
      <c r="E93" s="768"/>
    </row>
    <row r="94" spans="1:5">
      <c r="A94" s="768"/>
      <c r="B94" s="768"/>
      <c r="C94" s="768"/>
      <c r="D94" s="768"/>
      <c r="E94" s="768"/>
    </row>
    <row r="95" spans="1:5">
      <c r="A95" s="768"/>
      <c r="B95" s="768"/>
      <c r="C95" s="768"/>
      <c r="D95" s="768"/>
      <c r="E95" s="768"/>
    </row>
    <row r="96" spans="1:5">
      <c r="A96" s="768"/>
      <c r="B96" s="768"/>
      <c r="C96" s="768"/>
      <c r="D96" s="768"/>
      <c r="E96" s="768"/>
    </row>
    <row r="97" spans="1:5">
      <c r="A97" s="768"/>
      <c r="B97" s="768"/>
      <c r="C97" s="768"/>
      <c r="D97" s="768"/>
      <c r="E97" s="768"/>
    </row>
    <row r="98" spans="1:5">
      <c r="A98" s="768"/>
      <c r="B98" s="768"/>
      <c r="C98" s="768"/>
      <c r="D98" s="768"/>
      <c r="E98" s="768"/>
    </row>
    <row r="99" spans="1:5">
      <c r="A99" s="768"/>
      <c r="B99" s="768"/>
      <c r="C99" s="768"/>
      <c r="D99" s="768"/>
      <c r="E99" s="768"/>
    </row>
    <row r="100" spans="1:5">
      <c r="A100" s="768"/>
      <c r="B100" s="768"/>
      <c r="C100" s="768"/>
      <c r="D100" s="768"/>
      <c r="E100" s="768"/>
    </row>
    <row r="101" spans="1:5">
      <c r="A101" s="768"/>
      <c r="B101" s="768"/>
      <c r="C101" s="768"/>
      <c r="D101" s="768"/>
      <c r="E101" s="768"/>
    </row>
    <row r="102" spans="1:5">
      <c r="A102" s="768"/>
      <c r="B102" s="768"/>
      <c r="C102" s="768"/>
      <c r="D102" s="768"/>
      <c r="E102" s="768"/>
    </row>
    <row r="103" spans="1:5">
      <c r="A103" s="768"/>
      <c r="B103" s="768"/>
      <c r="C103" s="768"/>
      <c r="D103" s="768"/>
      <c r="E103" s="768"/>
    </row>
    <row r="104" spans="1:5">
      <c r="A104" s="768"/>
      <c r="B104" s="768"/>
      <c r="C104" s="768"/>
      <c r="D104" s="768"/>
      <c r="E104" s="768"/>
    </row>
    <row r="105" spans="1:5">
      <c r="A105" s="768"/>
      <c r="B105" s="768"/>
      <c r="C105" s="768"/>
      <c r="D105" s="768"/>
      <c r="E105" s="768"/>
    </row>
    <row r="106" spans="1:5">
      <c r="A106" s="768"/>
      <c r="B106" s="768"/>
      <c r="C106" s="768"/>
      <c r="D106" s="768"/>
      <c r="E106" s="768"/>
    </row>
    <row r="107" spans="1:5">
      <c r="A107" s="768"/>
      <c r="B107" s="768"/>
      <c r="C107" s="768"/>
      <c r="D107" s="768"/>
      <c r="E107" s="768"/>
    </row>
    <row r="108" spans="1:5">
      <c r="A108" s="768"/>
      <c r="B108" s="768"/>
      <c r="C108" s="768"/>
      <c r="D108" s="768"/>
      <c r="E108" s="768"/>
    </row>
    <row r="109" spans="1:5">
      <c r="A109" s="768"/>
      <c r="B109" s="768"/>
      <c r="C109" s="768"/>
      <c r="D109" s="768"/>
      <c r="E109" s="768"/>
    </row>
    <row r="110" spans="1:5">
      <c r="A110" s="768"/>
      <c r="B110" s="768"/>
      <c r="C110" s="768"/>
      <c r="D110" s="768"/>
      <c r="E110" s="768"/>
    </row>
    <row r="111" spans="1:5">
      <c r="A111" s="768"/>
      <c r="B111" s="768"/>
      <c r="C111" s="768"/>
      <c r="D111" s="768"/>
      <c r="E111" s="768"/>
    </row>
    <row r="112" spans="1:5">
      <c r="A112" s="768"/>
      <c r="B112" s="768"/>
      <c r="C112" s="768"/>
      <c r="D112" s="768"/>
      <c r="E112" s="768"/>
    </row>
    <row r="113" spans="1:5">
      <c r="A113" s="768"/>
      <c r="B113" s="768"/>
      <c r="C113" s="768"/>
      <c r="D113" s="768"/>
      <c r="E113" s="768"/>
    </row>
    <row r="114" spans="1:5">
      <c r="A114" s="768"/>
      <c r="B114" s="768"/>
      <c r="C114" s="768"/>
      <c r="D114" s="768"/>
      <c r="E114" s="768"/>
    </row>
    <row r="115" spans="1:5">
      <c r="A115" s="768"/>
      <c r="B115" s="768"/>
      <c r="C115" s="768"/>
      <c r="D115" s="768"/>
      <c r="E115" s="768"/>
    </row>
    <row r="116" spans="1:5">
      <c r="A116" s="768"/>
      <c r="B116" s="768"/>
      <c r="C116" s="768"/>
      <c r="D116" s="768"/>
      <c r="E116" s="768"/>
    </row>
    <row r="117" spans="1:5">
      <c r="A117" s="768"/>
      <c r="B117" s="768"/>
      <c r="C117" s="768"/>
      <c r="D117" s="768"/>
      <c r="E117" s="768"/>
    </row>
    <row r="118" spans="1:5">
      <c r="A118" s="768"/>
      <c r="B118" s="768"/>
      <c r="C118" s="768"/>
      <c r="D118" s="768"/>
      <c r="E118" s="768"/>
    </row>
    <row r="119" spans="1:5">
      <c r="A119" s="768"/>
      <c r="B119" s="768"/>
      <c r="C119" s="768"/>
      <c r="D119" s="768"/>
      <c r="E119" s="768"/>
    </row>
    <row r="120" spans="1:5">
      <c r="A120" s="768"/>
      <c r="B120" s="768"/>
      <c r="C120" s="768"/>
      <c r="D120" s="768"/>
      <c r="E120" s="768"/>
    </row>
    <row r="121" spans="1:5">
      <c r="A121" s="768"/>
      <c r="B121" s="768"/>
      <c r="C121" s="768"/>
      <c r="D121" s="768"/>
      <c r="E121" s="768"/>
    </row>
    <row r="122" spans="1:5">
      <c r="A122" s="768"/>
      <c r="B122" s="768"/>
      <c r="C122" s="768"/>
      <c r="D122" s="768"/>
      <c r="E122" s="768"/>
    </row>
    <row r="123" spans="1:5">
      <c r="A123" s="768"/>
      <c r="B123" s="768"/>
      <c r="C123" s="768"/>
      <c r="D123" s="768"/>
      <c r="E123" s="768"/>
    </row>
    <row r="124" spans="1:5">
      <c r="A124" s="768"/>
      <c r="B124" s="768"/>
      <c r="C124" s="768"/>
      <c r="D124" s="768"/>
      <c r="E124" s="768"/>
    </row>
    <row r="125" spans="1:5">
      <c r="A125" s="768"/>
      <c r="B125" s="768"/>
      <c r="C125" s="768"/>
      <c r="D125" s="768"/>
      <c r="E125" s="768"/>
    </row>
    <row r="126" spans="1:5">
      <c r="A126" s="768"/>
      <c r="B126" s="768"/>
      <c r="C126" s="768"/>
      <c r="D126" s="768"/>
      <c r="E126" s="768"/>
    </row>
    <row r="127" spans="1:5">
      <c r="A127" s="768"/>
      <c r="B127" s="768"/>
      <c r="C127" s="768"/>
      <c r="D127" s="768"/>
      <c r="E127" s="768"/>
    </row>
    <row r="128" spans="1:5">
      <c r="A128" s="768"/>
      <c r="B128" s="768"/>
      <c r="C128" s="768"/>
      <c r="D128" s="768"/>
      <c r="E128" s="768"/>
    </row>
    <row r="129" spans="1:5">
      <c r="A129" s="768"/>
      <c r="B129" s="768"/>
      <c r="C129" s="768"/>
      <c r="D129" s="768"/>
      <c r="E129" s="768"/>
    </row>
    <row r="130" spans="1:5">
      <c r="A130" s="768"/>
      <c r="B130" s="768"/>
      <c r="C130" s="768"/>
      <c r="D130" s="768"/>
      <c r="E130" s="768"/>
    </row>
    <row r="131" spans="1:5">
      <c r="A131" s="768"/>
      <c r="B131" s="768"/>
      <c r="C131" s="768"/>
      <c r="D131" s="768"/>
      <c r="E131" s="768"/>
    </row>
    <row r="132" spans="1:5">
      <c r="A132" s="768"/>
      <c r="B132" s="768"/>
      <c r="C132" s="768"/>
      <c r="D132" s="768"/>
      <c r="E132" s="768"/>
    </row>
    <row r="133" spans="1:5">
      <c r="A133" s="768"/>
      <c r="B133" s="768"/>
      <c r="C133" s="768"/>
      <c r="D133" s="768"/>
      <c r="E133" s="768"/>
    </row>
    <row r="134" spans="1:5">
      <c r="A134" s="768"/>
      <c r="B134" s="768"/>
      <c r="C134" s="768"/>
      <c r="D134" s="768"/>
      <c r="E134" s="768"/>
    </row>
    <row r="135" spans="1:5">
      <c r="A135" s="768"/>
      <c r="B135" s="768"/>
      <c r="C135" s="768"/>
      <c r="D135" s="768"/>
      <c r="E135" s="768"/>
    </row>
    <row r="136" spans="1:5">
      <c r="A136" s="768"/>
      <c r="B136" s="768"/>
      <c r="C136" s="768"/>
      <c r="D136" s="768"/>
      <c r="E136" s="768"/>
    </row>
    <row r="137" spans="1:5">
      <c r="A137" s="768"/>
      <c r="B137" s="768"/>
      <c r="C137" s="768"/>
      <c r="D137" s="768"/>
      <c r="E137" s="768"/>
    </row>
    <row r="138" spans="1:5">
      <c r="A138" s="768"/>
      <c r="B138" s="768"/>
      <c r="C138" s="768"/>
      <c r="D138" s="768"/>
      <c r="E138" s="768"/>
    </row>
    <row r="139" spans="1:5">
      <c r="A139" s="768"/>
      <c r="B139" s="768"/>
      <c r="C139" s="768"/>
      <c r="D139" s="768"/>
      <c r="E139" s="768"/>
    </row>
  </sheetData>
  <mergeCells count="15">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200-00000000000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20481" r:id="rId4" name="Check Box 1">
              <controlPr defaultSize="0" autoFill="0" autoLine="0" autoPict="0">
                <anchor moveWithCells="1" sizeWithCells="1">
                  <from>
                    <xdr:col>4</xdr:col>
                    <xdr:colOff>0</xdr:colOff>
                    <xdr:row>9</xdr:row>
                    <xdr:rowOff>7620</xdr:rowOff>
                  </from>
                  <to>
                    <xdr:col>4</xdr:col>
                    <xdr:colOff>365760</xdr:colOff>
                    <xdr:row>9</xdr:row>
                    <xdr:rowOff>411480</xdr:rowOff>
                  </to>
                </anchor>
              </controlPr>
            </control>
          </mc:Choice>
        </mc:AlternateContent>
        <mc:AlternateContent xmlns:mc="http://schemas.openxmlformats.org/markup-compatibility/2006">
          <mc:Choice Requires="x14">
            <control shapeId="20482" r:id="rId5" name="Check Box 2">
              <controlPr defaultSize="0" autoFill="0" autoLine="0" autoPict="0">
                <anchor moveWithCells="1" sizeWithCells="1">
                  <from>
                    <xdr:col>4</xdr:col>
                    <xdr:colOff>335280</xdr:colOff>
                    <xdr:row>9</xdr:row>
                    <xdr:rowOff>7620</xdr:rowOff>
                  </from>
                  <to>
                    <xdr:col>4</xdr:col>
                    <xdr:colOff>693420</xdr:colOff>
                    <xdr:row>9</xdr:row>
                    <xdr:rowOff>411480</xdr:rowOff>
                  </to>
                </anchor>
              </controlPr>
            </control>
          </mc:Choice>
        </mc:AlternateContent>
        <mc:AlternateContent xmlns:mc="http://schemas.openxmlformats.org/markup-compatibility/2006">
          <mc:Choice Requires="x14">
            <control shapeId="20483" r:id="rId6" name="Check Box 3">
              <controlPr defaultSize="0" autoFill="0" autoLine="0" autoPict="0">
                <anchor moveWithCells="1" sizeWithCells="1">
                  <from>
                    <xdr:col>4</xdr:col>
                    <xdr:colOff>640080</xdr:colOff>
                    <xdr:row>9</xdr:row>
                    <xdr:rowOff>7620</xdr:rowOff>
                  </from>
                  <to>
                    <xdr:col>4</xdr:col>
                    <xdr:colOff>960120</xdr:colOff>
                    <xdr:row>9</xdr:row>
                    <xdr:rowOff>411480</xdr:rowOff>
                  </to>
                </anchor>
              </controlPr>
            </control>
          </mc:Choice>
        </mc:AlternateContent>
        <mc:AlternateContent xmlns:mc="http://schemas.openxmlformats.org/markup-compatibility/2006">
          <mc:Choice Requires="x14">
            <control shapeId="20484" r:id="rId7" name="Check Box 4">
              <controlPr defaultSize="0" autoFill="0" autoLine="0" autoPict="0">
                <anchor moveWithCells="1" sizeWithCells="1">
                  <from>
                    <xdr:col>4</xdr:col>
                    <xdr:colOff>0</xdr:colOff>
                    <xdr:row>10</xdr:row>
                    <xdr:rowOff>7620</xdr:rowOff>
                  </from>
                  <to>
                    <xdr:col>4</xdr:col>
                    <xdr:colOff>365760</xdr:colOff>
                    <xdr:row>11</xdr:row>
                    <xdr:rowOff>0</xdr:rowOff>
                  </to>
                </anchor>
              </controlPr>
            </control>
          </mc:Choice>
        </mc:AlternateContent>
        <mc:AlternateContent xmlns:mc="http://schemas.openxmlformats.org/markup-compatibility/2006">
          <mc:Choice Requires="x14">
            <control shapeId="20485" r:id="rId8" name="Check Box 5">
              <controlPr defaultSize="0" autoFill="0" autoLine="0" autoPict="0">
                <anchor moveWithCells="1" sizeWithCells="1">
                  <from>
                    <xdr:col>4</xdr:col>
                    <xdr:colOff>335280</xdr:colOff>
                    <xdr:row>10</xdr:row>
                    <xdr:rowOff>7620</xdr:rowOff>
                  </from>
                  <to>
                    <xdr:col>4</xdr:col>
                    <xdr:colOff>693420</xdr:colOff>
                    <xdr:row>11</xdr:row>
                    <xdr:rowOff>0</xdr:rowOff>
                  </to>
                </anchor>
              </controlPr>
            </control>
          </mc:Choice>
        </mc:AlternateContent>
        <mc:AlternateContent xmlns:mc="http://schemas.openxmlformats.org/markup-compatibility/2006">
          <mc:Choice Requires="x14">
            <control shapeId="20486" r:id="rId9" name="Check Box 6">
              <controlPr defaultSize="0" autoFill="0" autoLine="0" autoPict="0">
                <anchor moveWithCells="1" sizeWithCells="1">
                  <from>
                    <xdr:col>4</xdr:col>
                    <xdr:colOff>640080</xdr:colOff>
                    <xdr:row>10</xdr:row>
                    <xdr:rowOff>7620</xdr:rowOff>
                  </from>
                  <to>
                    <xdr:col>4</xdr:col>
                    <xdr:colOff>960120</xdr:colOff>
                    <xdr:row>11</xdr:row>
                    <xdr:rowOff>0</xdr:rowOff>
                  </to>
                </anchor>
              </controlPr>
            </control>
          </mc:Choice>
        </mc:AlternateContent>
        <mc:AlternateContent xmlns:mc="http://schemas.openxmlformats.org/markup-compatibility/2006">
          <mc:Choice Requires="x14">
            <control shapeId="20487" r:id="rId10" name="Check Box 7">
              <controlPr defaultSize="0" autoFill="0" autoLine="0" autoPict="0">
                <anchor moveWithCells="1" sizeWithCells="1">
                  <from>
                    <xdr:col>4</xdr:col>
                    <xdr:colOff>0</xdr:colOff>
                    <xdr:row>11</xdr:row>
                    <xdr:rowOff>7620</xdr:rowOff>
                  </from>
                  <to>
                    <xdr:col>4</xdr:col>
                    <xdr:colOff>365760</xdr:colOff>
                    <xdr:row>12</xdr:row>
                    <xdr:rowOff>0</xdr:rowOff>
                  </to>
                </anchor>
              </controlPr>
            </control>
          </mc:Choice>
        </mc:AlternateContent>
        <mc:AlternateContent xmlns:mc="http://schemas.openxmlformats.org/markup-compatibility/2006">
          <mc:Choice Requires="x14">
            <control shapeId="20488" r:id="rId11" name="Check Box 8">
              <controlPr defaultSize="0" autoFill="0" autoLine="0" autoPict="0">
                <anchor moveWithCells="1" sizeWithCells="1">
                  <from>
                    <xdr:col>4</xdr:col>
                    <xdr:colOff>335280</xdr:colOff>
                    <xdr:row>11</xdr:row>
                    <xdr:rowOff>7620</xdr:rowOff>
                  </from>
                  <to>
                    <xdr:col>4</xdr:col>
                    <xdr:colOff>693420</xdr:colOff>
                    <xdr:row>12</xdr:row>
                    <xdr:rowOff>0</xdr:rowOff>
                  </to>
                </anchor>
              </controlPr>
            </control>
          </mc:Choice>
        </mc:AlternateContent>
        <mc:AlternateContent xmlns:mc="http://schemas.openxmlformats.org/markup-compatibility/2006">
          <mc:Choice Requires="x14">
            <control shapeId="20489" r:id="rId12" name="Check Box 9">
              <controlPr defaultSize="0" autoFill="0" autoLine="0" autoPict="0">
                <anchor moveWithCells="1" sizeWithCells="1">
                  <from>
                    <xdr:col>4</xdr:col>
                    <xdr:colOff>640080</xdr:colOff>
                    <xdr:row>11</xdr:row>
                    <xdr:rowOff>7620</xdr:rowOff>
                  </from>
                  <to>
                    <xdr:col>4</xdr:col>
                    <xdr:colOff>960120</xdr:colOff>
                    <xdr:row>12</xdr:row>
                    <xdr:rowOff>0</xdr:rowOff>
                  </to>
                </anchor>
              </controlPr>
            </control>
          </mc:Choice>
        </mc:AlternateContent>
        <mc:AlternateContent xmlns:mc="http://schemas.openxmlformats.org/markup-compatibility/2006">
          <mc:Choice Requires="x14">
            <control shapeId="20490" r:id="rId13" name="Check Box 10">
              <controlPr defaultSize="0" autoFill="0" autoLine="0" autoPict="0">
                <anchor moveWithCells="1" sizeWithCells="1">
                  <from>
                    <xdr:col>4</xdr:col>
                    <xdr:colOff>0</xdr:colOff>
                    <xdr:row>12</xdr:row>
                    <xdr:rowOff>7620</xdr:rowOff>
                  </from>
                  <to>
                    <xdr:col>4</xdr:col>
                    <xdr:colOff>365760</xdr:colOff>
                    <xdr:row>13</xdr:row>
                    <xdr:rowOff>0</xdr:rowOff>
                  </to>
                </anchor>
              </controlPr>
            </control>
          </mc:Choice>
        </mc:AlternateContent>
        <mc:AlternateContent xmlns:mc="http://schemas.openxmlformats.org/markup-compatibility/2006">
          <mc:Choice Requires="x14">
            <control shapeId="20491" r:id="rId14" name="Check Box 11">
              <controlPr defaultSize="0" autoFill="0" autoLine="0" autoPict="0">
                <anchor moveWithCells="1" sizeWithCells="1">
                  <from>
                    <xdr:col>4</xdr:col>
                    <xdr:colOff>335280</xdr:colOff>
                    <xdr:row>12</xdr:row>
                    <xdr:rowOff>7620</xdr:rowOff>
                  </from>
                  <to>
                    <xdr:col>4</xdr:col>
                    <xdr:colOff>693420</xdr:colOff>
                    <xdr:row>13</xdr:row>
                    <xdr:rowOff>0</xdr:rowOff>
                  </to>
                </anchor>
              </controlPr>
            </control>
          </mc:Choice>
        </mc:AlternateContent>
        <mc:AlternateContent xmlns:mc="http://schemas.openxmlformats.org/markup-compatibility/2006">
          <mc:Choice Requires="x14">
            <control shapeId="20492" r:id="rId15" name="Check Box 12">
              <controlPr defaultSize="0" autoFill="0" autoLine="0" autoPict="0">
                <anchor moveWithCells="1" sizeWithCells="1">
                  <from>
                    <xdr:col>4</xdr:col>
                    <xdr:colOff>640080</xdr:colOff>
                    <xdr:row>12</xdr:row>
                    <xdr:rowOff>7620</xdr:rowOff>
                  </from>
                  <to>
                    <xdr:col>4</xdr:col>
                    <xdr:colOff>960120</xdr:colOff>
                    <xdr:row>13</xdr:row>
                    <xdr:rowOff>0</xdr:rowOff>
                  </to>
                </anchor>
              </controlPr>
            </control>
          </mc:Choice>
        </mc:AlternateContent>
        <mc:AlternateContent xmlns:mc="http://schemas.openxmlformats.org/markup-compatibility/2006">
          <mc:Choice Requires="x14">
            <control shapeId="20493" r:id="rId16" name="Check Box 13">
              <controlPr defaultSize="0" autoFill="0" autoLine="0" autoPict="0">
                <anchor moveWithCells="1" sizeWithCells="1">
                  <from>
                    <xdr:col>4</xdr:col>
                    <xdr:colOff>0</xdr:colOff>
                    <xdr:row>13</xdr:row>
                    <xdr:rowOff>7620</xdr:rowOff>
                  </from>
                  <to>
                    <xdr:col>4</xdr:col>
                    <xdr:colOff>365760</xdr:colOff>
                    <xdr:row>14</xdr:row>
                    <xdr:rowOff>0</xdr:rowOff>
                  </to>
                </anchor>
              </controlPr>
            </control>
          </mc:Choice>
        </mc:AlternateContent>
        <mc:AlternateContent xmlns:mc="http://schemas.openxmlformats.org/markup-compatibility/2006">
          <mc:Choice Requires="x14">
            <control shapeId="20494" r:id="rId17" name="Check Box 14">
              <controlPr defaultSize="0" autoFill="0" autoLine="0" autoPict="0">
                <anchor moveWithCells="1" sizeWithCells="1">
                  <from>
                    <xdr:col>4</xdr:col>
                    <xdr:colOff>335280</xdr:colOff>
                    <xdr:row>13</xdr:row>
                    <xdr:rowOff>7620</xdr:rowOff>
                  </from>
                  <to>
                    <xdr:col>4</xdr:col>
                    <xdr:colOff>693420</xdr:colOff>
                    <xdr:row>14</xdr:row>
                    <xdr:rowOff>0</xdr:rowOff>
                  </to>
                </anchor>
              </controlPr>
            </control>
          </mc:Choice>
        </mc:AlternateContent>
        <mc:AlternateContent xmlns:mc="http://schemas.openxmlformats.org/markup-compatibility/2006">
          <mc:Choice Requires="x14">
            <control shapeId="20495" r:id="rId18" name="Check Box 15">
              <controlPr defaultSize="0" autoFill="0" autoLine="0" autoPict="0">
                <anchor moveWithCells="1" sizeWithCells="1">
                  <from>
                    <xdr:col>4</xdr:col>
                    <xdr:colOff>640080</xdr:colOff>
                    <xdr:row>13</xdr:row>
                    <xdr:rowOff>7620</xdr:rowOff>
                  </from>
                  <to>
                    <xdr:col>4</xdr:col>
                    <xdr:colOff>960120</xdr:colOff>
                    <xdr:row>14</xdr:row>
                    <xdr:rowOff>0</xdr:rowOff>
                  </to>
                </anchor>
              </controlPr>
            </control>
          </mc:Choice>
        </mc:AlternateContent>
        <mc:AlternateContent xmlns:mc="http://schemas.openxmlformats.org/markup-compatibility/2006">
          <mc:Choice Requires="x14">
            <control shapeId="20496" r:id="rId19" name="Check Box 16">
              <controlPr defaultSize="0" autoFill="0" autoLine="0" autoPict="0">
                <anchor moveWithCells="1" sizeWithCells="1">
                  <from>
                    <xdr:col>4</xdr:col>
                    <xdr:colOff>0</xdr:colOff>
                    <xdr:row>14</xdr:row>
                    <xdr:rowOff>22860</xdr:rowOff>
                  </from>
                  <to>
                    <xdr:col>4</xdr:col>
                    <xdr:colOff>365760</xdr:colOff>
                    <xdr:row>15</xdr:row>
                    <xdr:rowOff>0</xdr:rowOff>
                  </to>
                </anchor>
              </controlPr>
            </control>
          </mc:Choice>
        </mc:AlternateContent>
        <mc:AlternateContent xmlns:mc="http://schemas.openxmlformats.org/markup-compatibility/2006">
          <mc:Choice Requires="x14">
            <control shapeId="20497" r:id="rId20" name="Check Box 17">
              <controlPr defaultSize="0" autoFill="0" autoLine="0" autoPict="0">
                <anchor moveWithCells="1" sizeWithCells="1">
                  <from>
                    <xdr:col>4</xdr:col>
                    <xdr:colOff>335280</xdr:colOff>
                    <xdr:row>14</xdr:row>
                    <xdr:rowOff>22860</xdr:rowOff>
                  </from>
                  <to>
                    <xdr:col>4</xdr:col>
                    <xdr:colOff>693420</xdr:colOff>
                    <xdr:row>15</xdr:row>
                    <xdr:rowOff>0</xdr:rowOff>
                  </to>
                </anchor>
              </controlPr>
            </control>
          </mc:Choice>
        </mc:AlternateContent>
        <mc:AlternateContent xmlns:mc="http://schemas.openxmlformats.org/markup-compatibility/2006">
          <mc:Choice Requires="x14">
            <control shapeId="20498" r:id="rId21" name="Check Box 18">
              <controlPr defaultSize="0" autoFill="0" autoLine="0" autoPict="0">
                <anchor moveWithCells="1" sizeWithCells="1">
                  <from>
                    <xdr:col>4</xdr:col>
                    <xdr:colOff>640080</xdr:colOff>
                    <xdr:row>14</xdr:row>
                    <xdr:rowOff>22860</xdr:rowOff>
                  </from>
                  <to>
                    <xdr:col>4</xdr:col>
                    <xdr:colOff>960120</xdr:colOff>
                    <xdr:row>15</xdr:row>
                    <xdr:rowOff>0</xdr:rowOff>
                  </to>
                </anchor>
              </controlPr>
            </control>
          </mc:Choice>
        </mc:AlternateContent>
        <mc:AlternateContent xmlns:mc="http://schemas.openxmlformats.org/markup-compatibility/2006">
          <mc:Choice Requires="x14">
            <control shapeId="20499" r:id="rId22" name="Check Box 19">
              <controlPr defaultSize="0" autoFill="0" autoLine="0" autoPict="0">
                <anchor moveWithCells="1" sizeWithCells="1">
                  <from>
                    <xdr:col>4</xdr:col>
                    <xdr:colOff>0</xdr:colOff>
                    <xdr:row>15</xdr:row>
                    <xdr:rowOff>7620</xdr:rowOff>
                  </from>
                  <to>
                    <xdr:col>4</xdr:col>
                    <xdr:colOff>365760</xdr:colOff>
                    <xdr:row>16</xdr:row>
                    <xdr:rowOff>0</xdr:rowOff>
                  </to>
                </anchor>
              </controlPr>
            </control>
          </mc:Choice>
        </mc:AlternateContent>
        <mc:AlternateContent xmlns:mc="http://schemas.openxmlformats.org/markup-compatibility/2006">
          <mc:Choice Requires="x14">
            <control shapeId="20500" r:id="rId23" name="Check Box 20">
              <controlPr defaultSize="0" autoFill="0" autoLine="0" autoPict="0">
                <anchor moveWithCells="1" sizeWithCells="1">
                  <from>
                    <xdr:col>4</xdr:col>
                    <xdr:colOff>335280</xdr:colOff>
                    <xdr:row>15</xdr:row>
                    <xdr:rowOff>7620</xdr:rowOff>
                  </from>
                  <to>
                    <xdr:col>4</xdr:col>
                    <xdr:colOff>693420</xdr:colOff>
                    <xdr:row>16</xdr:row>
                    <xdr:rowOff>0</xdr:rowOff>
                  </to>
                </anchor>
              </controlPr>
            </control>
          </mc:Choice>
        </mc:AlternateContent>
        <mc:AlternateContent xmlns:mc="http://schemas.openxmlformats.org/markup-compatibility/2006">
          <mc:Choice Requires="x14">
            <control shapeId="20501" r:id="rId24" name="Check Box 21">
              <controlPr defaultSize="0" autoFill="0" autoLine="0" autoPict="0">
                <anchor moveWithCells="1" sizeWithCells="1">
                  <from>
                    <xdr:col>4</xdr:col>
                    <xdr:colOff>640080</xdr:colOff>
                    <xdr:row>15</xdr:row>
                    <xdr:rowOff>7620</xdr:rowOff>
                  </from>
                  <to>
                    <xdr:col>4</xdr:col>
                    <xdr:colOff>960120</xdr:colOff>
                    <xdr:row>16</xdr:row>
                    <xdr:rowOff>0</xdr:rowOff>
                  </to>
                </anchor>
              </controlPr>
            </control>
          </mc:Choice>
        </mc:AlternateContent>
        <mc:AlternateContent xmlns:mc="http://schemas.openxmlformats.org/markup-compatibility/2006">
          <mc:Choice Requires="x14">
            <control shapeId="20502" r:id="rId25" name="Check Box 22">
              <controlPr defaultSize="0" autoFill="0" autoLine="0" autoPict="0">
                <anchor moveWithCells="1" sizeWithCells="1">
                  <from>
                    <xdr:col>4</xdr:col>
                    <xdr:colOff>0</xdr:colOff>
                    <xdr:row>16</xdr:row>
                    <xdr:rowOff>0</xdr:rowOff>
                  </from>
                  <to>
                    <xdr:col>4</xdr:col>
                    <xdr:colOff>365760</xdr:colOff>
                    <xdr:row>17</xdr:row>
                    <xdr:rowOff>0</xdr:rowOff>
                  </to>
                </anchor>
              </controlPr>
            </control>
          </mc:Choice>
        </mc:AlternateContent>
        <mc:AlternateContent xmlns:mc="http://schemas.openxmlformats.org/markup-compatibility/2006">
          <mc:Choice Requires="x14">
            <control shapeId="20503" r:id="rId26" name="Check Box 23">
              <controlPr defaultSize="0" autoFill="0" autoLine="0" autoPict="0">
                <anchor moveWithCells="1" sizeWithCells="1">
                  <from>
                    <xdr:col>4</xdr:col>
                    <xdr:colOff>335280</xdr:colOff>
                    <xdr:row>16</xdr:row>
                    <xdr:rowOff>0</xdr:rowOff>
                  </from>
                  <to>
                    <xdr:col>4</xdr:col>
                    <xdr:colOff>693420</xdr:colOff>
                    <xdr:row>17</xdr:row>
                    <xdr:rowOff>0</xdr:rowOff>
                  </to>
                </anchor>
              </controlPr>
            </control>
          </mc:Choice>
        </mc:AlternateContent>
        <mc:AlternateContent xmlns:mc="http://schemas.openxmlformats.org/markup-compatibility/2006">
          <mc:Choice Requires="x14">
            <control shapeId="20504" r:id="rId27" name="Check Box 24">
              <controlPr defaultSize="0" autoFill="0" autoLine="0" autoPict="0">
                <anchor moveWithCells="1" sizeWithCells="1">
                  <from>
                    <xdr:col>4</xdr:col>
                    <xdr:colOff>640080</xdr:colOff>
                    <xdr:row>16</xdr:row>
                    <xdr:rowOff>0</xdr:rowOff>
                  </from>
                  <to>
                    <xdr:col>4</xdr:col>
                    <xdr:colOff>960120</xdr:colOff>
                    <xdr:row>17</xdr:row>
                    <xdr:rowOff>0</xdr:rowOff>
                  </to>
                </anchor>
              </controlPr>
            </control>
          </mc:Choice>
        </mc:AlternateContent>
        <mc:AlternateContent xmlns:mc="http://schemas.openxmlformats.org/markup-compatibility/2006">
          <mc:Choice Requires="x14">
            <control shapeId="20505" r:id="rId28" name="Check Box 25">
              <controlPr defaultSize="0" autoFill="0" autoLine="0" autoPict="0">
                <anchor moveWithCells="1" sizeWithCells="1">
                  <from>
                    <xdr:col>4</xdr:col>
                    <xdr:colOff>0</xdr:colOff>
                    <xdr:row>17</xdr:row>
                    <xdr:rowOff>0</xdr:rowOff>
                  </from>
                  <to>
                    <xdr:col>4</xdr:col>
                    <xdr:colOff>365760</xdr:colOff>
                    <xdr:row>18</xdr:row>
                    <xdr:rowOff>0</xdr:rowOff>
                  </to>
                </anchor>
              </controlPr>
            </control>
          </mc:Choice>
        </mc:AlternateContent>
        <mc:AlternateContent xmlns:mc="http://schemas.openxmlformats.org/markup-compatibility/2006">
          <mc:Choice Requires="x14">
            <control shapeId="20506" r:id="rId29" name="Check Box 26">
              <controlPr defaultSize="0" autoFill="0" autoLine="0" autoPict="0">
                <anchor moveWithCells="1" sizeWithCells="1">
                  <from>
                    <xdr:col>4</xdr:col>
                    <xdr:colOff>335280</xdr:colOff>
                    <xdr:row>17</xdr:row>
                    <xdr:rowOff>0</xdr:rowOff>
                  </from>
                  <to>
                    <xdr:col>4</xdr:col>
                    <xdr:colOff>693420</xdr:colOff>
                    <xdr:row>18</xdr:row>
                    <xdr:rowOff>0</xdr:rowOff>
                  </to>
                </anchor>
              </controlPr>
            </control>
          </mc:Choice>
        </mc:AlternateContent>
        <mc:AlternateContent xmlns:mc="http://schemas.openxmlformats.org/markup-compatibility/2006">
          <mc:Choice Requires="x14">
            <control shapeId="20507" r:id="rId30" name="Check Box 27">
              <controlPr defaultSize="0" autoFill="0" autoLine="0" autoPict="0">
                <anchor moveWithCells="1" sizeWithCells="1">
                  <from>
                    <xdr:col>4</xdr:col>
                    <xdr:colOff>640080</xdr:colOff>
                    <xdr:row>17</xdr:row>
                    <xdr:rowOff>0</xdr:rowOff>
                  </from>
                  <to>
                    <xdr:col>4</xdr:col>
                    <xdr:colOff>960120</xdr:colOff>
                    <xdr:row>18</xdr:row>
                    <xdr:rowOff>0</xdr:rowOff>
                  </to>
                </anchor>
              </controlPr>
            </control>
          </mc:Choice>
        </mc:AlternateContent>
        <mc:AlternateContent xmlns:mc="http://schemas.openxmlformats.org/markup-compatibility/2006">
          <mc:Choice Requires="x14">
            <control shapeId="20508" r:id="rId31" name="Check Box 28">
              <controlPr defaultSize="0" autoFill="0" autoLine="0" autoPict="0">
                <anchor moveWithCells="1" sizeWithCells="1">
                  <from>
                    <xdr:col>4</xdr:col>
                    <xdr:colOff>0</xdr:colOff>
                    <xdr:row>18</xdr:row>
                    <xdr:rowOff>0</xdr:rowOff>
                  </from>
                  <to>
                    <xdr:col>4</xdr:col>
                    <xdr:colOff>365760</xdr:colOff>
                    <xdr:row>19</xdr:row>
                    <xdr:rowOff>0</xdr:rowOff>
                  </to>
                </anchor>
              </controlPr>
            </control>
          </mc:Choice>
        </mc:AlternateContent>
        <mc:AlternateContent xmlns:mc="http://schemas.openxmlformats.org/markup-compatibility/2006">
          <mc:Choice Requires="x14">
            <control shapeId="20509" r:id="rId32" name="Check Box 29">
              <controlPr defaultSize="0" autoFill="0" autoLine="0" autoPict="0">
                <anchor moveWithCells="1" sizeWithCells="1">
                  <from>
                    <xdr:col>4</xdr:col>
                    <xdr:colOff>335280</xdr:colOff>
                    <xdr:row>18</xdr:row>
                    <xdr:rowOff>0</xdr:rowOff>
                  </from>
                  <to>
                    <xdr:col>4</xdr:col>
                    <xdr:colOff>693420</xdr:colOff>
                    <xdr:row>19</xdr:row>
                    <xdr:rowOff>0</xdr:rowOff>
                  </to>
                </anchor>
              </controlPr>
            </control>
          </mc:Choice>
        </mc:AlternateContent>
        <mc:AlternateContent xmlns:mc="http://schemas.openxmlformats.org/markup-compatibility/2006">
          <mc:Choice Requires="x14">
            <control shapeId="20510" r:id="rId33" name="Check Box 30">
              <controlPr defaultSize="0" autoFill="0" autoLine="0" autoPict="0">
                <anchor moveWithCells="1" sizeWithCells="1">
                  <from>
                    <xdr:col>4</xdr:col>
                    <xdr:colOff>640080</xdr:colOff>
                    <xdr:row>18</xdr:row>
                    <xdr:rowOff>0</xdr:rowOff>
                  </from>
                  <to>
                    <xdr:col>4</xdr:col>
                    <xdr:colOff>960120</xdr:colOff>
                    <xdr:row>19</xdr:row>
                    <xdr:rowOff>0</xdr:rowOff>
                  </to>
                </anchor>
              </controlPr>
            </control>
          </mc:Choice>
        </mc:AlternateContent>
        <mc:AlternateContent xmlns:mc="http://schemas.openxmlformats.org/markup-compatibility/2006">
          <mc:Choice Requires="x14">
            <control shapeId="20511" r:id="rId34" name="Check Box 31">
              <controlPr defaultSize="0" autoFill="0" autoLine="0" autoPict="0">
                <anchor moveWithCells="1" sizeWithCells="1">
                  <from>
                    <xdr:col>4</xdr:col>
                    <xdr:colOff>0</xdr:colOff>
                    <xdr:row>19</xdr:row>
                    <xdr:rowOff>0</xdr:rowOff>
                  </from>
                  <to>
                    <xdr:col>4</xdr:col>
                    <xdr:colOff>365760</xdr:colOff>
                    <xdr:row>20</xdr:row>
                    <xdr:rowOff>0</xdr:rowOff>
                  </to>
                </anchor>
              </controlPr>
            </control>
          </mc:Choice>
        </mc:AlternateContent>
        <mc:AlternateContent xmlns:mc="http://schemas.openxmlformats.org/markup-compatibility/2006">
          <mc:Choice Requires="x14">
            <control shapeId="20512" r:id="rId35" name="Check Box 32">
              <controlPr defaultSize="0" autoFill="0" autoLine="0" autoPict="0">
                <anchor moveWithCells="1" sizeWithCells="1">
                  <from>
                    <xdr:col>4</xdr:col>
                    <xdr:colOff>335280</xdr:colOff>
                    <xdr:row>19</xdr:row>
                    <xdr:rowOff>0</xdr:rowOff>
                  </from>
                  <to>
                    <xdr:col>4</xdr:col>
                    <xdr:colOff>693420</xdr:colOff>
                    <xdr:row>20</xdr:row>
                    <xdr:rowOff>0</xdr:rowOff>
                  </to>
                </anchor>
              </controlPr>
            </control>
          </mc:Choice>
        </mc:AlternateContent>
        <mc:AlternateContent xmlns:mc="http://schemas.openxmlformats.org/markup-compatibility/2006">
          <mc:Choice Requires="x14">
            <control shapeId="20513" r:id="rId36" name="Check Box 33">
              <controlPr defaultSize="0" autoFill="0" autoLine="0" autoPict="0">
                <anchor moveWithCells="1" sizeWithCells="1">
                  <from>
                    <xdr:col>4</xdr:col>
                    <xdr:colOff>640080</xdr:colOff>
                    <xdr:row>19</xdr:row>
                    <xdr:rowOff>0</xdr:rowOff>
                  </from>
                  <to>
                    <xdr:col>4</xdr:col>
                    <xdr:colOff>960120</xdr:colOff>
                    <xdr:row>20</xdr:row>
                    <xdr:rowOff>0</xdr:rowOff>
                  </to>
                </anchor>
              </controlPr>
            </control>
          </mc:Choice>
        </mc:AlternateContent>
        <mc:AlternateContent xmlns:mc="http://schemas.openxmlformats.org/markup-compatibility/2006">
          <mc:Choice Requires="x14">
            <control shapeId="20514" r:id="rId37" name="Check Box 34">
              <controlPr defaultSize="0" autoFill="0" autoLine="0" autoPict="0">
                <anchor moveWithCells="1" sizeWithCells="1">
                  <from>
                    <xdr:col>4</xdr:col>
                    <xdr:colOff>0</xdr:colOff>
                    <xdr:row>20</xdr:row>
                    <xdr:rowOff>0</xdr:rowOff>
                  </from>
                  <to>
                    <xdr:col>4</xdr:col>
                    <xdr:colOff>365760</xdr:colOff>
                    <xdr:row>21</xdr:row>
                    <xdr:rowOff>0</xdr:rowOff>
                  </to>
                </anchor>
              </controlPr>
            </control>
          </mc:Choice>
        </mc:AlternateContent>
        <mc:AlternateContent xmlns:mc="http://schemas.openxmlformats.org/markup-compatibility/2006">
          <mc:Choice Requires="x14">
            <control shapeId="20515" r:id="rId38" name="Check Box 35">
              <controlPr defaultSize="0" autoFill="0" autoLine="0" autoPict="0">
                <anchor moveWithCells="1" sizeWithCells="1">
                  <from>
                    <xdr:col>4</xdr:col>
                    <xdr:colOff>335280</xdr:colOff>
                    <xdr:row>20</xdr:row>
                    <xdr:rowOff>0</xdr:rowOff>
                  </from>
                  <to>
                    <xdr:col>4</xdr:col>
                    <xdr:colOff>693420</xdr:colOff>
                    <xdr:row>21</xdr:row>
                    <xdr:rowOff>0</xdr:rowOff>
                  </to>
                </anchor>
              </controlPr>
            </control>
          </mc:Choice>
        </mc:AlternateContent>
        <mc:AlternateContent xmlns:mc="http://schemas.openxmlformats.org/markup-compatibility/2006">
          <mc:Choice Requires="x14">
            <control shapeId="20516" r:id="rId39" name="Check Box 36">
              <controlPr defaultSize="0" autoFill="0" autoLine="0" autoPict="0">
                <anchor moveWithCells="1" sizeWithCells="1">
                  <from>
                    <xdr:col>4</xdr:col>
                    <xdr:colOff>640080</xdr:colOff>
                    <xdr:row>20</xdr:row>
                    <xdr:rowOff>0</xdr:rowOff>
                  </from>
                  <to>
                    <xdr:col>4</xdr:col>
                    <xdr:colOff>960120</xdr:colOff>
                    <xdr:row>21</xdr:row>
                    <xdr:rowOff>0</xdr:rowOff>
                  </to>
                </anchor>
              </controlPr>
            </control>
          </mc:Choice>
        </mc:AlternateContent>
        <mc:AlternateContent xmlns:mc="http://schemas.openxmlformats.org/markup-compatibility/2006">
          <mc:Choice Requires="x14">
            <control shapeId="20517" r:id="rId40" name="Check Box 37">
              <controlPr defaultSize="0" autoFill="0" autoLine="0" autoPict="0">
                <anchor moveWithCells="1" sizeWithCells="1">
                  <from>
                    <xdr:col>4</xdr:col>
                    <xdr:colOff>0</xdr:colOff>
                    <xdr:row>21</xdr:row>
                    <xdr:rowOff>7620</xdr:rowOff>
                  </from>
                  <to>
                    <xdr:col>4</xdr:col>
                    <xdr:colOff>365760</xdr:colOff>
                    <xdr:row>22</xdr:row>
                    <xdr:rowOff>0</xdr:rowOff>
                  </to>
                </anchor>
              </controlPr>
            </control>
          </mc:Choice>
        </mc:AlternateContent>
        <mc:AlternateContent xmlns:mc="http://schemas.openxmlformats.org/markup-compatibility/2006">
          <mc:Choice Requires="x14">
            <control shapeId="20518" r:id="rId41" name="Check Box 38">
              <controlPr defaultSize="0" autoFill="0" autoLine="0" autoPict="0">
                <anchor moveWithCells="1" sizeWithCells="1">
                  <from>
                    <xdr:col>4</xdr:col>
                    <xdr:colOff>335280</xdr:colOff>
                    <xdr:row>21</xdr:row>
                    <xdr:rowOff>7620</xdr:rowOff>
                  </from>
                  <to>
                    <xdr:col>4</xdr:col>
                    <xdr:colOff>693420</xdr:colOff>
                    <xdr:row>22</xdr:row>
                    <xdr:rowOff>0</xdr:rowOff>
                  </to>
                </anchor>
              </controlPr>
            </control>
          </mc:Choice>
        </mc:AlternateContent>
        <mc:AlternateContent xmlns:mc="http://schemas.openxmlformats.org/markup-compatibility/2006">
          <mc:Choice Requires="x14">
            <control shapeId="20519" r:id="rId42" name="Check Box 39">
              <controlPr defaultSize="0" autoFill="0" autoLine="0" autoPict="0">
                <anchor moveWithCells="1" sizeWithCells="1">
                  <from>
                    <xdr:col>4</xdr:col>
                    <xdr:colOff>640080</xdr:colOff>
                    <xdr:row>21</xdr:row>
                    <xdr:rowOff>7620</xdr:rowOff>
                  </from>
                  <to>
                    <xdr:col>4</xdr:col>
                    <xdr:colOff>960120</xdr:colOff>
                    <xdr:row>22</xdr:row>
                    <xdr:rowOff>0</xdr:rowOff>
                  </to>
                </anchor>
              </controlPr>
            </control>
          </mc:Choice>
        </mc:AlternateContent>
        <mc:AlternateContent xmlns:mc="http://schemas.openxmlformats.org/markup-compatibility/2006">
          <mc:Choice Requires="x14">
            <control shapeId="20520" r:id="rId43" name="Check Box 40">
              <controlPr defaultSize="0" autoFill="0" autoLine="0" autoPict="0">
                <anchor moveWithCells="1" sizeWithCells="1">
                  <from>
                    <xdr:col>4</xdr:col>
                    <xdr:colOff>0</xdr:colOff>
                    <xdr:row>22</xdr:row>
                    <xdr:rowOff>0</xdr:rowOff>
                  </from>
                  <to>
                    <xdr:col>4</xdr:col>
                    <xdr:colOff>365760</xdr:colOff>
                    <xdr:row>23</xdr:row>
                    <xdr:rowOff>0</xdr:rowOff>
                  </to>
                </anchor>
              </controlPr>
            </control>
          </mc:Choice>
        </mc:AlternateContent>
        <mc:AlternateContent xmlns:mc="http://schemas.openxmlformats.org/markup-compatibility/2006">
          <mc:Choice Requires="x14">
            <control shapeId="20521" r:id="rId44" name="Check Box 41">
              <controlPr defaultSize="0" autoFill="0" autoLine="0" autoPict="0">
                <anchor moveWithCells="1" sizeWithCells="1">
                  <from>
                    <xdr:col>4</xdr:col>
                    <xdr:colOff>335280</xdr:colOff>
                    <xdr:row>22</xdr:row>
                    <xdr:rowOff>0</xdr:rowOff>
                  </from>
                  <to>
                    <xdr:col>4</xdr:col>
                    <xdr:colOff>693420</xdr:colOff>
                    <xdr:row>23</xdr:row>
                    <xdr:rowOff>0</xdr:rowOff>
                  </to>
                </anchor>
              </controlPr>
            </control>
          </mc:Choice>
        </mc:AlternateContent>
        <mc:AlternateContent xmlns:mc="http://schemas.openxmlformats.org/markup-compatibility/2006">
          <mc:Choice Requires="x14">
            <control shapeId="20522" r:id="rId45" name="Check Box 42">
              <controlPr defaultSize="0" autoFill="0" autoLine="0" autoPict="0">
                <anchor moveWithCells="1" sizeWithCells="1">
                  <from>
                    <xdr:col>4</xdr:col>
                    <xdr:colOff>640080</xdr:colOff>
                    <xdr:row>22</xdr:row>
                    <xdr:rowOff>0</xdr:rowOff>
                  </from>
                  <to>
                    <xdr:col>4</xdr:col>
                    <xdr:colOff>960120</xdr:colOff>
                    <xdr:row>23</xdr:row>
                    <xdr:rowOff>0</xdr:rowOff>
                  </to>
                </anchor>
              </controlPr>
            </control>
          </mc:Choice>
        </mc:AlternateContent>
        <mc:AlternateContent xmlns:mc="http://schemas.openxmlformats.org/markup-compatibility/2006">
          <mc:Choice Requires="x14">
            <control shapeId="20523" r:id="rId46" name="Check Box 43">
              <controlPr defaultSize="0" autoFill="0" autoLine="0" autoPict="0">
                <anchor moveWithCells="1" sizeWithCells="1">
                  <from>
                    <xdr:col>4</xdr:col>
                    <xdr:colOff>0</xdr:colOff>
                    <xdr:row>23</xdr:row>
                    <xdr:rowOff>0</xdr:rowOff>
                  </from>
                  <to>
                    <xdr:col>4</xdr:col>
                    <xdr:colOff>365760</xdr:colOff>
                    <xdr:row>24</xdr:row>
                    <xdr:rowOff>0</xdr:rowOff>
                  </to>
                </anchor>
              </controlPr>
            </control>
          </mc:Choice>
        </mc:AlternateContent>
        <mc:AlternateContent xmlns:mc="http://schemas.openxmlformats.org/markup-compatibility/2006">
          <mc:Choice Requires="x14">
            <control shapeId="20524" r:id="rId47" name="Check Box 44">
              <controlPr defaultSize="0" autoFill="0" autoLine="0" autoPict="0">
                <anchor moveWithCells="1" sizeWithCells="1">
                  <from>
                    <xdr:col>4</xdr:col>
                    <xdr:colOff>335280</xdr:colOff>
                    <xdr:row>23</xdr:row>
                    <xdr:rowOff>0</xdr:rowOff>
                  </from>
                  <to>
                    <xdr:col>4</xdr:col>
                    <xdr:colOff>693420</xdr:colOff>
                    <xdr:row>24</xdr:row>
                    <xdr:rowOff>0</xdr:rowOff>
                  </to>
                </anchor>
              </controlPr>
            </control>
          </mc:Choice>
        </mc:AlternateContent>
        <mc:AlternateContent xmlns:mc="http://schemas.openxmlformats.org/markup-compatibility/2006">
          <mc:Choice Requires="x14">
            <control shapeId="20525" r:id="rId48" name="Check Box 45">
              <controlPr defaultSize="0" autoFill="0" autoLine="0" autoPict="0">
                <anchor moveWithCells="1" sizeWithCells="1">
                  <from>
                    <xdr:col>4</xdr:col>
                    <xdr:colOff>640080</xdr:colOff>
                    <xdr:row>23</xdr:row>
                    <xdr:rowOff>0</xdr:rowOff>
                  </from>
                  <to>
                    <xdr:col>4</xdr:col>
                    <xdr:colOff>960120</xdr:colOff>
                    <xdr:row>24</xdr:row>
                    <xdr:rowOff>0</xdr:rowOff>
                  </to>
                </anchor>
              </controlPr>
            </control>
          </mc:Choice>
        </mc:AlternateContent>
        <mc:AlternateContent xmlns:mc="http://schemas.openxmlformats.org/markup-compatibility/2006">
          <mc:Choice Requires="x14">
            <control shapeId="20526" r:id="rId49" name="Check Box 46">
              <controlPr defaultSize="0" autoFill="0" autoLine="0" autoPict="0">
                <anchor moveWithCells="1" sizeWithCells="1">
                  <from>
                    <xdr:col>4</xdr:col>
                    <xdr:colOff>0</xdr:colOff>
                    <xdr:row>24</xdr:row>
                    <xdr:rowOff>0</xdr:rowOff>
                  </from>
                  <to>
                    <xdr:col>4</xdr:col>
                    <xdr:colOff>365760</xdr:colOff>
                    <xdr:row>25</xdr:row>
                    <xdr:rowOff>0</xdr:rowOff>
                  </to>
                </anchor>
              </controlPr>
            </control>
          </mc:Choice>
        </mc:AlternateContent>
        <mc:AlternateContent xmlns:mc="http://schemas.openxmlformats.org/markup-compatibility/2006">
          <mc:Choice Requires="x14">
            <control shapeId="20527" r:id="rId50" name="Check Box 47">
              <controlPr defaultSize="0" autoFill="0" autoLine="0" autoPict="0">
                <anchor moveWithCells="1" sizeWithCells="1">
                  <from>
                    <xdr:col>4</xdr:col>
                    <xdr:colOff>335280</xdr:colOff>
                    <xdr:row>24</xdr:row>
                    <xdr:rowOff>0</xdr:rowOff>
                  </from>
                  <to>
                    <xdr:col>4</xdr:col>
                    <xdr:colOff>693420</xdr:colOff>
                    <xdr:row>25</xdr:row>
                    <xdr:rowOff>0</xdr:rowOff>
                  </to>
                </anchor>
              </controlPr>
            </control>
          </mc:Choice>
        </mc:AlternateContent>
        <mc:AlternateContent xmlns:mc="http://schemas.openxmlformats.org/markup-compatibility/2006">
          <mc:Choice Requires="x14">
            <control shapeId="20528" r:id="rId51" name="Check Box 48">
              <controlPr defaultSize="0" autoFill="0" autoLine="0" autoPict="0">
                <anchor moveWithCells="1" sizeWithCells="1">
                  <from>
                    <xdr:col>4</xdr:col>
                    <xdr:colOff>640080</xdr:colOff>
                    <xdr:row>24</xdr:row>
                    <xdr:rowOff>0</xdr:rowOff>
                  </from>
                  <to>
                    <xdr:col>4</xdr:col>
                    <xdr:colOff>960120</xdr:colOff>
                    <xdr:row>25</xdr:row>
                    <xdr:rowOff>0</xdr:rowOff>
                  </to>
                </anchor>
              </controlPr>
            </control>
          </mc:Choice>
        </mc:AlternateContent>
        <mc:AlternateContent xmlns:mc="http://schemas.openxmlformats.org/markup-compatibility/2006">
          <mc:Choice Requires="x14">
            <control shapeId="20529" r:id="rId52" name="Check Box 49">
              <controlPr defaultSize="0" autoFill="0" autoLine="0" autoPict="0">
                <anchor moveWithCells="1" sizeWithCells="1">
                  <from>
                    <xdr:col>4</xdr:col>
                    <xdr:colOff>0</xdr:colOff>
                    <xdr:row>25</xdr:row>
                    <xdr:rowOff>0</xdr:rowOff>
                  </from>
                  <to>
                    <xdr:col>4</xdr:col>
                    <xdr:colOff>365760</xdr:colOff>
                    <xdr:row>26</xdr:row>
                    <xdr:rowOff>0</xdr:rowOff>
                  </to>
                </anchor>
              </controlPr>
            </control>
          </mc:Choice>
        </mc:AlternateContent>
        <mc:AlternateContent xmlns:mc="http://schemas.openxmlformats.org/markup-compatibility/2006">
          <mc:Choice Requires="x14">
            <control shapeId="20530" r:id="rId53" name="Check Box 50">
              <controlPr defaultSize="0" autoFill="0" autoLine="0" autoPict="0">
                <anchor moveWithCells="1" sizeWithCells="1">
                  <from>
                    <xdr:col>4</xdr:col>
                    <xdr:colOff>335280</xdr:colOff>
                    <xdr:row>25</xdr:row>
                    <xdr:rowOff>0</xdr:rowOff>
                  </from>
                  <to>
                    <xdr:col>4</xdr:col>
                    <xdr:colOff>693420</xdr:colOff>
                    <xdr:row>26</xdr:row>
                    <xdr:rowOff>0</xdr:rowOff>
                  </to>
                </anchor>
              </controlPr>
            </control>
          </mc:Choice>
        </mc:AlternateContent>
        <mc:AlternateContent xmlns:mc="http://schemas.openxmlformats.org/markup-compatibility/2006">
          <mc:Choice Requires="x14">
            <control shapeId="20531" r:id="rId54" name="Check Box 51">
              <controlPr defaultSize="0" autoFill="0" autoLine="0" autoPict="0">
                <anchor moveWithCells="1" sizeWithCells="1">
                  <from>
                    <xdr:col>4</xdr:col>
                    <xdr:colOff>640080</xdr:colOff>
                    <xdr:row>25</xdr:row>
                    <xdr:rowOff>0</xdr:rowOff>
                  </from>
                  <to>
                    <xdr:col>4</xdr:col>
                    <xdr:colOff>960120</xdr:colOff>
                    <xdr:row>26</xdr:row>
                    <xdr:rowOff>0</xdr:rowOff>
                  </to>
                </anchor>
              </controlPr>
            </control>
          </mc:Choice>
        </mc:AlternateContent>
        <mc:AlternateContent xmlns:mc="http://schemas.openxmlformats.org/markup-compatibility/2006">
          <mc:Choice Requires="x14">
            <control shapeId="20532" r:id="rId55" name="Check Box 52">
              <controlPr defaultSize="0" autoFill="0" autoLine="0" autoPict="0">
                <anchor moveWithCells="1" sizeWithCells="1">
                  <from>
                    <xdr:col>4</xdr:col>
                    <xdr:colOff>0</xdr:colOff>
                    <xdr:row>26</xdr:row>
                    <xdr:rowOff>0</xdr:rowOff>
                  </from>
                  <to>
                    <xdr:col>4</xdr:col>
                    <xdr:colOff>365760</xdr:colOff>
                    <xdr:row>27</xdr:row>
                    <xdr:rowOff>0</xdr:rowOff>
                  </to>
                </anchor>
              </controlPr>
            </control>
          </mc:Choice>
        </mc:AlternateContent>
        <mc:AlternateContent xmlns:mc="http://schemas.openxmlformats.org/markup-compatibility/2006">
          <mc:Choice Requires="x14">
            <control shapeId="20533" r:id="rId56" name="Check Box 53">
              <controlPr defaultSize="0" autoFill="0" autoLine="0" autoPict="0">
                <anchor moveWithCells="1" sizeWithCells="1">
                  <from>
                    <xdr:col>4</xdr:col>
                    <xdr:colOff>335280</xdr:colOff>
                    <xdr:row>26</xdr:row>
                    <xdr:rowOff>0</xdr:rowOff>
                  </from>
                  <to>
                    <xdr:col>4</xdr:col>
                    <xdr:colOff>693420</xdr:colOff>
                    <xdr:row>27</xdr:row>
                    <xdr:rowOff>0</xdr:rowOff>
                  </to>
                </anchor>
              </controlPr>
            </control>
          </mc:Choice>
        </mc:AlternateContent>
        <mc:AlternateContent xmlns:mc="http://schemas.openxmlformats.org/markup-compatibility/2006">
          <mc:Choice Requires="x14">
            <control shapeId="20534" r:id="rId57" name="Check Box 54">
              <controlPr defaultSize="0" autoFill="0" autoLine="0" autoPict="0">
                <anchor moveWithCells="1" sizeWithCells="1">
                  <from>
                    <xdr:col>4</xdr:col>
                    <xdr:colOff>640080</xdr:colOff>
                    <xdr:row>26</xdr:row>
                    <xdr:rowOff>0</xdr:rowOff>
                  </from>
                  <to>
                    <xdr:col>4</xdr:col>
                    <xdr:colOff>960120</xdr:colOff>
                    <xdr:row>27</xdr:row>
                    <xdr:rowOff>0</xdr:rowOff>
                  </to>
                </anchor>
              </controlPr>
            </control>
          </mc:Choice>
        </mc:AlternateContent>
        <mc:AlternateContent xmlns:mc="http://schemas.openxmlformats.org/markup-compatibility/2006">
          <mc:Choice Requires="x14">
            <control shapeId="20535" r:id="rId58" name="Check Box 55">
              <controlPr defaultSize="0" autoFill="0" autoLine="0" autoPict="0">
                <anchor moveWithCells="1" sizeWithCells="1">
                  <from>
                    <xdr:col>4</xdr:col>
                    <xdr:colOff>0</xdr:colOff>
                    <xdr:row>27</xdr:row>
                    <xdr:rowOff>0</xdr:rowOff>
                  </from>
                  <to>
                    <xdr:col>4</xdr:col>
                    <xdr:colOff>365760</xdr:colOff>
                    <xdr:row>28</xdr:row>
                    <xdr:rowOff>0</xdr:rowOff>
                  </to>
                </anchor>
              </controlPr>
            </control>
          </mc:Choice>
        </mc:AlternateContent>
        <mc:AlternateContent xmlns:mc="http://schemas.openxmlformats.org/markup-compatibility/2006">
          <mc:Choice Requires="x14">
            <control shapeId="20536" r:id="rId59" name="Check Box 56">
              <controlPr defaultSize="0" autoFill="0" autoLine="0" autoPict="0">
                <anchor moveWithCells="1" sizeWithCells="1">
                  <from>
                    <xdr:col>4</xdr:col>
                    <xdr:colOff>335280</xdr:colOff>
                    <xdr:row>27</xdr:row>
                    <xdr:rowOff>0</xdr:rowOff>
                  </from>
                  <to>
                    <xdr:col>4</xdr:col>
                    <xdr:colOff>693420</xdr:colOff>
                    <xdr:row>28</xdr:row>
                    <xdr:rowOff>0</xdr:rowOff>
                  </to>
                </anchor>
              </controlPr>
            </control>
          </mc:Choice>
        </mc:AlternateContent>
        <mc:AlternateContent xmlns:mc="http://schemas.openxmlformats.org/markup-compatibility/2006">
          <mc:Choice Requires="x14">
            <control shapeId="20537" r:id="rId60" name="Check Box 57">
              <controlPr defaultSize="0" autoFill="0" autoLine="0" autoPict="0">
                <anchor moveWithCells="1" sizeWithCells="1">
                  <from>
                    <xdr:col>4</xdr:col>
                    <xdr:colOff>640080</xdr:colOff>
                    <xdr:row>27</xdr:row>
                    <xdr:rowOff>0</xdr:rowOff>
                  </from>
                  <to>
                    <xdr:col>4</xdr:col>
                    <xdr:colOff>960120</xdr:colOff>
                    <xdr:row>28</xdr:row>
                    <xdr:rowOff>0</xdr:rowOff>
                  </to>
                </anchor>
              </controlPr>
            </control>
          </mc:Choice>
        </mc:AlternateContent>
        <mc:AlternateContent xmlns:mc="http://schemas.openxmlformats.org/markup-compatibility/2006">
          <mc:Choice Requires="x14">
            <control shapeId="20538" r:id="rId61" name="Check Box 58">
              <controlPr defaultSize="0" autoFill="0" autoLine="0" autoPict="0">
                <anchor moveWithCells="1" sizeWithCells="1">
                  <from>
                    <xdr:col>4</xdr:col>
                    <xdr:colOff>0</xdr:colOff>
                    <xdr:row>28</xdr:row>
                    <xdr:rowOff>0</xdr:rowOff>
                  </from>
                  <to>
                    <xdr:col>4</xdr:col>
                    <xdr:colOff>365760</xdr:colOff>
                    <xdr:row>29</xdr:row>
                    <xdr:rowOff>0</xdr:rowOff>
                  </to>
                </anchor>
              </controlPr>
            </control>
          </mc:Choice>
        </mc:AlternateContent>
        <mc:AlternateContent xmlns:mc="http://schemas.openxmlformats.org/markup-compatibility/2006">
          <mc:Choice Requires="x14">
            <control shapeId="20539" r:id="rId62" name="Check Box 59">
              <controlPr defaultSize="0" autoFill="0" autoLine="0" autoPict="0">
                <anchor moveWithCells="1" sizeWithCells="1">
                  <from>
                    <xdr:col>4</xdr:col>
                    <xdr:colOff>335280</xdr:colOff>
                    <xdr:row>28</xdr:row>
                    <xdr:rowOff>0</xdr:rowOff>
                  </from>
                  <to>
                    <xdr:col>4</xdr:col>
                    <xdr:colOff>693420</xdr:colOff>
                    <xdr:row>29</xdr:row>
                    <xdr:rowOff>0</xdr:rowOff>
                  </to>
                </anchor>
              </controlPr>
            </control>
          </mc:Choice>
        </mc:AlternateContent>
        <mc:AlternateContent xmlns:mc="http://schemas.openxmlformats.org/markup-compatibility/2006">
          <mc:Choice Requires="x14">
            <control shapeId="20540" r:id="rId63" name="Check Box 60">
              <controlPr defaultSize="0" autoFill="0" autoLine="0" autoPict="0">
                <anchor moveWithCells="1" sizeWithCells="1">
                  <from>
                    <xdr:col>4</xdr:col>
                    <xdr:colOff>640080</xdr:colOff>
                    <xdr:row>28</xdr:row>
                    <xdr:rowOff>0</xdr:rowOff>
                  </from>
                  <to>
                    <xdr:col>4</xdr:col>
                    <xdr:colOff>960120</xdr:colOff>
                    <xdr:row>29</xdr:row>
                    <xdr:rowOff>0</xdr:rowOff>
                  </to>
                </anchor>
              </controlPr>
            </control>
          </mc:Choice>
        </mc:AlternateContent>
        <mc:AlternateContent xmlns:mc="http://schemas.openxmlformats.org/markup-compatibility/2006">
          <mc:Choice Requires="x14">
            <control shapeId="20541" r:id="rId64" name="Check Box 61">
              <controlPr defaultSize="0" autoFill="0" autoLine="0" autoPict="0">
                <anchor moveWithCells="1" sizeWithCells="1">
                  <from>
                    <xdr:col>4</xdr:col>
                    <xdr:colOff>0</xdr:colOff>
                    <xdr:row>29</xdr:row>
                    <xdr:rowOff>0</xdr:rowOff>
                  </from>
                  <to>
                    <xdr:col>4</xdr:col>
                    <xdr:colOff>365760</xdr:colOff>
                    <xdr:row>30</xdr:row>
                    <xdr:rowOff>0</xdr:rowOff>
                  </to>
                </anchor>
              </controlPr>
            </control>
          </mc:Choice>
        </mc:AlternateContent>
        <mc:AlternateContent xmlns:mc="http://schemas.openxmlformats.org/markup-compatibility/2006">
          <mc:Choice Requires="x14">
            <control shapeId="20542" r:id="rId65" name="Check Box 62">
              <controlPr defaultSize="0" autoFill="0" autoLine="0" autoPict="0">
                <anchor moveWithCells="1" sizeWithCells="1">
                  <from>
                    <xdr:col>4</xdr:col>
                    <xdr:colOff>335280</xdr:colOff>
                    <xdr:row>29</xdr:row>
                    <xdr:rowOff>0</xdr:rowOff>
                  </from>
                  <to>
                    <xdr:col>4</xdr:col>
                    <xdr:colOff>693420</xdr:colOff>
                    <xdr:row>30</xdr:row>
                    <xdr:rowOff>0</xdr:rowOff>
                  </to>
                </anchor>
              </controlPr>
            </control>
          </mc:Choice>
        </mc:AlternateContent>
        <mc:AlternateContent xmlns:mc="http://schemas.openxmlformats.org/markup-compatibility/2006">
          <mc:Choice Requires="x14">
            <control shapeId="20543" r:id="rId66" name="Check Box 63">
              <controlPr defaultSize="0" autoFill="0" autoLine="0" autoPict="0">
                <anchor moveWithCells="1" sizeWithCells="1">
                  <from>
                    <xdr:col>4</xdr:col>
                    <xdr:colOff>640080</xdr:colOff>
                    <xdr:row>29</xdr:row>
                    <xdr:rowOff>0</xdr:rowOff>
                  </from>
                  <to>
                    <xdr:col>4</xdr:col>
                    <xdr:colOff>960120</xdr:colOff>
                    <xdr:row>30</xdr:row>
                    <xdr:rowOff>0</xdr:rowOff>
                  </to>
                </anchor>
              </controlPr>
            </control>
          </mc:Choice>
        </mc:AlternateContent>
        <mc:AlternateContent xmlns:mc="http://schemas.openxmlformats.org/markup-compatibility/2006">
          <mc:Choice Requires="x14">
            <control shapeId="20544" r:id="rId67" name="Check Box 64">
              <controlPr defaultSize="0" autoFill="0" autoLine="0" autoPict="0">
                <anchor moveWithCells="1" sizeWithCells="1">
                  <from>
                    <xdr:col>4</xdr:col>
                    <xdr:colOff>0</xdr:colOff>
                    <xdr:row>30</xdr:row>
                    <xdr:rowOff>0</xdr:rowOff>
                  </from>
                  <to>
                    <xdr:col>4</xdr:col>
                    <xdr:colOff>365760</xdr:colOff>
                    <xdr:row>31</xdr:row>
                    <xdr:rowOff>0</xdr:rowOff>
                  </to>
                </anchor>
              </controlPr>
            </control>
          </mc:Choice>
        </mc:AlternateContent>
        <mc:AlternateContent xmlns:mc="http://schemas.openxmlformats.org/markup-compatibility/2006">
          <mc:Choice Requires="x14">
            <control shapeId="20545" r:id="rId68" name="Check Box 65">
              <controlPr defaultSize="0" autoFill="0" autoLine="0" autoPict="0">
                <anchor moveWithCells="1" sizeWithCells="1">
                  <from>
                    <xdr:col>4</xdr:col>
                    <xdr:colOff>335280</xdr:colOff>
                    <xdr:row>30</xdr:row>
                    <xdr:rowOff>0</xdr:rowOff>
                  </from>
                  <to>
                    <xdr:col>4</xdr:col>
                    <xdr:colOff>693420</xdr:colOff>
                    <xdr:row>31</xdr:row>
                    <xdr:rowOff>0</xdr:rowOff>
                  </to>
                </anchor>
              </controlPr>
            </control>
          </mc:Choice>
        </mc:AlternateContent>
        <mc:AlternateContent xmlns:mc="http://schemas.openxmlformats.org/markup-compatibility/2006">
          <mc:Choice Requires="x14">
            <control shapeId="20546" r:id="rId69" name="Check Box 66">
              <controlPr defaultSize="0" autoFill="0" autoLine="0" autoPict="0">
                <anchor moveWithCells="1" sizeWithCells="1">
                  <from>
                    <xdr:col>4</xdr:col>
                    <xdr:colOff>640080</xdr:colOff>
                    <xdr:row>30</xdr:row>
                    <xdr:rowOff>0</xdr:rowOff>
                  </from>
                  <to>
                    <xdr:col>4</xdr:col>
                    <xdr:colOff>960120</xdr:colOff>
                    <xdr:row>31</xdr:row>
                    <xdr:rowOff>0</xdr:rowOff>
                  </to>
                </anchor>
              </controlPr>
            </control>
          </mc:Choice>
        </mc:AlternateContent>
        <mc:AlternateContent xmlns:mc="http://schemas.openxmlformats.org/markup-compatibility/2006">
          <mc:Choice Requires="x14">
            <control shapeId="20547" r:id="rId70" name="Check Box 67">
              <controlPr defaultSize="0" autoFill="0" autoLine="0" autoPict="0">
                <anchor moveWithCells="1" sizeWithCells="1">
                  <from>
                    <xdr:col>4</xdr:col>
                    <xdr:colOff>0</xdr:colOff>
                    <xdr:row>31</xdr:row>
                    <xdr:rowOff>0</xdr:rowOff>
                  </from>
                  <to>
                    <xdr:col>4</xdr:col>
                    <xdr:colOff>365760</xdr:colOff>
                    <xdr:row>32</xdr:row>
                    <xdr:rowOff>0</xdr:rowOff>
                  </to>
                </anchor>
              </controlPr>
            </control>
          </mc:Choice>
        </mc:AlternateContent>
        <mc:AlternateContent xmlns:mc="http://schemas.openxmlformats.org/markup-compatibility/2006">
          <mc:Choice Requires="x14">
            <control shapeId="20548" r:id="rId71" name="Check Box 68">
              <controlPr defaultSize="0" autoFill="0" autoLine="0" autoPict="0">
                <anchor moveWithCells="1" sizeWithCells="1">
                  <from>
                    <xdr:col>4</xdr:col>
                    <xdr:colOff>335280</xdr:colOff>
                    <xdr:row>31</xdr:row>
                    <xdr:rowOff>0</xdr:rowOff>
                  </from>
                  <to>
                    <xdr:col>4</xdr:col>
                    <xdr:colOff>693420</xdr:colOff>
                    <xdr:row>32</xdr:row>
                    <xdr:rowOff>0</xdr:rowOff>
                  </to>
                </anchor>
              </controlPr>
            </control>
          </mc:Choice>
        </mc:AlternateContent>
        <mc:AlternateContent xmlns:mc="http://schemas.openxmlformats.org/markup-compatibility/2006">
          <mc:Choice Requires="x14">
            <control shapeId="20549" r:id="rId72" name="Check Box 69">
              <controlPr defaultSize="0" autoFill="0" autoLine="0" autoPict="0">
                <anchor moveWithCells="1" sizeWithCells="1">
                  <from>
                    <xdr:col>4</xdr:col>
                    <xdr:colOff>640080</xdr:colOff>
                    <xdr:row>31</xdr:row>
                    <xdr:rowOff>0</xdr:rowOff>
                  </from>
                  <to>
                    <xdr:col>4</xdr:col>
                    <xdr:colOff>960120</xdr:colOff>
                    <xdr:row>32</xdr:row>
                    <xdr:rowOff>0</xdr:rowOff>
                  </to>
                </anchor>
              </controlPr>
            </control>
          </mc:Choice>
        </mc:AlternateContent>
        <mc:AlternateContent xmlns:mc="http://schemas.openxmlformats.org/markup-compatibility/2006">
          <mc:Choice Requires="x14">
            <control shapeId="20550" r:id="rId73" name="Check Box 70">
              <controlPr defaultSize="0" autoFill="0" autoLine="0" autoPict="0">
                <anchor moveWithCells="1" sizeWithCells="1">
                  <from>
                    <xdr:col>4</xdr:col>
                    <xdr:colOff>0</xdr:colOff>
                    <xdr:row>32</xdr:row>
                    <xdr:rowOff>0</xdr:rowOff>
                  </from>
                  <to>
                    <xdr:col>4</xdr:col>
                    <xdr:colOff>365760</xdr:colOff>
                    <xdr:row>33</xdr:row>
                    <xdr:rowOff>0</xdr:rowOff>
                  </to>
                </anchor>
              </controlPr>
            </control>
          </mc:Choice>
        </mc:AlternateContent>
        <mc:AlternateContent xmlns:mc="http://schemas.openxmlformats.org/markup-compatibility/2006">
          <mc:Choice Requires="x14">
            <control shapeId="20551" r:id="rId74" name="Check Box 71">
              <controlPr defaultSize="0" autoFill="0" autoLine="0" autoPict="0">
                <anchor moveWithCells="1" sizeWithCells="1">
                  <from>
                    <xdr:col>4</xdr:col>
                    <xdr:colOff>335280</xdr:colOff>
                    <xdr:row>32</xdr:row>
                    <xdr:rowOff>0</xdr:rowOff>
                  </from>
                  <to>
                    <xdr:col>4</xdr:col>
                    <xdr:colOff>693420</xdr:colOff>
                    <xdr:row>33</xdr:row>
                    <xdr:rowOff>0</xdr:rowOff>
                  </to>
                </anchor>
              </controlPr>
            </control>
          </mc:Choice>
        </mc:AlternateContent>
        <mc:AlternateContent xmlns:mc="http://schemas.openxmlformats.org/markup-compatibility/2006">
          <mc:Choice Requires="x14">
            <control shapeId="20552" r:id="rId75" name="Check Box 72">
              <controlPr defaultSize="0" autoFill="0" autoLine="0" autoPict="0">
                <anchor moveWithCells="1" sizeWithCells="1">
                  <from>
                    <xdr:col>4</xdr:col>
                    <xdr:colOff>640080</xdr:colOff>
                    <xdr:row>32</xdr:row>
                    <xdr:rowOff>0</xdr:rowOff>
                  </from>
                  <to>
                    <xdr:col>4</xdr:col>
                    <xdr:colOff>960120</xdr:colOff>
                    <xdr:row>33</xdr:row>
                    <xdr:rowOff>0</xdr:rowOff>
                  </to>
                </anchor>
              </controlPr>
            </control>
          </mc:Choice>
        </mc:AlternateContent>
        <mc:AlternateContent xmlns:mc="http://schemas.openxmlformats.org/markup-compatibility/2006">
          <mc:Choice Requires="x14">
            <control shapeId="20553" r:id="rId76" name="Check Box 73">
              <controlPr defaultSize="0" autoFill="0" autoLine="0" autoPict="0">
                <anchor moveWithCells="1" sizeWithCells="1">
                  <from>
                    <xdr:col>4</xdr:col>
                    <xdr:colOff>0</xdr:colOff>
                    <xdr:row>33</xdr:row>
                    <xdr:rowOff>0</xdr:rowOff>
                  </from>
                  <to>
                    <xdr:col>4</xdr:col>
                    <xdr:colOff>365760</xdr:colOff>
                    <xdr:row>34</xdr:row>
                    <xdr:rowOff>0</xdr:rowOff>
                  </to>
                </anchor>
              </controlPr>
            </control>
          </mc:Choice>
        </mc:AlternateContent>
        <mc:AlternateContent xmlns:mc="http://schemas.openxmlformats.org/markup-compatibility/2006">
          <mc:Choice Requires="x14">
            <control shapeId="20554" r:id="rId77" name="Check Box 74">
              <controlPr defaultSize="0" autoFill="0" autoLine="0" autoPict="0">
                <anchor moveWithCells="1" sizeWithCells="1">
                  <from>
                    <xdr:col>4</xdr:col>
                    <xdr:colOff>335280</xdr:colOff>
                    <xdr:row>33</xdr:row>
                    <xdr:rowOff>0</xdr:rowOff>
                  </from>
                  <to>
                    <xdr:col>4</xdr:col>
                    <xdr:colOff>693420</xdr:colOff>
                    <xdr:row>34</xdr:row>
                    <xdr:rowOff>0</xdr:rowOff>
                  </to>
                </anchor>
              </controlPr>
            </control>
          </mc:Choice>
        </mc:AlternateContent>
        <mc:AlternateContent xmlns:mc="http://schemas.openxmlformats.org/markup-compatibility/2006">
          <mc:Choice Requires="x14">
            <control shapeId="20555" r:id="rId78" name="Check Box 75">
              <controlPr defaultSize="0" autoFill="0" autoLine="0" autoPict="0">
                <anchor moveWithCells="1" sizeWithCells="1">
                  <from>
                    <xdr:col>4</xdr:col>
                    <xdr:colOff>640080</xdr:colOff>
                    <xdr:row>33</xdr:row>
                    <xdr:rowOff>0</xdr:rowOff>
                  </from>
                  <to>
                    <xdr:col>4</xdr:col>
                    <xdr:colOff>960120</xdr:colOff>
                    <xdr:row>34</xdr:row>
                    <xdr:rowOff>0</xdr:rowOff>
                  </to>
                </anchor>
              </controlPr>
            </control>
          </mc:Choice>
        </mc:AlternateContent>
        <mc:AlternateContent xmlns:mc="http://schemas.openxmlformats.org/markup-compatibility/2006">
          <mc:Choice Requires="x14">
            <control shapeId="20556" r:id="rId79" name="Check Box 76">
              <controlPr defaultSize="0" autoFill="0" autoLine="0" autoPict="0">
                <anchor moveWithCells="1" sizeWithCells="1">
                  <from>
                    <xdr:col>4</xdr:col>
                    <xdr:colOff>0</xdr:colOff>
                    <xdr:row>34</xdr:row>
                    <xdr:rowOff>0</xdr:rowOff>
                  </from>
                  <to>
                    <xdr:col>4</xdr:col>
                    <xdr:colOff>365760</xdr:colOff>
                    <xdr:row>35</xdr:row>
                    <xdr:rowOff>0</xdr:rowOff>
                  </to>
                </anchor>
              </controlPr>
            </control>
          </mc:Choice>
        </mc:AlternateContent>
        <mc:AlternateContent xmlns:mc="http://schemas.openxmlformats.org/markup-compatibility/2006">
          <mc:Choice Requires="x14">
            <control shapeId="20557" r:id="rId80" name="Check Box 77">
              <controlPr defaultSize="0" autoFill="0" autoLine="0" autoPict="0">
                <anchor moveWithCells="1" sizeWithCells="1">
                  <from>
                    <xdr:col>4</xdr:col>
                    <xdr:colOff>335280</xdr:colOff>
                    <xdr:row>34</xdr:row>
                    <xdr:rowOff>0</xdr:rowOff>
                  </from>
                  <to>
                    <xdr:col>4</xdr:col>
                    <xdr:colOff>693420</xdr:colOff>
                    <xdr:row>35</xdr:row>
                    <xdr:rowOff>0</xdr:rowOff>
                  </to>
                </anchor>
              </controlPr>
            </control>
          </mc:Choice>
        </mc:AlternateContent>
        <mc:AlternateContent xmlns:mc="http://schemas.openxmlformats.org/markup-compatibility/2006">
          <mc:Choice Requires="x14">
            <control shapeId="20558" r:id="rId81" name="Check Box 78">
              <controlPr defaultSize="0" autoFill="0" autoLine="0" autoPict="0">
                <anchor moveWithCells="1" sizeWithCells="1">
                  <from>
                    <xdr:col>4</xdr:col>
                    <xdr:colOff>640080</xdr:colOff>
                    <xdr:row>34</xdr:row>
                    <xdr:rowOff>0</xdr:rowOff>
                  </from>
                  <to>
                    <xdr:col>4</xdr:col>
                    <xdr:colOff>960120</xdr:colOff>
                    <xdr:row>35</xdr:row>
                    <xdr:rowOff>0</xdr:rowOff>
                  </to>
                </anchor>
              </controlPr>
            </control>
          </mc:Choice>
        </mc:AlternateContent>
        <mc:AlternateContent xmlns:mc="http://schemas.openxmlformats.org/markup-compatibility/2006">
          <mc:Choice Requires="x14">
            <control shapeId="20559" r:id="rId82" name="Check Box 79">
              <controlPr defaultSize="0" autoFill="0" autoLine="0" autoPict="0">
                <anchor moveWithCells="1" sizeWithCells="1">
                  <from>
                    <xdr:col>4</xdr:col>
                    <xdr:colOff>0</xdr:colOff>
                    <xdr:row>35</xdr:row>
                    <xdr:rowOff>0</xdr:rowOff>
                  </from>
                  <to>
                    <xdr:col>4</xdr:col>
                    <xdr:colOff>365760</xdr:colOff>
                    <xdr:row>36</xdr:row>
                    <xdr:rowOff>0</xdr:rowOff>
                  </to>
                </anchor>
              </controlPr>
            </control>
          </mc:Choice>
        </mc:AlternateContent>
        <mc:AlternateContent xmlns:mc="http://schemas.openxmlformats.org/markup-compatibility/2006">
          <mc:Choice Requires="x14">
            <control shapeId="20560" r:id="rId83" name="Check Box 80">
              <controlPr defaultSize="0" autoFill="0" autoLine="0" autoPict="0">
                <anchor moveWithCells="1" sizeWithCells="1">
                  <from>
                    <xdr:col>4</xdr:col>
                    <xdr:colOff>335280</xdr:colOff>
                    <xdr:row>35</xdr:row>
                    <xdr:rowOff>0</xdr:rowOff>
                  </from>
                  <to>
                    <xdr:col>4</xdr:col>
                    <xdr:colOff>693420</xdr:colOff>
                    <xdr:row>36</xdr:row>
                    <xdr:rowOff>0</xdr:rowOff>
                  </to>
                </anchor>
              </controlPr>
            </control>
          </mc:Choice>
        </mc:AlternateContent>
        <mc:AlternateContent xmlns:mc="http://schemas.openxmlformats.org/markup-compatibility/2006">
          <mc:Choice Requires="x14">
            <control shapeId="20561" r:id="rId84" name="Check Box 81">
              <controlPr defaultSize="0" autoFill="0" autoLine="0" autoPict="0">
                <anchor moveWithCells="1" sizeWithCells="1">
                  <from>
                    <xdr:col>4</xdr:col>
                    <xdr:colOff>640080</xdr:colOff>
                    <xdr:row>35</xdr:row>
                    <xdr:rowOff>0</xdr:rowOff>
                  </from>
                  <to>
                    <xdr:col>4</xdr:col>
                    <xdr:colOff>960120</xdr:colOff>
                    <xdr:row>36</xdr:row>
                    <xdr:rowOff>0</xdr:rowOff>
                  </to>
                </anchor>
              </controlPr>
            </control>
          </mc:Choice>
        </mc:AlternateContent>
        <mc:AlternateContent xmlns:mc="http://schemas.openxmlformats.org/markup-compatibility/2006">
          <mc:Choice Requires="x14">
            <control shapeId="20562" r:id="rId85" name="Check Box 82">
              <controlPr defaultSize="0" autoFill="0" autoLine="0" autoPict="0">
                <anchor moveWithCells="1" sizeWithCells="1">
                  <from>
                    <xdr:col>4</xdr:col>
                    <xdr:colOff>0</xdr:colOff>
                    <xdr:row>36</xdr:row>
                    <xdr:rowOff>0</xdr:rowOff>
                  </from>
                  <to>
                    <xdr:col>4</xdr:col>
                    <xdr:colOff>365760</xdr:colOff>
                    <xdr:row>37</xdr:row>
                    <xdr:rowOff>0</xdr:rowOff>
                  </to>
                </anchor>
              </controlPr>
            </control>
          </mc:Choice>
        </mc:AlternateContent>
        <mc:AlternateContent xmlns:mc="http://schemas.openxmlformats.org/markup-compatibility/2006">
          <mc:Choice Requires="x14">
            <control shapeId="20563" r:id="rId86" name="Check Box 83">
              <controlPr defaultSize="0" autoFill="0" autoLine="0" autoPict="0">
                <anchor moveWithCells="1" sizeWithCells="1">
                  <from>
                    <xdr:col>4</xdr:col>
                    <xdr:colOff>335280</xdr:colOff>
                    <xdr:row>36</xdr:row>
                    <xdr:rowOff>0</xdr:rowOff>
                  </from>
                  <to>
                    <xdr:col>4</xdr:col>
                    <xdr:colOff>693420</xdr:colOff>
                    <xdr:row>37</xdr:row>
                    <xdr:rowOff>0</xdr:rowOff>
                  </to>
                </anchor>
              </controlPr>
            </control>
          </mc:Choice>
        </mc:AlternateContent>
        <mc:AlternateContent xmlns:mc="http://schemas.openxmlformats.org/markup-compatibility/2006">
          <mc:Choice Requires="x14">
            <control shapeId="20564" r:id="rId87" name="Check Box 84">
              <controlPr defaultSize="0" autoFill="0" autoLine="0" autoPict="0">
                <anchor moveWithCells="1" sizeWithCells="1">
                  <from>
                    <xdr:col>4</xdr:col>
                    <xdr:colOff>640080</xdr:colOff>
                    <xdr:row>36</xdr:row>
                    <xdr:rowOff>0</xdr:rowOff>
                  </from>
                  <to>
                    <xdr:col>4</xdr:col>
                    <xdr:colOff>960120</xdr:colOff>
                    <xdr:row>37</xdr:row>
                    <xdr:rowOff>0</xdr:rowOff>
                  </to>
                </anchor>
              </controlPr>
            </control>
          </mc:Choice>
        </mc:AlternateContent>
        <mc:AlternateContent xmlns:mc="http://schemas.openxmlformats.org/markup-compatibility/2006">
          <mc:Choice Requires="x14">
            <control shapeId="20565" r:id="rId88" name="Check Box 85">
              <controlPr defaultSize="0" autoFill="0" autoLine="0" autoPict="0">
                <anchor moveWithCells="1" sizeWithCells="1">
                  <from>
                    <xdr:col>4</xdr:col>
                    <xdr:colOff>0</xdr:colOff>
                    <xdr:row>37</xdr:row>
                    <xdr:rowOff>0</xdr:rowOff>
                  </from>
                  <to>
                    <xdr:col>4</xdr:col>
                    <xdr:colOff>365760</xdr:colOff>
                    <xdr:row>38</xdr:row>
                    <xdr:rowOff>0</xdr:rowOff>
                  </to>
                </anchor>
              </controlPr>
            </control>
          </mc:Choice>
        </mc:AlternateContent>
        <mc:AlternateContent xmlns:mc="http://schemas.openxmlformats.org/markup-compatibility/2006">
          <mc:Choice Requires="x14">
            <control shapeId="20566" r:id="rId89" name="Check Box 86">
              <controlPr defaultSize="0" autoFill="0" autoLine="0" autoPict="0">
                <anchor moveWithCells="1" sizeWithCells="1">
                  <from>
                    <xdr:col>4</xdr:col>
                    <xdr:colOff>335280</xdr:colOff>
                    <xdr:row>37</xdr:row>
                    <xdr:rowOff>0</xdr:rowOff>
                  </from>
                  <to>
                    <xdr:col>4</xdr:col>
                    <xdr:colOff>693420</xdr:colOff>
                    <xdr:row>38</xdr:row>
                    <xdr:rowOff>0</xdr:rowOff>
                  </to>
                </anchor>
              </controlPr>
            </control>
          </mc:Choice>
        </mc:AlternateContent>
        <mc:AlternateContent xmlns:mc="http://schemas.openxmlformats.org/markup-compatibility/2006">
          <mc:Choice Requires="x14">
            <control shapeId="20567" r:id="rId90" name="Check Box 87">
              <controlPr defaultSize="0" autoFill="0" autoLine="0" autoPict="0">
                <anchor moveWithCells="1" sizeWithCells="1">
                  <from>
                    <xdr:col>4</xdr:col>
                    <xdr:colOff>640080</xdr:colOff>
                    <xdr:row>37</xdr:row>
                    <xdr:rowOff>0</xdr:rowOff>
                  </from>
                  <to>
                    <xdr:col>4</xdr:col>
                    <xdr:colOff>960120</xdr:colOff>
                    <xdr:row>38</xdr:row>
                    <xdr:rowOff>0</xdr:rowOff>
                  </to>
                </anchor>
              </controlPr>
            </control>
          </mc:Choice>
        </mc:AlternateContent>
        <mc:AlternateContent xmlns:mc="http://schemas.openxmlformats.org/markup-compatibility/2006">
          <mc:Choice Requires="x14">
            <control shapeId="20568" r:id="rId91" name="Check Box 88">
              <controlPr defaultSize="0" autoFill="0" autoLine="0" autoPict="0">
                <anchor moveWithCells="1" sizeWithCells="1">
                  <from>
                    <xdr:col>4</xdr:col>
                    <xdr:colOff>0</xdr:colOff>
                    <xdr:row>38</xdr:row>
                    <xdr:rowOff>0</xdr:rowOff>
                  </from>
                  <to>
                    <xdr:col>4</xdr:col>
                    <xdr:colOff>365760</xdr:colOff>
                    <xdr:row>39</xdr:row>
                    <xdr:rowOff>0</xdr:rowOff>
                  </to>
                </anchor>
              </controlPr>
            </control>
          </mc:Choice>
        </mc:AlternateContent>
        <mc:AlternateContent xmlns:mc="http://schemas.openxmlformats.org/markup-compatibility/2006">
          <mc:Choice Requires="x14">
            <control shapeId="20569" r:id="rId92" name="Check Box 89">
              <controlPr defaultSize="0" autoFill="0" autoLine="0" autoPict="0">
                <anchor moveWithCells="1" sizeWithCells="1">
                  <from>
                    <xdr:col>4</xdr:col>
                    <xdr:colOff>335280</xdr:colOff>
                    <xdr:row>38</xdr:row>
                    <xdr:rowOff>0</xdr:rowOff>
                  </from>
                  <to>
                    <xdr:col>4</xdr:col>
                    <xdr:colOff>693420</xdr:colOff>
                    <xdr:row>39</xdr:row>
                    <xdr:rowOff>0</xdr:rowOff>
                  </to>
                </anchor>
              </controlPr>
            </control>
          </mc:Choice>
        </mc:AlternateContent>
        <mc:AlternateContent xmlns:mc="http://schemas.openxmlformats.org/markup-compatibility/2006">
          <mc:Choice Requires="x14">
            <control shapeId="20570" r:id="rId93" name="Check Box 90">
              <controlPr defaultSize="0" autoFill="0" autoLine="0" autoPict="0">
                <anchor moveWithCells="1" sizeWithCells="1">
                  <from>
                    <xdr:col>4</xdr:col>
                    <xdr:colOff>640080</xdr:colOff>
                    <xdr:row>38</xdr:row>
                    <xdr:rowOff>0</xdr:rowOff>
                  </from>
                  <to>
                    <xdr:col>4</xdr:col>
                    <xdr:colOff>960120</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R518"/>
  <sheetViews>
    <sheetView tabSelected="1" topLeftCell="J253" zoomScaleNormal="100" workbookViewId="0">
      <selection activeCell="T282" sqref="T282"/>
    </sheetView>
  </sheetViews>
  <sheetFormatPr defaultColWidth="9" defaultRowHeight="14.1" customHeight="1"/>
  <cols>
    <col min="1" max="1" width="2.3984375" style="535" customWidth="1"/>
    <col min="2" max="2" width="2.3984375" style="20" customWidth="1"/>
    <col min="3" max="13" width="10.59765625" style="20" customWidth="1"/>
    <col min="14" max="14" width="2.3984375" style="20" customWidth="1"/>
    <col min="15" max="25" width="12.59765625" style="20" customWidth="1"/>
    <col min="26" max="35" width="10.59765625" style="20" customWidth="1"/>
    <col min="36" max="36" width="10.59765625" style="544" customWidth="1"/>
    <col min="37" max="44" width="10.59765625" style="20" customWidth="1"/>
    <col min="45" max="16384" width="9" style="4"/>
  </cols>
  <sheetData>
    <row r="1" spans="1:44" ht="14.1" customHeight="1" thickTop="1">
      <c r="A1" s="16">
        <v>1</v>
      </c>
      <c r="B1" s="17"/>
      <c r="C1" s="18"/>
      <c r="D1" s="18"/>
      <c r="E1" s="18"/>
      <c r="F1" s="18"/>
      <c r="G1" s="18"/>
      <c r="H1" s="18"/>
      <c r="I1" s="18"/>
      <c r="J1" s="18"/>
      <c r="K1" s="18"/>
      <c r="L1" s="18"/>
      <c r="M1" s="19"/>
      <c r="O1" s="21" t="s">
        <v>780</v>
      </c>
      <c r="P1" s="22"/>
      <c r="Q1" s="22"/>
      <c r="R1" s="22"/>
      <c r="S1" s="22"/>
      <c r="T1" s="22"/>
      <c r="U1" s="22"/>
      <c r="V1" s="22"/>
      <c r="W1" s="22"/>
      <c r="X1" s="22"/>
      <c r="Y1" s="23"/>
      <c r="AA1" s="24" t="s">
        <v>0</v>
      </c>
    </row>
    <row r="2" spans="1:44" ht="14.1" customHeight="1">
      <c r="A2" s="16">
        <v>2</v>
      </c>
      <c r="B2" s="25"/>
      <c r="C2" s="26"/>
      <c r="D2" s="26"/>
      <c r="E2" s="26"/>
      <c r="F2" s="26"/>
      <c r="G2" s="26"/>
      <c r="H2" s="27" t="s">
        <v>1</v>
      </c>
      <c r="I2" s="26"/>
      <c r="J2" s="26"/>
      <c r="K2" s="26"/>
      <c r="L2" s="26"/>
      <c r="M2" s="28"/>
      <c r="O2" s="29"/>
      <c r="T2" s="30" t="s">
        <v>1</v>
      </c>
      <c r="Y2" s="31"/>
      <c r="AA2" s="32" t="s">
        <v>2</v>
      </c>
    </row>
    <row r="3" spans="1:44" ht="14.1" customHeight="1">
      <c r="A3" s="16">
        <v>3</v>
      </c>
      <c r="B3" s="25"/>
      <c r="C3" s="26"/>
      <c r="D3" s="26"/>
      <c r="E3" s="26"/>
      <c r="F3" s="26"/>
      <c r="G3" s="26"/>
      <c r="H3" s="27" t="s">
        <v>3</v>
      </c>
      <c r="I3" s="26"/>
      <c r="J3" s="26"/>
      <c r="K3" s="26"/>
      <c r="L3" s="26"/>
      <c r="M3" s="28"/>
      <c r="O3" s="29"/>
      <c r="T3" s="30" t="s">
        <v>3</v>
      </c>
      <c r="Y3" s="31"/>
      <c r="AA3" s="33" t="str">
        <f>IF(AB7="","",AB7)</f>
        <v>Page1,HVLPage,ExpChart,ImgQuality,Compg1,GraphAcryl,LeedsTO10</v>
      </c>
    </row>
    <row r="4" spans="1:44" ht="14.1" customHeight="1">
      <c r="A4" s="16">
        <v>4</v>
      </c>
      <c r="B4" s="25"/>
      <c r="C4" s="26"/>
      <c r="D4" s="26"/>
      <c r="E4" s="26"/>
      <c r="F4" s="26"/>
      <c r="G4" s="26"/>
      <c r="H4" s="26"/>
      <c r="I4" s="26"/>
      <c r="J4" s="26"/>
      <c r="K4" s="26"/>
      <c r="L4" s="26"/>
      <c r="M4" s="28"/>
      <c r="O4" s="29"/>
      <c r="T4" s="535"/>
      <c r="Y4" s="31"/>
      <c r="AA4" s="34" t="s">
        <v>4</v>
      </c>
      <c r="AB4" s="35" t="s">
        <v>5</v>
      </c>
    </row>
    <row r="5" spans="1:44" ht="14.1" customHeight="1">
      <c r="A5" s="16">
        <v>5</v>
      </c>
      <c r="B5" s="25"/>
      <c r="C5" s="26"/>
      <c r="D5" s="26"/>
      <c r="E5" s="26"/>
      <c r="F5" s="26"/>
      <c r="G5" s="26"/>
      <c r="H5" s="27" t="s">
        <v>6</v>
      </c>
      <c r="I5" s="26"/>
      <c r="J5" s="26"/>
      <c r="K5" s="26"/>
      <c r="L5" s="26"/>
      <c r="M5" s="28"/>
      <c r="O5" s="29"/>
      <c r="T5" s="30" t="s">
        <v>6</v>
      </c>
      <c r="Y5" s="31"/>
    </row>
    <row r="6" spans="1:44" ht="14.1" customHeight="1" thickBot="1">
      <c r="A6" s="16">
        <v>6</v>
      </c>
      <c r="B6" s="36"/>
      <c r="C6" s="37"/>
      <c r="D6" s="37"/>
      <c r="E6" s="37"/>
      <c r="F6" s="37"/>
      <c r="G6" s="37"/>
      <c r="H6" s="37"/>
      <c r="I6" s="37"/>
      <c r="J6" s="37"/>
      <c r="K6" s="37"/>
      <c r="L6" s="37"/>
      <c r="M6" s="38"/>
      <c r="O6" s="39"/>
      <c r="P6" s="40"/>
      <c r="Q6" s="40"/>
      <c r="R6" s="40"/>
      <c r="S6" s="40"/>
      <c r="T6" s="40"/>
      <c r="U6" s="40"/>
      <c r="V6" s="40"/>
      <c r="W6" s="40"/>
      <c r="X6" s="40"/>
      <c r="Y6" s="41"/>
      <c r="AA6" s="42" t="s">
        <v>7</v>
      </c>
      <c r="AB6" s="20" t="s">
        <v>8</v>
      </c>
      <c r="AD6" s="20" t="s">
        <v>9</v>
      </c>
    </row>
    <row r="7" spans="1:44" ht="14.1" customHeight="1" thickTop="1">
      <c r="A7" s="16">
        <v>7</v>
      </c>
      <c r="O7" s="20" t="s">
        <v>10</v>
      </c>
      <c r="P7" s="43"/>
      <c r="Q7" s="44"/>
      <c r="W7" s="20" t="s">
        <v>11</v>
      </c>
      <c r="X7" s="45" t="str">
        <f>IF(Y7&lt;&gt;"",Y7,IF(AB9="","",AB9))</f>
        <v>Eugene Mah</v>
      </c>
      <c r="Y7" s="46" t="s">
        <v>12</v>
      </c>
      <c r="AA7" s="34" t="s">
        <v>0</v>
      </c>
      <c r="AB7" s="47" t="s">
        <v>2</v>
      </c>
      <c r="AC7" s="48" t="str">
        <f t="shared" ref="AC7:AC19" si="0">IF(AB7&lt;&gt;AD7,"Change","")</f>
        <v/>
      </c>
      <c r="AD7" s="49" t="str">
        <f>IF(OR(AA2="",AA2=0),"",AA2)</f>
        <v>Page1,HVLPage,ExpChart,ImgQuality,Compg1,GraphAcryl,LeedsTO10</v>
      </c>
    </row>
    <row r="8" spans="1:44" ht="14.1" customHeight="1" thickBot="1">
      <c r="A8" s="16">
        <v>8</v>
      </c>
      <c r="G8" s="50"/>
      <c r="H8" s="50" t="s">
        <v>13</v>
      </c>
      <c r="O8" s="20" t="s">
        <v>14</v>
      </c>
      <c r="P8" s="51" t="str">
        <f>IF(AB8="","",AB8)</f>
        <v/>
      </c>
      <c r="Q8" s="52"/>
      <c r="T8" s="255" t="s">
        <v>13</v>
      </c>
      <c r="W8" s="53"/>
      <c r="X8" s="53"/>
      <c r="Y8" s="54"/>
      <c r="AA8" s="34" t="s">
        <v>15</v>
      </c>
      <c r="AB8" s="55"/>
      <c r="AC8" s="48" t="str">
        <f t="shared" si="0"/>
        <v/>
      </c>
      <c r="AD8" s="56" t="str">
        <f>IF(P7="","",P7)</f>
        <v/>
      </c>
    </row>
    <row r="9" spans="1:44" ht="14.1" customHeight="1" thickTop="1" thickBot="1">
      <c r="A9" s="16">
        <v>9</v>
      </c>
      <c r="B9" s="57"/>
      <c r="C9" s="58"/>
      <c r="D9" s="59" t="s">
        <v>16</v>
      </c>
      <c r="E9" s="58"/>
      <c r="F9" s="58"/>
      <c r="G9" s="58"/>
      <c r="H9" s="58"/>
      <c r="I9" s="58"/>
      <c r="J9" s="58"/>
      <c r="K9" s="58"/>
      <c r="L9" s="58"/>
      <c r="M9" s="60"/>
      <c r="O9" s="61"/>
      <c r="P9" s="62" t="s">
        <v>16</v>
      </c>
      <c r="Q9" s="22"/>
      <c r="R9" s="22"/>
      <c r="S9" s="63" t="s">
        <v>17</v>
      </c>
      <c r="T9" s="22"/>
      <c r="U9" s="22"/>
      <c r="V9" s="22"/>
      <c r="W9" s="63" t="s">
        <v>17</v>
      </c>
      <c r="X9" s="22"/>
      <c r="Y9" s="23"/>
      <c r="AA9" s="34" t="s">
        <v>18</v>
      </c>
      <c r="AB9" s="64"/>
      <c r="AC9" s="48" t="str">
        <f t="shared" si="0"/>
        <v>Change</v>
      </c>
      <c r="AD9" s="65" t="str">
        <f>IF(X7="","",X7)</f>
        <v>Eugene Mah</v>
      </c>
      <c r="AH9" s="535" t="s">
        <v>19</v>
      </c>
      <c r="AI9" s="535" t="s">
        <v>20</v>
      </c>
      <c r="AJ9" s="545" t="s">
        <v>21</v>
      </c>
      <c r="AK9" s="535" t="s">
        <v>22</v>
      </c>
      <c r="AL9" s="535" t="s">
        <v>23</v>
      </c>
      <c r="AM9" s="535" t="s">
        <v>24</v>
      </c>
      <c r="AN9" s="535" t="s">
        <v>25</v>
      </c>
      <c r="AO9" s="535" t="s">
        <v>26</v>
      </c>
      <c r="AP9" s="535" t="s">
        <v>27</v>
      </c>
      <c r="AQ9" s="771" t="s">
        <v>424</v>
      </c>
      <c r="AR9" s="535" t="s">
        <v>28</v>
      </c>
    </row>
    <row r="10" spans="1:44" ht="14.1" customHeight="1">
      <c r="A10" s="16">
        <v>10</v>
      </c>
      <c r="B10" s="66"/>
      <c r="C10" s="67"/>
      <c r="E10" s="34" t="s">
        <v>29</v>
      </c>
      <c r="F10" s="969" t="str">
        <f>IF(R10="","",R10)</f>
        <v/>
      </c>
      <c r="G10" s="969"/>
      <c r="J10" s="34" t="s">
        <v>30</v>
      </c>
      <c r="K10" s="961" t="str">
        <f>IF(V10="","",V10)</f>
        <v/>
      </c>
      <c r="L10" s="961"/>
      <c r="M10" s="68"/>
      <c r="O10" s="29"/>
      <c r="Q10" s="34" t="s">
        <v>29</v>
      </c>
      <c r="R10" s="45" t="str">
        <f>IF(S10&lt;&gt;"",S10,IF(AB10="","",AB10))</f>
        <v/>
      </c>
      <c r="S10" s="46"/>
      <c r="U10" s="34" t="s">
        <v>30</v>
      </c>
      <c r="V10" s="45" t="str">
        <f>IF(W10&lt;&gt;"",W10,IF(AB15="","",AB15))</f>
        <v/>
      </c>
      <c r="W10" s="46"/>
      <c r="Y10" s="31"/>
      <c r="AA10" s="34" t="s">
        <v>29</v>
      </c>
      <c r="AB10" s="64"/>
      <c r="AC10" s="48" t="str">
        <f t="shared" si="0"/>
        <v/>
      </c>
      <c r="AD10" s="65" t="str">
        <f>IF(R10="","",R10)</f>
        <v/>
      </c>
      <c r="AH10" s="537">
        <v>24</v>
      </c>
      <c r="AI10" s="796">
        <v>50</v>
      </c>
      <c r="AJ10" s="207">
        <v>0</v>
      </c>
      <c r="AK10" s="796" t="str">
        <f>IF($V$21="","",$V$21)</f>
        <v/>
      </c>
      <c r="AL10" s="796" t="str">
        <f>IF($V$24="","",$V$24)</f>
        <v/>
      </c>
      <c r="AM10" s="796"/>
      <c r="AN10" s="796"/>
      <c r="AO10" s="796"/>
      <c r="AP10" s="796"/>
      <c r="AQ10" s="772"/>
      <c r="AR10" s="538"/>
    </row>
    <row r="11" spans="1:44" ht="14.1" customHeight="1">
      <c r="A11" s="16">
        <v>11</v>
      </c>
      <c r="B11" s="66"/>
      <c r="C11" s="67"/>
      <c r="E11" s="34" t="s">
        <v>32</v>
      </c>
      <c r="F11" s="970" t="str">
        <f>IF(R11="","",R11)</f>
        <v/>
      </c>
      <c r="G11" s="970"/>
      <c r="J11" s="34" t="s">
        <v>33</v>
      </c>
      <c r="K11" s="961" t="str">
        <f>IF(V11="","",V11)</f>
        <v/>
      </c>
      <c r="L11" s="961"/>
      <c r="M11" s="68"/>
      <c r="O11" s="29"/>
      <c r="Q11" s="34" t="s">
        <v>32</v>
      </c>
      <c r="R11" s="45" t="str">
        <f>IF(S11&lt;&gt;"",S11,IF(AB11="","",AB11))</f>
        <v/>
      </c>
      <c r="S11" s="46"/>
      <c r="U11" s="34" t="s">
        <v>33</v>
      </c>
      <c r="V11" s="45" t="str">
        <f>IF(W11&lt;&gt;"",W11,IF(AB16="","",AB16))</f>
        <v/>
      </c>
      <c r="W11" s="46"/>
      <c r="Y11" s="31"/>
      <c r="AA11" s="34" t="s">
        <v>32</v>
      </c>
      <c r="AB11" s="64"/>
      <c r="AC11" s="48" t="str">
        <f t="shared" si="0"/>
        <v/>
      </c>
      <c r="AD11" s="65" t="str">
        <f>IF(R11="","",R11)</f>
        <v/>
      </c>
      <c r="AH11" s="539">
        <v>24</v>
      </c>
      <c r="AI11" s="15">
        <v>50</v>
      </c>
      <c r="AJ11" s="69">
        <v>0</v>
      </c>
      <c r="AK11" s="15" t="str">
        <f t="shared" ref="AK11:AK32" si="1">IF($V$21="","",$V$21)</f>
        <v/>
      </c>
      <c r="AL11" s="15" t="str">
        <f t="shared" ref="AL11:AL26" si="2">IF($V$24="","",$V$24)</f>
        <v/>
      </c>
      <c r="AM11" s="15"/>
      <c r="AN11" s="15"/>
      <c r="AO11" s="15"/>
      <c r="AP11" s="15"/>
      <c r="AQ11" s="774"/>
      <c r="AR11" s="540"/>
    </row>
    <row r="12" spans="1:44" ht="14.1" customHeight="1">
      <c r="A12" s="16">
        <v>12</v>
      </c>
      <c r="B12" s="66"/>
      <c r="C12" s="67"/>
      <c r="E12" s="34" t="s">
        <v>34</v>
      </c>
      <c r="F12" s="970" t="str">
        <f>IF(R12="","",R12)</f>
        <v/>
      </c>
      <c r="G12" s="970"/>
      <c r="J12" s="34" t="s">
        <v>35</v>
      </c>
      <c r="K12" s="971" t="str">
        <f>IF(V12="","",V12)</f>
        <v/>
      </c>
      <c r="L12" s="971"/>
      <c r="M12" s="68"/>
      <c r="O12" s="29"/>
      <c r="Q12" s="34" t="s">
        <v>34</v>
      </c>
      <c r="R12" s="45" t="str">
        <f>IF(S12&lt;&gt;"",S12,IF(AB12="","",AB12))</f>
        <v/>
      </c>
      <c r="S12" s="46"/>
      <c r="U12" s="34" t="s">
        <v>35</v>
      </c>
      <c r="V12" s="71" t="str">
        <f>IF(W12&lt;&gt;"",W12,IF(AB17="","",AB17))</f>
        <v/>
      </c>
      <c r="W12" s="72"/>
      <c r="Y12" s="31"/>
      <c r="AA12" s="34" t="s">
        <v>34</v>
      </c>
      <c r="AB12" s="64"/>
      <c r="AC12" s="48" t="str">
        <f t="shared" si="0"/>
        <v/>
      </c>
      <c r="AD12" s="65" t="str">
        <f>IF(R12="","",R12)</f>
        <v/>
      </c>
      <c r="AH12" s="539">
        <v>25</v>
      </c>
      <c r="AI12" s="15">
        <v>50</v>
      </c>
      <c r="AJ12" s="69">
        <v>0</v>
      </c>
      <c r="AK12" s="15" t="str">
        <f t="shared" si="1"/>
        <v/>
      </c>
      <c r="AL12" s="15" t="str">
        <f t="shared" si="2"/>
        <v/>
      </c>
      <c r="AM12" s="15"/>
      <c r="AN12" s="15"/>
      <c r="AO12" s="15"/>
      <c r="AP12" s="15"/>
      <c r="AQ12" s="774"/>
      <c r="AR12" s="540"/>
    </row>
    <row r="13" spans="1:44" ht="14.1" customHeight="1">
      <c r="A13" s="16">
        <v>13</v>
      </c>
      <c r="B13" s="66"/>
      <c r="C13" s="67"/>
      <c r="E13" s="34" t="s">
        <v>36</v>
      </c>
      <c r="F13" s="970" t="str">
        <f>IF(R13="","",R13)</f>
        <v/>
      </c>
      <c r="G13" s="970"/>
      <c r="J13" s="34" t="s">
        <v>37</v>
      </c>
      <c r="K13" s="961" t="str">
        <f>IF(V13="","",V13)</f>
        <v/>
      </c>
      <c r="L13" s="961"/>
      <c r="M13" s="68"/>
      <c r="O13" s="29"/>
      <c r="Q13" s="34" t="s">
        <v>36</v>
      </c>
      <c r="R13" s="45" t="str">
        <f>IF(S13&lt;&gt;"",S13,IF(AB13="","",AB13))</f>
        <v/>
      </c>
      <c r="S13" s="46"/>
      <c r="U13" s="34" t="s">
        <v>37</v>
      </c>
      <c r="V13" s="45" t="str">
        <f>IF(W13&lt;&gt;"",W13,IF(AB18="","",AB18))</f>
        <v/>
      </c>
      <c r="W13" s="46"/>
      <c r="Y13" s="31"/>
      <c r="AA13" s="34" t="s">
        <v>36</v>
      </c>
      <c r="AB13" s="64"/>
      <c r="AC13" s="48" t="str">
        <f t="shared" si="0"/>
        <v/>
      </c>
      <c r="AD13" s="65" t="str">
        <f>IF(R13="","",R13)</f>
        <v/>
      </c>
      <c r="AH13" s="539">
        <v>25</v>
      </c>
      <c r="AI13" s="15">
        <v>50</v>
      </c>
      <c r="AJ13" s="69">
        <v>0</v>
      </c>
      <c r="AK13" s="15" t="str">
        <f t="shared" si="1"/>
        <v/>
      </c>
      <c r="AL13" s="15" t="str">
        <f t="shared" si="2"/>
        <v/>
      </c>
      <c r="AM13" s="15"/>
      <c r="AN13" s="15"/>
      <c r="AO13" s="15"/>
      <c r="AP13" s="15"/>
      <c r="AQ13" s="774"/>
      <c r="AR13" s="540"/>
    </row>
    <row r="14" spans="1:44" ht="14.1" customHeight="1">
      <c r="A14" s="16">
        <v>14</v>
      </c>
      <c r="B14" s="66"/>
      <c r="C14" s="67"/>
      <c r="M14" s="68"/>
      <c r="O14" s="29"/>
      <c r="Q14" s="34" t="s">
        <v>38</v>
      </c>
      <c r="R14" s="45" t="str">
        <f>IF(S14&lt;&gt;"",S14,IF(AB14="","",AB14))</f>
        <v/>
      </c>
      <c r="S14" s="46"/>
      <c r="U14" s="34" t="s">
        <v>39</v>
      </c>
      <c r="V14" s="45" t="str">
        <f>IF(W14&lt;&gt;"",W14,IF(AB19="","",AB19))</f>
        <v/>
      </c>
      <c r="W14" s="46"/>
      <c r="Y14" s="31"/>
      <c r="AA14" s="34" t="s">
        <v>38</v>
      </c>
      <c r="AB14" s="73"/>
      <c r="AC14" s="48" t="str">
        <f t="shared" si="0"/>
        <v/>
      </c>
      <c r="AD14" s="65" t="str">
        <f>IF(R14="","",R14)</f>
        <v/>
      </c>
      <c r="AH14" s="539">
        <v>26</v>
      </c>
      <c r="AI14" s="15">
        <v>50</v>
      </c>
      <c r="AJ14" s="69">
        <v>0</v>
      </c>
      <c r="AK14" s="15" t="str">
        <f t="shared" si="1"/>
        <v/>
      </c>
      <c r="AL14" s="15" t="str">
        <f t="shared" si="2"/>
        <v/>
      </c>
      <c r="AM14" s="15"/>
      <c r="AN14" s="15"/>
      <c r="AO14" s="15"/>
      <c r="AP14" s="15"/>
      <c r="AQ14" s="774"/>
      <c r="AR14" s="540"/>
    </row>
    <row r="15" spans="1:44" ht="14.1" customHeight="1">
      <c r="A15" s="16">
        <v>15</v>
      </c>
      <c r="B15" s="66"/>
      <c r="C15" s="67"/>
      <c r="D15" s="74" t="s">
        <v>40</v>
      </c>
      <c r="M15" s="68"/>
      <c r="O15" s="29"/>
      <c r="Y15" s="31"/>
      <c r="AA15" s="34" t="s">
        <v>30</v>
      </c>
      <c r="AB15" s="64"/>
      <c r="AC15" s="48" t="str">
        <f t="shared" si="0"/>
        <v/>
      </c>
      <c r="AD15" s="65" t="str">
        <f>IF(V10="","",V10)</f>
        <v/>
      </c>
      <c r="AH15" s="539">
        <v>28</v>
      </c>
      <c r="AI15" s="15">
        <v>20</v>
      </c>
      <c r="AJ15" s="69">
        <v>0</v>
      </c>
      <c r="AK15" s="15" t="str">
        <f t="shared" si="1"/>
        <v/>
      </c>
      <c r="AL15" s="15" t="str">
        <f t="shared" si="2"/>
        <v/>
      </c>
      <c r="AM15" s="15"/>
      <c r="AN15" s="15"/>
      <c r="AO15" s="15"/>
      <c r="AP15" s="15"/>
      <c r="AQ15" s="774"/>
      <c r="AR15" s="540"/>
    </row>
    <row r="16" spans="1:44" ht="14.1" customHeight="1">
      <c r="A16" s="16">
        <v>16</v>
      </c>
      <c r="B16" s="66"/>
      <c r="C16" s="67"/>
      <c r="E16" s="34" t="s">
        <v>41</v>
      </c>
      <c r="F16" s="961" t="str">
        <f>IF(R17="","",R17)</f>
        <v/>
      </c>
      <c r="G16" s="961"/>
      <c r="J16" s="34" t="s">
        <v>42</v>
      </c>
      <c r="K16" s="971" t="str">
        <f>IF(V17="","",V17)</f>
        <v/>
      </c>
      <c r="L16" s="971"/>
      <c r="M16" s="68"/>
      <c r="O16" s="29"/>
      <c r="P16" s="74" t="s">
        <v>40</v>
      </c>
      <c r="Y16" s="31"/>
      <c r="AA16" s="34" t="s">
        <v>33</v>
      </c>
      <c r="AB16" s="64"/>
      <c r="AC16" s="48" t="str">
        <f t="shared" si="0"/>
        <v/>
      </c>
      <c r="AD16" s="65" t="str">
        <f>IF(V11="","",V11)</f>
        <v/>
      </c>
      <c r="AH16" s="539">
        <v>28</v>
      </c>
      <c r="AI16" s="15">
        <v>50</v>
      </c>
      <c r="AJ16" s="69">
        <v>0</v>
      </c>
      <c r="AK16" s="15" t="str">
        <f t="shared" si="1"/>
        <v/>
      </c>
      <c r="AL16" s="15" t="str">
        <f t="shared" si="2"/>
        <v/>
      </c>
      <c r="AM16" s="15"/>
      <c r="AN16" s="15"/>
      <c r="AO16" s="15"/>
      <c r="AP16" s="15"/>
      <c r="AQ16" s="774"/>
      <c r="AR16" s="540"/>
    </row>
    <row r="17" spans="1:44" ht="14.1" customHeight="1">
      <c r="A17" s="16">
        <v>17</v>
      </c>
      <c r="B17" s="66"/>
      <c r="C17" s="67"/>
      <c r="E17" s="34" t="s">
        <v>43</v>
      </c>
      <c r="F17" s="961" t="str">
        <f>IF(R18="","",R18)</f>
        <v/>
      </c>
      <c r="G17" s="961"/>
      <c r="J17" s="34" t="s">
        <v>44</v>
      </c>
      <c r="K17" s="972" t="str">
        <f>IF(V18="","",V18)</f>
        <v/>
      </c>
      <c r="L17" s="972"/>
      <c r="M17" s="68"/>
      <c r="O17" s="29"/>
      <c r="Q17" s="34" t="s">
        <v>41</v>
      </c>
      <c r="R17" s="45" t="str">
        <f>IF(S17&lt;&gt;"",S17,IF(AB21="","",AB21))</f>
        <v/>
      </c>
      <c r="S17" s="46"/>
      <c r="U17" s="34" t="s">
        <v>42</v>
      </c>
      <c r="V17" s="71" t="str">
        <f>IF(W17&lt;&gt;"",W17,IF(AB24="","",AB24))</f>
        <v/>
      </c>
      <c r="W17" s="75"/>
      <c r="Y17" s="31"/>
      <c r="AA17" s="34" t="s">
        <v>35</v>
      </c>
      <c r="AB17" s="76"/>
      <c r="AC17" s="48" t="str">
        <f t="shared" si="0"/>
        <v/>
      </c>
      <c r="AD17" s="77" t="str">
        <f>IF(V12="","",V12)</f>
        <v/>
      </c>
      <c r="AH17" s="539">
        <v>28</v>
      </c>
      <c r="AI17" s="15">
        <v>50</v>
      </c>
      <c r="AJ17" s="69">
        <v>0</v>
      </c>
      <c r="AK17" s="15" t="str">
        <f t="shared" si="1"/>
        <v/>
      </c>
      <c r="AL17" s="15" t="str">
        <f t="shared" si="2"/>
        <v/>
      </c>
      <c r="AM17" s="15"/>
      <c r="AN17" s="15"/>
      <c r="AO17" s="15"/>
      <c r="AP17" s="15"/>
      <c r="AQ17" s="774"/>
      <c r="AR17" s="540"/>
    </row>
    <row r="18" spans="1:44" ht="14.1" customHeight="1">
      <c r="A18" s="16">
        <v>18</v>
      </c>
      <c r="B18" s="66"/>
      <c r="C18" s="67"/>
      <c r="E18" s="34" t="s">
        <v>45</v>
      </c>
      <c r="F18" s="961" t="str">
        <f>IF(R19="","",R19)</f>
        <v/>
      </c>
      <c r="G18" s="961"/>
      <c r="J18" s="34" t="s">
        <v>46</v>
      </c>
      <c r="K18" s="961" t="str">
        <f>IF(V19="","",V19)</f>
        <v/>
      </c>
      <c r="L18" s="961"/>
      <c r="M18" s="68"/>
      <c r="O18" s="29"/>
      <c r="Q18" s="34" t="s">
        <v>43</v>
      </c>
      <c r="R18" s="45" t="str">
        <f>IF(S18&lt;&gt;"",S18,IF(AB22="","",AB22))</f>
        <v/>
      </c>
      <c r="S18" s="46"/>
      <c r="U18" s="34" t="s">
        <v>44</v>
      </c>
      <c r="V18" s="45" t="str">
        <f>IF(W18&lt;&gt;"",W18,IF(AB25="","",AB25))</f>
        <v/>
      </c>
      <c r="W18" s="46"/>
      <c r="Y18" s="31"/>
      <c r="AA18" s="34" t="s">
        <v>37</v>
      </c>
      <c r="AB18" s="64"/>
      <c r="AC18" s="48" t="str">
        <f t="shared" si="0"/>
        <v/>
      </c>
      <c r="AD18" s="65" t="str">
        <f>IF(V13="","",V13)</f>
        <v/>
      </c>
      <c r="AH18" s="539">
        <v>28</v>
      </c>
      <c r="AI18" s="15">
        <v>50</v>
      </c>
      <c r="AJ18" s="69">
        <v>0</v>
      </c>
      <c r="AK18" s="15" t="str">
        <f t="shared" si="1"/>
        <v/>
      </c>
      <c r="AL18" s="15" t="str">
        <f t="shared" si="2"/>
        <v/>
      </c>
      <c r="AM18" s="15"/>
      <c r="AN18" s="15"/>
      <c r="AO18" s="15"/>
      <c r="AP18" s="15"/>
      <c r="AQ18" s="774"/>
      <c r="AR18" s="540"/>
    </row>
    <row r="19" spans="1:44" ht="14.1" customHeight="1">
      <c r="A19" s="16">
        <v>19</v>
      </c>
      <c r="B19" s="66"/>
      <c r="C19" s="67"/>
      <c r="M19" s="68"/>
      <c r="O19" s="29"/>
      <c r="Q19" s="34" t="s">
        <v>45</v>
      </c>
      <c r="R19" s="45" t="str">
        <f>IF(S19&lt;&gt;"",S19,IF(AB23="","",AB23))</f>
        <v/>
      </c>
      <c r="S19" s="46"/>
      <c r="U19" s="34" t="s">
        <v>46</v>
      </c>
      <c r="V19" s="45" t="str">
        <f>IF(W19&lt;&gt;"",W19,IF(AB26="","",AB26))</f>
        <v/>
      </c>
      <c r="W19" s="46"/>
      <c r="Y19" s="31"/>
      <c r="AA19" s="34" t="s">
        <v>47</v>
      </c>
      <c r="AB19" s="64"/>
      <c r="AC19" s="48" t="str">
        <f t="shared" si="0"/>
        <v/>
      </c>
      <c r="AD19" s="65" t="str">
        <f>IF(V14="","",V14)</f>
        <v/>
      </c>
      <c r="AH19" s="539">
        <v>28</v>
      </c>
      <c r="AI19" s="15">
        <v>50</v>
      </c>
      <c r="AJ19" s="69">
        <v>0</v>
      </c>
      <c r="AK19" s="15" t="str">
        <f t="shared" si="1"/>
        <v/>
      </c>
      <c r="AL19" s="15" t="str">
        <f t="shared" si="2"/>
        <v/>
      </c>
      <c r="AM19" s="15"/>
      <c r="AN19" s="15"/>
      <c r="AO19" s="15"/>
      <c r="AP19" s="15"/>
      <c r="AQ19" s="774"/>
      <c r="AR19" s="540"/>
    </row>
    <row r="20" spans="1:44" ht="14.1" customHeight="1">
      <c r="A20" s="16">
        <v>20</v>
      </c>
      <c r="B20" s="66"/>
      <c r="C20" s="67"/>
      <c r="D20" s="74" t="s">
        <v>48</v>
      </c>
      <c r="J20" s="78"/>
      <c r="M20" s="68"/>
      <c r="O20" s="29"/>
      <c r="Y20" s="31"/>
      <c r="AA20" s="42" t="s">
        <v>40</v>
      </c>
      <c r="AH20" s="539">
        <v>28</v>
      </c>
      <c r="AI20" s="15">
        <v>100</v>
      </c>
      <c r="AJ20" s="69">
        <v>0</v>
      </c>
      <c r="AK20" s="15" t="str">
        <f t="shared" si="1"/>
        <v/>
      </c>
      <c r="AL20" s="15" t="str">
        <f t="shared" si="2"/>
        <v/>
      </c>
      <c r="AM20" s="15"/>
      <c r="AN20" s="15"/>
      <c r="AO20" s="15"/>
      <c r="AP20" s="15"/>
      <c r="AQ20" s="774"/>
      <c r="AR20" s="540"/>
    </row>
    <row r="21" spans="1:44" ht="14.1" customHeight="1">
      <c r="A21" s="16">
        <v>21</v>
      </c>
      <c r="B21" s="66"/>
      <c r="C21" s="67"/>
      <c r="E21" s="34" t="s">
        <v>49</v>
      </c>
      <c r="F21" s="961" t="str">
        <f>IF(R22="","",R22)</f>
        <v/>
      </c>
      <c r="G21" s="961"/>
      <c r="J21" s="34" t="s">
        <v>50</v>
      </c>
      <c r="K21" s="961" t="str">
        <f>IF(V21="","",V21)</f>
        <v/>
      </c>
      <c r="L21" s="961"/>
      <c r="M21" s="68"/>
      <c r="O21" s="29"/>
      <c r="P21" s="74" t="s">
        <v>48</v>
      </c>
      <c r="U21" s="74" t="s">
        <v>50</v>
      </c>
      <c r="V21" s="45" t="str">
        <f>IF(W21&lt;&gt;"",W21,IF(AB38="","",AB38))</f>
        <v/>
      </c>
      <c r="W21" s="46"/>
      <c r="Y21" s="31"/>
      <c r="AA21" s="34" t="s">
        <v>41</v>
      </c>
      <c r="AB21" s="64"/>
      <c r="AC21" s="48" t="str">
        <f t="shared" ref="AC21:AC26" si="3">IF(AB21&lt;&gt;AD21,"Change","")</f>
        <v/>
      </c>
      <c r="AD21" s="65" t="str">
        <f>IF(R17="","",R17)</f>
        <v/>
      </c>
      <c r="AH21" s="539">
        <v>28</v>
      </c>
      <c r="AI21" s="15">
        <v>320</v>
      </c>
      <c r="AJ21" s="69">
        <v>0</v>
      </c>
      <c r="AK21" s="15" t="str">
        <f t="shared" si="1"/>
        <v/>
      </c>
      <c r="AL21" s="15" t="str">
        <f t="shared" si="2"/>
        <v/>
      </c>
      <c r="AM21" s="15"/>
      <c r="AN21" s="15"/>
      <c r="AO21" s="15"/>
      <c r="AP21" s="15"/>
      <c r="AQ21" s="774"/>
      <c r="AR21" s="540"/>
    </row>
    <row r="22" spans="1:44" ht="14.1" customHeight="1">
      <c r="A22" s="16">
        <v>22</v>
      </c>
      <c r="B22" s="66"/>
      <c r="C22" s="67"/>
      <c r="E22" s="34" t="s">
        <v>42</v>
      </c>
      <c r="F22" s="971" t="str">
        <f>IF(R23="","",R23)</f>
        <v/>
      </c>
      <c r="G22" s="971"/>
      <c r="J22" s="34"/>
      <c r="K22" s="961" t="str">
        <f>IF(V22="","",V22)</f>
        <v/>
      </c>
      <c r="L22" s="961"/>
      <c r="M22" s="68"/>
      <c r="O22" s="29"/>
      <c r="Q22" s="34" t="s">
        <v>49</v>
      </c>
      <c r="R22" s="45" t="str">
        <f>IF(S22&lt;&gt;"",S22,IF(AB28="","",AB28))</f>
        <v/>
      </c>
      <c r="S22" s="46"/>
      <c r="V22" s="45" t="str">
        <f>IF(W22&lt;&gt;"",W22,IF(AB39="","",AB39))</f>
        <v/>
      </c>
      <c r="W22" s="46"/>
      <c r="Y22" s="31"/>
      <c r="AA22" s="34" t="s">
        <v>43</v>
      </c>
      <c r="AB22" s="64"/>
      <c r="AC22" s="48" t="str">
        <f t="shared" si="3"/>
        <v/>
      </c>
      <c r="AD22" s="65" t="str">
        <f>IF(R18="","",R18)</f>
        <v/>
      </c>
      <c r="AH22" s="539">
        <v>30</v>
      </c>
      <c r="AI22" s="15">
        <v>50</v>
      </c>
      <c r="AJ22" s="69">
        <v>0</v>
      </c>
      <c r="AK22" s="15" t="str">
        <f t="shared" si="1"/>
        <v/>
      </c>
      <c r="AL22" s="15" t="str">
        <f t="shared" si="2"/>
        <v/>
      </c>
      <c r="AM22" s="15"/>
      <c r="AN22" s="15"/>
      <c r="AO22" s="15"/>
      <c r="AP22" s="15"/>
      <c r="AQ22" s="774"/>
      <c r="AR22" s="540"/>
    </row>
    <row r="23" spans="1:44" ht="14.1" customHeight="1">
      <c r="A23" s="16">
        <v>23</v>
      </c>
      <c r="B23" s="66"/>
      <c r="C23" s="67"/>
      <c r="D23" s="74" t="s">
        <v>51</v>
      </c>
      <c r="J23" s="34" t="s">
        <v>52</v>
      </c>
      <c r="K23" s="961" t="str">
        <f>IF(V24="","",V24)</f>
        <v/>
      </c>
      <c r="L23" s="961"/>
      <c r="M23" s="68"/>
      <c r="O23" s="29"/>
      <c r="Q23" s="34" t="s">
        <v>42</v>
      </c>
      <c r="R23" s="71" t="str">
        <f>IF(S23&lt;&gt;"",S23,IF(AB29="","",AB29))</f>
        <v/>
      </c>
      <c r="S23" s="75"/>
      <c r="V23" s="4"/>
      <c r="W23" s="4"/>
      <c r="Y23" s="31"/>
      <c r="AA23" s="34" t="s">
        <v>45</v>
      </c>
      <c r="AB23" s="64"/>
      <c r="AC23" s="48" t="str">
        <f t="shared" si="3"/>
        <v/>
      </c>
      <c r="AD23" s="65" t="str">
        <f>IF(R19="","",R19)</f>
        <v/>
      </c>
      <c r="AH23" s="539">
        <v>32</v>
      </c>
      <c r="AI23" s="15">
        <v>50</v>
      </c>
      <c r="AJ23" s="69">
        <v>0</v>
      </c>
      <c r="AK23" s="15" t="str">
        <f t="shared" si="1"/>
        <v/>
      </c>
      <c r="AL23" s="15" t="str">
        <f t="shared" si="2"/>
        <v/>
      </c>
      <c r="AM23" s="15"/>
      <c r="AN23" s="15"/>
      <c r="AO23" s="15"/>
      <c r="AP23" s="15"/>
      <c r="AQ23" s="774"/>
      <c r="AR23" s="540"/>
    </row>
    <row r="24" spans="1:44" ht="14.1" customHeight="1">
      <c r="A24" s="16">
        <v>24</v>
      </c>
      <c r="B24" s="66"/>
      <c r="C24" s="67"/>
      <c r="E24" s="34" t="s">
        <v>41</v>
      </c>
      <c r="F24" s="961" t="str">
        <f>IF(R25="","",R25)</f>
        <v/>
      </c>
      <c r="G24" s="961"/>
      <c r="K24" s="961" t="str">
        <f>IF(V25="","",V25)</f>
        <v/>
      </c>
      <c r="L24" s="961"/>
      <c r="M24" s="68"/>
      <c r="O24" s="29"/>
      <c r="P24" s="74" t="s">
        <v>51</v>
      </c>
      <c r="U24" s="74" t="s">
        <v>52</v>
      </c>
      <c r="V24" s="45" t="str">
        <f>IF(W24&lt;&gt;"",W24,IF(AB40="","",AB40))</f>
        <v/>
      </c>
      <c r="W24" s="46"/>
      <c r="Y24" s="31"/>
      <c r="AA24" s="34" t="s">
        <v>42</v>
      </c>
      <c r="AB24" s="76"/>
      <c r="AC24" s="48" t="str">
        <f t="shared" si="3"/>
        <v/>
      </c>
      <c r="AD24" s="77" t="str">
        <f>IF(V17="","",V17)</f>
        <v/>
      </c>
      <c r="AH24" s="539">
        <v>32</v>
      </c>
      <c r="AI24" s="15">
        <v>50</v>
      </c>
      <c r="AJ24" s="69">
        <v>0</v>
      </c>
      <c r="AK24" s="15" t="str">
        <f t="shared" si="1"/>
        <v/>
      </c>
      <c r="AL24" s="15" t="str">
        <f t="shared" si="2"/>
        <v/>
      </c>
      <c r="AM24" s="15"/>
      <c r="AN24" s="15"/>
      <c r="AO24" s="15"/>
      <c r="AP24" s="15"/>
      <c r="AQ24" s="774"/>
      <c r="AR24" s="540"/>
    </row>
    <row r="25" spans="1:44" ht="14.1" customHeight="1">
      <c r="A25" s="16">
        <v>25</v>
      </c>
      <c r="B25" s="66"/>
      <c r="C25" s="67"/>
      <c r="E25" s="34" t="s">
        <v>43</v>
      </c>
      <c r="F25" s="961" t="str">
        <f>IF(R26="","",R26)</f>
        <v/>
      </c>
      <c r="G25" s="961"/>
      <c r="J25" s="4"/>
      <c r="K25" s="961" t="str">
        <f>IF(V26="","",V26)</f>
        <v/>
      </c>
      <c r="L25" s="961"/>
      <c r="M25" s="68"/>
      <c r="O25" s="29"/>
      <c r="Q25" s="34" t="s">
        <v>41</v>
      </c>
      <c r="R25" s="45" t="str">
        <f>IF(S25&lt;&gt;"",S25,IF(AB30="","",AB30))</f>
        <v/>
      </c>
      <c r="S25" s="46"/>
      <c r="V25" s="45" t="str">
        <f>IF(W25&lt;&gt;"",W25,IF(AB41="","",AB41))</f>
        <v/>
      </c>
      <c r="W25" s="46"/>
      <c r="Y25" s="31"/>
      <c r="AA25" s="34" t="s">
        <v>44</v>
      </c>
      <c r="AB25" s="64"/>
      <c r="AC25" s="48" t="str">
        <f t="shared" si="3"/>
        <v/>
      </c>
      <c r="AD25" s="65" t="str">
        <f>IF(V18="","",V18)</f>
        <v/>
      </c>
      <c r="AH25" s="539">
        <v>34</v>
      </c>
      <c r="AI25" s="15">
        <v>50</v>
      </c>
      <c r="AJ25" s="69">
        <v>0</v>
      </c>
      <c r="AK25" s="15" t="str">
        <f t="shared" si="1"/>
        <v/>
      </c>
      <c r="AL25" s="15" t="str">
        <f t="shared" si="2"/>
        <v/>
      </c>
      <c r="AM25" s="15"/>
      <c r="AN25" s="15"/>
      <c r="AO25" s="15"/>
      <c r="AP25" s="15"/>
      <c r="AQ25" s="774"/>
      <c r="AR25" s="540"/>
    </row>
    <row r="26" spans="1:44" ht="14.1" customHeight="1" thickBot="1">
      <c r="A26" s="16">
        <v>26</v>
      </c>
      <c r="B26" s="66"/>
      <c r="C26" s="67"/>
      <c r="E26" s="34" t="s">
        <v>44</v>
      </c>
      <c r="F26" s="961" t="str">
        <f>IF(R27="","",R27)</f>
        <v/>
      </c>
      <c r="G26" s="961"/>
      <c r="I26" s="74" t="s">
        <v>54</v>
      </c>
      <c r="J26" s="4"/>
      <c r="K26" s="4"/>
      <c r="L26" s="4"/>
      <c r="M26" s="68"/>
      <c r="O26" s="29"/>
      <c r="Q26" s="34" t="s">
        <v>43</v>
      </c>
      <c r="R26" s="45" t="str">
        <f>IF(S26&lt;&gt;"",S26,IF(AB31="","",AB31))</f>
        <v/>
      </c>
      <c r="S26" s="46"/>
      <c r="V26" s="4"/>
      <c r="W26" s="4"/>
      <c r="Y26" s="31"/>
      <c r="AA26" s="34" t="s">
        <v>46</v>
      </c>
      <c r="AB26" s="64"/>
      <c r="AC26" s="48" t="str">
        <f t="shared" si="3"/>
        <v/>
      </c>
      <c r="AD26" s="65" t="str">
        <f>IF(V19="","",V19)</f>
        <v/>
      </c>
      <c r="AH26" s="539">
        <v>34</v>
      </c>
      <c r="AI26" s="15">
        <v>50</v>
      </c>
      <c r="AJ26" s="69">
        <v>0</v>
      </c>
      <c r="AK26" s="15" t="str">
        <f t="shared" si="1"/>
        <v/>
      </c>
      <c r="AL26" s="15" t="str">
        <f t="shared" si="2"/>
        <v/>
      </c>
      <c r="AM26" s="15"/>
      <c r="AN26" s="15"/>
      <c r="AO26" s="15"/>
      <c r="AP26" s="15"/>
      <c r="AQ26" s="774"/>
      <c r="AR26" s="540"/>
    </row>
    <row r="27" spans="1:44" ht="14.1" customHeight="1">
      <c r="A27" s="16">
        <v>27</v>
      </c>
      <c r="B27" s="66"/>
      <c r="C27" s="67"/>
      <c r="D27" s="74" t="s">
        <v>55</v>
      </c>
      <c r="J27" s="34" t="s">
        <v>56</v>
      </c>
      <c r="K27" s="961" t="str">
        <f>IF(V28="","",V28)</f>
        <v/>
      </c>
      <c r="L27" s="961"/>
      <c r="M27" s="68"/>
      <c r="O27" s="29"/>
      <c r="Q27" s="34" t="s">
        <v>44</v>
      </c>
      <c r="R27" s="45" t="str">
        <f>IF(S27&lt;&gt;"",S27,IF(AB32="","",AB32))</f>
        <v/>
      </c>
      <c r="S27" s="46"/>
      <c r="U27" s="78" t="s">
        <v>54</v>
      </c>
      <c r="Y27" s="31"/>
      <c r="AA27" s="74" t="s">
        <v>48</v>
      </c>
      <c r="AH27" s="838">
        <v>28</v>
      </c>
      <c r="AI27" s="839">
        <v>50</v>
      </c>
      <c r="AJ27" s="840">
        <v>0</v>
      </c>
      <c r="AK27" s="839" t="str">
        <f t="shared" si="1"/>
        <v/>
      </c>
      <c r="AL27" s="839" t="str">
        <f>IF($V$25="","",$V$25)</f>
        <v/>
      </c>
      <c r="AM27" s="839"/>
      <c r="AN27" s="839"/>
      <c r="AO27" s="839"/>
      <c r="AP27" s="839"/>
      <c r="AQ27" s="841"/>
      <c r="AR27" s="842"/>
    </row>
    <row r="28" spans="1:44" ht="14.1" customHeight="1">
      <c r="A28" s="16">
        <v>28</v>
      </c>
      <c r="B28" s="66"/>
      <c r="C28" s="67"/>
      <c r="E28" s="34" t="s">
        <v>41</v>
      </c>
      <c r="F28" s="961" t="str">
        <f>IF(R29="","",R29)</f>
        <v/>
      </c>
      <c r="G28" s="961"/>
      <c r="I28" s="4"/>
      <c r="J28" s="34" t="s">
        <v>57</v>
      </c>
      <c r="K28" s="961" t="str">
        <f>IF(V29="","",V29)</f>
        <v/>
      </c>
      <c r="L28" s="961"/>
      <c r="M28" s="68"/>
      <c r="O28" s="29"/>
      <c r="P28" s="74" t="s">
        <v>55</v>
      </c>
      <c r="U28" s="34" t="s">
        <v>56</v>
      </c>
      <c r="V28" s="45" t="str">
        <f>IF(W28&lt;&gt;"",W28,IF(AB36="","",AB36))</f>
        <v/>
      </c>
      <c r="W28" s="46"/>
      <c r="Y28" s="31"/>
      <c r="AA28" s="34" t="s">
        <v>49</v>
      </c>
      <c r="AB28" s="64"/>
      <c r="AC28" s="48" t="str">
        <f t="shared" ref="AC28:AC43" si="4">IF(AB28&lt;&gt;AD28,"Change","")</f>
        <v/>
      </c>
      <c r="AD28" s="65" t="str">
        <f>IF(R22="","",R22)</f>
        <v/>
      </c>
      <c r="AH28" s="546">
        <v>28</v>
      </c>
      <c r="AI28" s="547">
        <v>50</v>
      </c>
      <c r="AJ28" s="548">
        <v>0</v>
      </c>
      <c r="AK28" s="547" t="str">
        <f t="shared" si="1"/>
        <v/>
      </c>
      <c r="AL28" s="547" t="str">
        <f t="shared" ref="AL28:AL36" si="5">IF($V$25="","",$V$25)</f>
        <v/>
      </c>
      <c r="AM28" s="547"/>
      <c r="AN28" s="547"/>
      <c r="AO28" s="547"/>
      <c r="AP28" s="547"/>
      <c r="AQ28" s="775"/>
      <c r="AR28" s="549"/>
    </row>
    <row r="29" spans="1:44" ht="14.1" customHeight="1">
      <c r="A29" s="16">
        <v>29</v>
      </c>
      <c r="B29" s="66"/>
      <c r="C29" s="67"/>
      <c r="E29" s="34" t="s">
        <v>43</v>
      </c>
      <c r="F29" s="961" t="str">
        <f>IF(R30="","",R30)</f>
        <v/>
      </c>
      <c r="G29" s="961"/>
      <c r="I29" s="74" t="s">
        <v>58</v>
      </c>
      <c r="J29" s="34" t="s">
        <v>59</v>
      </c>
      <c r="K29" s="961" t="str">
        <f>IF(V32="","",V32)</f>
        <v/>
      </c>
      <c r="L29" s="961"/>
      <c r="M29" s="68"/>
      <c r="O29" s="29"/>
      <c r="Q29" s="34" t="s">
        <v>41</v>
      </c>
      <c r="R29" s="45" t="str">
        <f>IF(S29&lt;&gt;"",S29,IF(AB33="","",AB33))</f>
        <v/>
      </c>
      <c r="S29" s="46"/>
      <c r="U29" s="34" t="s">
        <v>57</v>
      </c>
      <c r="V29" s="45" t="str">
        <f>IF(W29&lt;&gt;"",W29,IF(AB37="","",AB37))</f>
        <v/>
      </c>
      <c r="W29" s="46"/>
      <c r="Y29" s="31"/>
      <c r="AA29" s="34" t="s">
        <v>42</v>
      </c>
      <c r="AB29" s="76"/>
      <c r="AC29" s="48" t="str">
        <f t="shared" si="4"/>
        <v/>
      </c>
      <c r="AD29" s="77" t="str">
        <f>IF(R23="","",R23)</f>
        <v/>
      </c>
      <c r="AH29" s="546">
        <v>30</v>
      </c>
      <c r="AI29" s="547">
        <v>50</v>
      </c>
      <c r="AJ29" s="548">
        <v>0</v>
      </c>
      <c r="AK29" s="547" t="str">
        <f t="shared" si="1"/>
        <v/>
      </c>
      <c r="AL29" s="547" t="str">
        <f t="shared" si="5"/>
        <v/>
      </c>
      <c r="AM29" s="547"/>
      <c r="AN29" s="547"/>
      <c r="AO29" s="547"/>
      <c r="AP29" s="547"/>
      <c r="AQ29" s="775"/>
      <c r="AR29" s="550"/>
    </row>
    <row r="30" spans="1:44" ht="14.1" customHeight="1">
      <c r="A30" s="16">
        <v>30</v>
      </c>
      <c r="B30" s="66"/>
      <c r="C30" s="67"/>
      <c r="E30" s="34" t="s">
        <v>44</v>
      </c>
      <c r="F30" s="961" t="str">
        <f>IF(R31="","",R31)</f>
        <v/>
      </c>
      <c r="G30" s="961"/>
      <c r="J30" s="34" t="s">
        <v>60</v>
      </c>
      <c r="K30" s="961" t="str">
        <f>IF(V33="","",V33)</f>
        <v/>
      </c>
      <c r="L30" s="961"/>
      <c r="M30" s="68"/>
      <c r="O30" s="29"/>
      <c r="Q30" s="34" t="s">
        <v>43</v>
      </c>
      <c r="R30" s="45" t="str">
        <f>IF(S30&lt;&gt;"",S30,IF(AB34="","",AB34))</f>
        <v/>
      </c>
      <c r="S30" s="46"/>
      <c r="Y30" s="31"/>
      <c r="AA30" s="34" t="s">
        <v>41</v>
      </c>
      <c r="AB30" s="64"/>
      <c r="AC30" s="48" t="str">
        <f t="shared" si="4"/>
        <v/>
      </c>
      <c r="AD30" s="65" t="str">
        <f>IF(R25="","",R25)</f>
        <v/>
      </c>
      <c r="AH30" s="546">
        <v>30</v>
      </c>
      <c r="AI30" s="547">
        <v>50</v>
      </c>
      <c r="AJ30" s="548">
        <v>0</v>
      </c>
      <c r="AK30" s="547" t="str">
        <f t="shared" si="1"/>
        <v/>
      </c>
      <c r="AL30" s="547" t="str">
        <f t="shared" si="5"/>
        <v/>
      </c>
      <c r="AM30" s="547"/>
      <c r="AN30" s="547"/>
      <c r="AO30" s="547"/>
      <c r="AP30" s="547"/>
      <c r="AQ30" s="775"/>
      <c r="AR30" s="550"/>
    </row>
    <row r="31" spans="1:44" ht="14.1" customHeight="1" thickBot="1">
      <c r="A31" s="16">
        <v>31</v>
      </c>
      <c r="B31" s="79"/>
      <c r="C31" s="80"/>
      <c r="D31" s="80"/>
      <c r="E31" s="80"/>
      <c r="F31" s="80"/>
      <c r="G31" s="80"/>
      <c r="H31" s="80"/>
      <c r="I31" s="80"/>
      <c r="J31" s="80"/>
      <c r="K31" s="80"/>
      <c r="L31" s="80"/>
      <c r="M31" s="81"/>
      <c r="O31" s="29"/>
      <c r="Q31" s="34" t="s">
        <v>44</v>
      </c>
      <c r="R31" s="45" t="str">
        <f>IF(S31&lt;&gt;"",S31,IF(AB35="","",AB35))</f>
        <v/>
      </c>
      <c r="S31" s="46"/>
      <c r="U31" s="74" t="s">
        <v>58</v>
      </c>
      <c r="Y31" s="31"/>
      <c r="AA31" s="34" t="s">
        <v>43</v>
      </c>
      <c r="AB31" s="64"/>
      <c r="AC31" s="48" t="str">
        <f t="shared" si="4"/>
        <v/>
      </c>
      <c r="AD31" s="65" t="str">
        <f>IF(R26="","",R26)</f>
        <v/>
      </c>
      <c r="AH31" s="843">
        <v>32</v>
      </c>
      <c r="AI31" s="844">
        <v>50</v>
      </c>
      <c r="AJ31" s="845">
        <v>0</v>
      </c>
      <c r="AK31" s="844" t="str">
        <f t="shared" si="1"/>
        <v/>
      </c>
      <c r="AL31" s="844" t="str">
        <f t="shared" si="5"/>
        <v/>
      </c>
      <c r="AM31" s="844"/>
      <c r="AN31" s="844"/>
      <c r="AO31" s="844"/>
      <c r="AP31" s="844"/>
      <c r="AQ31" s="846"/>
      <c r="AR31" s="847"/>
    </row>
    <row r="32" spans="1:44" ht="14.1" customHeight="1" thickTop="1">
      <c r="A32" s="16">
        <v>32</v>
      </c>
      <c r="O32" s="29"/>
      <c r="U32" s="34" t="s">
        <v>59</v>
      </c>
      <c r="V32" s="45" t="str">
        <f>IF(W32&lt;&gt;"",W32,IF(AB42="","",AB42))</f>
        <v/>
      </c>
      <c r="W32" s="46"/>
      <c r="Y32" s="31"/>
      <c r="AA32" s="34" t="s">
        <v>44</v>
      </c>
      <c r="AB32" s="64"/>
      <c r="AC32" s="48" t="str">
        <f t="shared" si="4"/>
        <v/>
      </c>
      <c r="AD32" s="65" t="str">
        <f>IF(R27="","",R27)</f>
        <v/>
      </c>
      <c r="AH32" s="546">
        <v>32</v>
      </c>
      <c r="AI32" s="547">
        <v>50</v>
      </c>
      <c r="AJ32" s="548">
        <v>0</v>
      </c>
      <c r="AK32" s="547" t="str">
        <f t="shared" si="1"/>
        <v/>
      </c>
      <c r="AL32" s="547" t="str">
        <f t="shared" si="5"/>
        <v/>
      </c>
      <c r="AM32" s="547"/>
      <c r="AN32" s="547"/>
      <c r="AO32" s="547"/>
      <c r="AP32" s="547"/>
      <c r="AQ32" s="775"/>
      <c r="AR32" s="550"/>
    </row>
    <row r="33" spans="1:44" ht="14.1" customHeight="1" thickBot="1">
      <c r="A33" s="16">
        <v>33</v>
      </c>
      <c r="H33" s="50" t="s">
        <v>61</v>
      </c>
      <c r="O33" s="29"/>
      <c r="U33" s="34" t="s">
        <v>60</v>
      </c>
      <c r="V33" s="45" t="str">
        <f>IF(W33&lt;&gt;"",W33,IF(AB43="","",AB43))</f>
        <v/>
      </c>
      <c r="W33" s="46"/>
      <c r="Y33" s="31"/>
      <c r="AA33" s="34" t="s">
        <v>41</v>
      </c>
      <c r="AB33" s="64"/>
      <c r="AC33" s="48" t="str">
        <f t="shared" si="4"/>
        <v/>
      </c>
      <c r="AD33" s="65" t="str">
        <f>IF(R29="","",R29)</f>
        <v/>
      </c>
      <c r="AH33" s="546">
        <v>34</v>
      </c>
      <c r="AI33" s="547">
        <v>50</v>
      </c>
      <c r="AJ33" s="548">
        <v>0</v>
      </c>
      <c r="AK33" s="547" t="str">
        <f t="shared" ref="AK33:AK36" si="6">IF($V$21="","",$V$21)</f>
        <v/>
      </c>
      <c r="AL33" s="547" t="str">
        <f t="shared" si="5"/>
        <v/>
      </c>
      <c r="AM33" s="547"/>
      <c r="AN33" s="547"/>
      <c r="AO33" s="547"/>
      <c r="AP33" s="547"/>
      <c r="AQ33" s="775"/>
      <c r="AR33" s="550"/>
    </row>
    <row r="34" spans="1:44" ht="14.1" customHeight="1" thickTop="1" thickBot="1">
      <c r="A34" s="16">
        <v>34</v>
      </c>
      <c r="B34" s="57"/>
      <c r="C34" s="58"/>
      <c r="D34" s="58"/>
      <c r="E34" s="58"/>
      <c r="F34" s="58"/>
      <c r="G34" s="58"/>
      <c r="H34" s="58"/>
      <c r="I34" s="58"/>
      <c r="J34" s="58"/>
      <c r="K34" s="58"/>
      <c r="L34" s="58"/>
      <c r="M34" s="60"/>
      <c r="O34" s="95">
        <v>1</v>
      </c>
      <c r="P34" s="20" t="s">
        <v>629</v>
      </c>
      <c r="U34" s="4"/>
      <c r="V34" s="4"/>
      <c r="W34" s="4"/>
      <c r="Y34" s="31"/>
      <c r="AA34" s="34" t="s">
        <v>43</v>
      </c>
      <c r="AB34" s="64"/>
      <c r="AC34" s="48" t="str">
        <f t="shared" si="4"/>
        <v/>
      </c>
      <c r="AD34" s="65" t="str">
        <f>IF(R30="","",R30)</f>
        <v/>
      </c>
      <c r="AH34" s="546">
        <v>34</v>
      </c>
      <c r="AI34" s="547">
        <v>50</v>
      </c>
      <c r="AJ34" s="548">
        <v>0</v>
      </c>
      <c r="AK34" s="547" t="str">
        <f t="shared" si="6"/>
        <v/>
      </c>
      <c r="AL34" s="547" t="str">
        <f t="shared" si="5"/>
        <v/>
      </c>
      <c r="AM34" s="547"/>
      <c r="AN34" s="547"/>
      <c r="AO34" s="547"/>
      <c r="AP34" s="547"/>
      <c r="AQ34" s="775"/>
      <c r="AR34" s="550"/>
    </row>
    <row r="35" spans="1:44" ht="14.1" customHeight="1" thickBot="1">
      <c r="A35" s="16">
        <v>35</v>
      </c>
      <c r="B35" s="66"/>
      <c r="C35" s="82" t="s">
        <v>62</v>
      </c>
      <c r="D35" s="968" t="s">
        <v>63</v>
      </c>
      <c r="E35" s="968"/>
      <c r="F35" s="968"/>
      <c r="G35" s="968" t="s">
        <v>64</v>
      </c>
      <c r="H35" s="968"/>
      <c r="I35" s="968"/>
      <c r="J35" s="968" t="s">
        <v>65</v>
      </c>
      <c r="K35" s="968"/>
      <c r="L35" s="968"/>
      <c r="M35" s="68"/>
      <c r="O35" s="862">
        <v>1</v>
      </c>
      <c r="P35" s="40" t="s">
        <v>771</v>
      </c>
      <c r="Q35" s="40"/>
      <c r="R35" s="40"/>
      <c r="S35" s="40"/>
      <c r="T35" s="40"/>
      <c r="U35" s="40"/>
      <c r="V35" s="40"/>
      <c r="W35" s="40"/>
      <c r="X35" s="40"/>
      <c r="Y35" s="41"/>
      <c r="AA35" s="34" t="s">
        <v>44</v>
      </c>
      <c r="AB35" s="64"/>
      <c r="AC35" s="48" t="str">
        <f t="shared" si="4"/>
        <v/>
      </c>
      <c r="AD35" s="65" t="str">
        <f>IF(R31="","",R31)</f>
        <v/>
      </c>
      <c r="AH35" s="546">
        <v>36</v>
      </c>
      <c r="AI35" s="547">
        <v>50</v>
      </c>
      <c r="AJ35" s="548">
        <v>0</v>
      </c>
      <c r="AK35" s="547" t="str">
        <f t="shared" si="6"/>
        <v/>
      </c>
      <c r="AL35" s="547" t="str">
        <f t="shared" si="5"/>
        <v/>
      </c>
      <c r="AM35" s="547"/>
      <c r="AN35" s="547"/>
      <c r="AO35" s="547"/>
      <c r="AP35" s="547"/>
      <c r="AQ35" s="775"/>
      <c r="AR35" s="550"/>
    </row>
    <row r="36" spans="1:44" ht="14.1" customHeight="1" thickBot="1">
      <c r="A36" s="16">
        <v>36</v>
      </c>
      <c r="B36" s="66"/>
      <c r="C36" s="83" t="s">
        <v>66</v>
      </c>
      <c r="D36" s="530"/>
      <c r="E36" s="531"/>
      <c r="F36" s="536"/>
      <c r="G36" s="964" t="s">
        <v>67</v>
      </c>
      <c r="H36" s="964"/>
      <c r="I36" s="964"/>
      <c r="J36" s="530"/>
      <c r="K36" s="531"/>
      <c r="L36" s="536"/>
      <c r="M36" s="68"/>
      <c r="AA36" s="34" t="s">
        <v>56</v>
      </c>
      <c r="AB36" s="64"/>
      <c r="AC36" s="48" t="str">
        <f t="shared" si="4"/>
        <v/>
      </c>
      <c r="AD36" s="65" t="str">
        <f>IF(V28="","",V28)</f>
        <v/>
      </c>
      <c r="AH36" s="848">
        <v>38</v>
      </c>
      <c r="AI36" s="849">
        <v>50</v>
      </c>
      <c r="AJ36" s="850">
        <v>0</v>
      </c>
      <c r="AK36" s="849" t="str">
        <f t="shared" si="6"/>
        <v/>
      </c>
      <c r="AL36" s="849" t="str">
        <f t="shared" si="5"/>
        <v/>
      </c>
      <c r="AM36" s="849"/>
      <c r="AN36" s="849"/>
      <c r="AO36" s="849"/>
      <c r="AP36" s="849"/>
      <c r="AQ36" s="851"/>
      <c r="AR36" s="852"/>
    </row>
    <row r="37" spans="1:44" ht="14.1" customHeight="1" thickBot="1">
      <c r="A37" s="16">
        <v>37</v>
      </c>
      <c r="B37" s="66"/>
      <c r="C37" s="83" t="s">
        <v>68</v>
      </c>
      <c r="D37" s="84" t="s">
        <v>69</v>
      </c>
      <c r="E37" s="85" t="s">
        <v>24</v>
      </c>
      <c r="F37" s="86" t="s">
        <v>70</v>
      </c>
      <c r="G37" s="84" t="s">
        <v>69</v>
      </c>
      <c r="H37" s="85" t="s">
        <v>24</v>
      </c>
      <c r="I37" s="86" t="s">
        <v>70</v>
      </c>
      <c r="J37" s="84" t="s">
        <v>69</v>
      </c>
      <c r="K37" s="85" t="s">
        <v>24</v>
      </c>
      <c r="L37" s="86" t="s">
        <v>70</v>
      </c>
      <c r="M37" s="68"/>
      <c r="T37" s="255" t="s">
        <v>71</v>
      </c>
      <c r="AA37" s="34" t="s">
        <v>57</v>
      </c>
      <c r="AB37" s="64"/>
      <c r="AC37" s="48" t="str">
        <f t="shared" si="4"/>
        <v/>
      </c>
      <c r="AD37" s="65" t="str">
        <f>IF(V29="","",V29)</f>
        <v/>
      </c>
      <c r="AH37" s="853">
        <v>28</v>
      </c>
      <c r="AI37" s="854">
        <v>50</v>
      </c>
      <c r="AJ37" s="855">
        <v>0</v>
      </c>
      <c r="AK37" s="854" t="str">
        <f>IF($V$22="","",$V$22)</f>
        <v/>
      </c>
      <c r="AL37" s="854" t="str">
        <f>IF($V$25="","",$V$25)</f>
        <v/>
      </c>
      <c r="AM37" s="854"/>
      <c r="AN37" s="854"/>
      <c r="AO37" s="854"/>
      <c r="AP37" s="854"/>
      <c r="AQ37" s="856"/>
      <c r="AR37" s="857"/>
    </row>
    <row r="38" spans="1:44" ht="14.1" customHeight="1" thickTop="1">
      <c r="A38" s="16">
        <v>38</v>
      </c>
      <c r="B38" s="66"/>
      <c r="C38" s="87" t="s">
        <v>72</v>
      </c>
      <c r="D38" s="88" t="str">
        <f t="shared" ref="D38:L41" si="7">P124</f>
        <v/>
      </c>
      <c r="E38" s="89" t="str">
        <f t="shared" si="7"/>
        <v/>
      </c>
      <c r="F38" s="90" t="str">
        <f t="shared" si="7"/>
        <v/>
      </c>
      <c r="G38" s="88" t="str">
        <f t="shared" si="7"/>
        <v/>
      </c>
      <c r="H38" s="89" t="str">
        <f t="shared" si="7"/>
        <v/>
      </c>
      <c r="I38" s="90" t="str">
        <f t="shared" si="7"/>
        <v/>
      </c>
      <c r="J38" s="88" t="str">
        <f t="shared" si="7"/>
        <v/>
      </c>
      <c r="K38" s="89" t="str">
        <f t="shared" si="7"/>
        <v/>
      </c>
      <c r="L38" s="90" t="str">
        <f t="shared" si="7"/>
        <v/>
      </c>
      <c r="M38" s="68"/>
      <c r="O38" s="91" t="s">
        <v>73</v>
      </c>
      <c r="P38" s="22"/>
      <c r="Q38" s="22"/>
      <c r="R38" s="22"/>
      <c r="S38" s="22"/>
      <c r="T38" s="22"/>
      <c r="U38" s="22"/>
      <c r="V38" s="22"/>
      <c r="W38" s="22"/>
      <c r="X38" s="22"/>
      <c r="Y38" s="23"/>
      <c r="AA38" s="34" t="s">
        <v>74</v>
      </c>
      <c r="AB38" s="64"/>
      <c r="AC38" s="48" t="str">
        <f t="shared" si="4"/>
        <v/>
      </c>
      <c r="AD38" s="65" t="str">
        <f>IF(V21="","",V21)</f>
        <v/>
      </c>
      <c r="AH38" s="541">
        <v>28</v>
      </c>
      <c r="AI38" s="542">
        <v>50</v>
      </c>
      <c r="AJ38" s="543">
        <v>0</v>
      </c>
      <c r="AK38" s="542" t="str">
        <f t="shared" ref="AK38:AK48" si="8">IF($V$22="","",$V$22)</f>
        <v/>
      </c>
      <c r="AL38" s="542" t="str">
        <f t="shared" ref="AL38:AL48" si="9">IF($V$25="","",$V$25)</f>
        <v/>
      </c>
      <c r="AM38" s="542"/>
      <c r="AN38" s="542"/>
      <c r="AO38" s="542"/>
      <c r="AP38" s="542"/>
      <c r="AQ38" s="773"/>
      <c r="AR38" s="858"/>
    </row>
    <row r="39" spans="1:44" ht="14.1" customHeight="1">
      <c r="A39" s="16">
        <v>39</v>
      </c>
      <c r="B39" s="66"/>
      <c r="C39" s="92" t="s">
        <v>75</v>
      </c>
      <c r="D39" s="93" t="str">
        <f t="shared" si="7"/>
        <v/>
      </c>
      <c r="E39" s="15" t="str">
        <f t="shared" si="7"/>
        <v/>
      </c>
      <c r="F39" s="94" t="str">
        <f t="shared" si="7"/>
        <v/>
      </c>
      <c r="G39" s="93" t="str">
        <f t="shared" si="7"/>
        <v/>
      </c>
      <c r="H39" s="15" t="str">
        <f t="shared" si="7"/>
        <v/>
      </c>
      <c r="I39" s="94" t="str">
        <f t="shared" si="7"/>
        <v/>
      </c>
      <c r="J39" s="93" t="str">
        <f t="shared" si="7"/>
        <v/>
      </c>
      <c r="K39" s="15" t="str">
        <f t="shared" si="7"/>
        <v/>
      </c>
      <c r="L39" s="94" t="str">
        <f t="shared" si="7"/>
        <v/>
      </c>
      <c r="M39" s="68"/>
      <c r="O39" s="95"/>
      <c r="P39" s="35" t="s">
        <v>76</v>
      </c>
      <c r="Y39" s="31"/>
      <c r="AA39" s="34" t="s">
        <v>77</v>
      </c>
      <c r="AB39" s="64"/>
      <c r="AC39" s="48" t="str">
        <f t="shared" si="4"/>
        <v/>
      </c>
      <c r="AD39" s="65" t="str">
        <f>IF(V22="","",V22)</f>
        <v/>
      </c>
      <c r="AH39" s="541">
        <v>28</v>
      </c>
      <c r="AI39" s="542">
        <v>50</v>
      </c>
      <c r="AJ39" s="543">
        <v>0</v>
      </c>
      <c r="AK39" s="542" t="str">
        <f t="shared" si="8"/>
        <v/>
      </c>
      <c r="AL39" s="542" t="str">
        <f t="shared" si="9"/>
        <v/>
      </c>
      <c r="AM39" s="542"/>
      <c r="AN39" s="542"/>
      <c r="AO39" s="542"/>
      <c r="AP39" s="542"/>
      <c r="AQ39" s="773"/>
      <c r="AR39" s="858"/>
    </row>
    <row r="40" spans="1:44" ht="14.1" customHeight="1">
      <c r="A40" s="16">
        <v>40</v>
      </c>
      <c r="B40" s="66"/>
      <c r="C40" s="92" t="s">
        <v>78</v>
      </c>
      <c r="D40" s="93" t="str">
        <f t="shared" si="7"/>
        <v/>
      </c>
      <c r="E40" s="15" t="str">
        <f t="shared" si="7"/>
        <v/>
      </c>
      <c r="F40" s="94" t="str">
        <f t="shared" si="7"/>
        <v/>
      </c>
      <c r="G40" s="93" t="str">
        <f t="shared" si="7"/>
        <v/>
      </c>
      <c r="H40" s="15" t="str">
        <f t="shared" si="7"/>
        <v/>
      </c>
      <c r="I40" s="94" t="str">
        <f t="shared" si="7"/>
        <v/>
      </c>
      <c r="J40" s="93" t="str">
        <f t="shared" si="7"/>
        <v/>
      </c>
      <c r="K40" s="15" t="str">
        <f t="shared" si="7"/>
        <v/>
      </c>
      <c r="L40" s="94" t="str">
        <f t="shared" si="7"/>
        <v/>
      </c>
      <c r="M40" s="68"/>
      <c r="O40" s="95"/>
      <c r="P40" s="35" t="s">
        <v>79</v>
      </c>
      <c r="Y40" s="31"/>
      <c r="AA40" s="34" t="s">
        <v>80</v>
      </c>
      <c r="AB40" s="64"/>
      <c r="AC40" s="48" t="str">
        <f t="shared" si="4"/>
        <v/>
      </c>
      <c r="AD40" s="65" t="str">
        <f>IF(V24="","",V24)</f>
        <v/>
      </c>
      <c r="AH40" s="541">
        <v>28</v>
      </c>
      <c r="AI40" s="542">
        <v>50</v>
      </c>
      <c r="AJ40" s="543">
        <v>0</v>
      </c>
      <c r="AK40" s="542" t="str">
        <f t="shared" si="8"/>
        <v/>
      </c>
      <c r="AL40" s="542" t="str">
        <f t="shared" si="9"/>
        <v/>
      </c>
      <c r="AM40" s="542"/>
      <c r="AN40" s="542"/>
      <c r="AO40" s="542"/>
      <c r="AP40" s="542"/>
      <c r="AQ40" s="773"/>
      <c r="AR40" s="858"/>
    </row>
    <row r="41" spans="1:44" ht="14.1" customHeight="1" thickBot="1">
      <c r="A41" s="16">
        <v>41</v>
      </c>
      <c r="B41" s="66"/>
      <c r="C41" s="96" t="s">
        <v>81</v>
      </c>
      <c r="D41" s="97" t="str">
        <f t="shared" si="7"/>
        <v/>
      </c>
      <c r="E41" s="98" t="str">
        <f t="shared" si="7"/>
        <v/>
      </c>
      <c r="F41" s="99" t="str">
        <f t="shared" si="7"/>
        <v/>
      </c>
      <c r="G41" s="97" t="str">
        <f t="shared" si="7"/>
        <v/>
      </c>
      <c r="H41" s="98" t="str">
        <f t="shared" si="7"/>
        <v/>
      </c>
      <c r="I41" s="99" t="str">
        <f t="shared" si="7"/>
        <v/>
      </c>
      <c r="J41" s="97" t="str">
        <f t="shared" si="7"/>
        <v/>
      </c>
      <c r="K41" s="98" t="str">
        <f t="shared" si="7"/>
        <v/>
      </c>
      <c r="L41" s="99" t="str">
        <f t="shared" si="7"/>
        <v/>
      </c>
      <c r="M41" s="68"/>
      <c r="O41" s="95"/>
      <c r="P41" s="35" t="s">
        <v>82</v>
      </c>
      <c r="Y41" s="31"/>
      <c r="AA41" s="34" t="s">
        <v>83</v>
      </c>
      <c r="AB41" s="64"/>
      <c r="AC41" s="48" t="str">
        <f t="shared" si="4"/>
        <v/>
      </c>
      <c r="AD41" s="65" t="str">
        <f>IF(V25="","",V25)</f>
        <v/>
      </c>
      <c r="AH41" s="541">
        <v>30</v>
      </c>
      <c r="AI41" s="542">
        <v>50</v>
      </c>
      <c r="AJ41" s="543">
        <v>0</v>
      </c>
      <c r="AK41" s="542" t="str">
        <f t="shared" si="8"/>
        <v/>
      </c>
      <c r="AL41" s="542" t="str">
        <f t="shared" si="9"/>
        <v/>
      </c>
      <c r="AM41" s="542"/>
      <c r="AN41" s="542"/>
      <c r="AO41" s="542"/>
      <c r="AP41" s="542"/>
      <c r="AQ41" s="773"/>
      <c r="AR41" s="858"/>
    </row>
    <row r="42" spans="1:44" ht="14.1" customHeight="1">
      <c r="A42" s="16">
        <v>42</v>
      </c>
      <c r="B42" s="66"/>
      <c r="M42" s="68"/>
      <c r="O42" s="95"/>
      <c r="P42" s="35" t="s">
        <v>84</v>
      </c>
      <c r="Y42" s="31"/>
      <c r="AA42" s="34" t="s">
        <v>59</v>
      </c>
      <c r="AB42" s="64"/>
      <c r="AC42" s="48" t="str">
        <f t="shared" si="4"/>
        <v/>
      </c>
      <c r="AD42" s="65" t="str">
        <f>IF(V32="","",V32)</f>
        <v/>
      </c>
      <c r="AH42" s="541">
        <v>30</v>
      </c>
      <c r="AI42" s="542">
        <v>50</v>
      </c>
      <c r="AJ42" s="543">
        <v>0</v>
      </c>
      <c r="AK42" s="542" t="str">
        <f t="shared" si="8"/>
        <v/>
      </c>
      <c r="AL42" s="542" t="str">
        <f t="shared" si="9"/>
        <v/>
      </c>
      <c r="AM42" s="542"/>
      <c r="AN42" s="542"/>
      <c r="AO42" s="542"/>
      <c r="AP42" s="542"/>
      <c r="AQ42" s="773"/>
      <c r="AR42" s="858"/>
    </row>
    <row r="43" spans="1:44" ht="14.1" customHeight="1">
      <c r="A43" s="16">
        <v>43</v>
      </c>
      <c r="B43" s="66"/>
      <c r="H43" s="50" t="s">
        <v>71</v>
      </c>
      <c r="M43" s="68"/>
      <c r="O43" s="95"/>
      <c r="P43" s="35" t="s">
        <v>85</v>
      </c>
      <c r="Y43" s="31"/>
      <c r="AA43" s="34" t="s">
        <v>86</v>
      </c>
      <c r="AB43" s="64"/>
      <c r="AC43" s="48" t="str">
        <f t="shared" si="4"/>
        <v/>
      </c>
      <c r="AD43" s="65" t="str">
        <f>IF(V33="","",V33)</f>
        <v/>
      </c>
      <c r="AH43" s="541">
        <v>32</v>
      </c>
      <c r="AI43" s="542">
        <v>50</v>
      </c>
      <c r="AJ43" s="543">
        <v>0</v>
      </c>
      <c r="AK43" s="542" t="str">
        <f t="shared" si="8"/>
        <v/>
      </c>
      <c r="AL43" s="542" t="str">
        <f t="shared" si="9"/>
        <v/>
      </c>
      <c r="AM43" s="542"/>
      <c r="AN43" s="542"/>
      <c r="AO43" s="542"/>
      <c r="AP43" s="542"/>
      <c r="AQ43" s="773"/>
      <c r="AR43" s="858"/>
    </row>
    <row r="44" spans="1:44" ht="14.1" customHeight="1">
      <c r="A44" s="16">
        <v>44</v>
      </c>
      <c r="B44" s="66"/>
      <c r="C44" s="100" t="s">
        <v>87</v>
      </c>
      <c r="L44" s="965" t="s">
        <v>88</v>
      </c>
      <c r="M44" s="965"/>
      <c r="O44" s="29"/>
      <c r="T44" s="255" t="s">
        <v>774</v>
      </c>
      <c r="Y44" s="31"/>
      <c r="AA44" s="74" t="s">
        <v>61</v>
      </c>
      <c r="AH44" s="541">
        <v>32</v>
      </c>
      <c r="AI44" s="542">
        <v>50</v>
      </c>
      <c r="AJ44" s="543">
        <v>0</v>
      </c>
      <c r="AK44" s="542" t="str">
        <f t="shared" si="8"/>
        <v/>
      </c>
      <c r="AL44" s="542" t="str">
        <f t="shared" si="9"/>
        <v/>
      </c>
      <c r="AM44" s="542"/>
      <c r="AN44" s="542"/>
      <c r="AO44" s="542"/>
      <c r="AP44" s="542"/>
      <c r="AQ44" s="773"/>
      <c r="AR44" s="858"/>
    </row>
    <row r="45" spans="1:44" ht="14.1" customHeight="1">
      <c r="A45" s="16">
        <v>45</v>
      </c>
      <c r="B45" s="66"/>
      <c r="C45" s="101" t="s">
        <v>89</v>
      </c>
      <c r="E45" s="35" t="s">
        <v>76</v>
      </c>
      <c r="L45" s="102" t="str">
        <f>IF(O39="","TBD",IF(O39=1,"YES",IF(O39=3,"NA","")))</f>
        <v>TBD</v>
      </c>
      <c r="M45" s="103" t="str">
        <f>IF(O39=2,"NO","")</f>
        <v/>
      </c>
      <c r="O45" s="95"/>
      <c r="P45" s="20" t="s">
        <v>494</v>
      </c>
      <c r="Y45" s="31"/>
      <c r="AA45" s="42" t="s">
        <v>63</v>
      </c>
      <c r="AH45" s="541">
        <v>34</v>
      </c>
      <c r="AI45" s="542">
        <v>50</v>
      </c>
      <c r="AJ45" s="543">
        <v>0</v>
      </c>
      <c r="AK45" s="542" t="str">
        <f t="shared" si="8"/>
        <v/>
      </c>
      <c r="AL45" s="542" t="str">
        <f t="shared" si="9"/>
        <v/>
      </c>
      <c r="AM45" s="542"/>
      <c r="AN45" s="542"/>
      <c r="AO45" s="542"/>
      <c r="AP45" s="542"/>
      <c r="AQ45" s="773"/>
      <c r="AR45" s="858"/>
    </row>
    <row r="46" spans="1:44" ht="14.1" customHeight="1">
      <c r="A46" s="16">
        <v>46</v>
      </c>
      <c r="B46" s="66"/>
      <c r="C46" s="101" t="s">
        <v>91</v>
      </c>
      <c r="E46" s="35" t="s">
        <v>79</v>
      </c>
      <c r="L46" s="102" t="str">
        <f>IF(O40="","TBD",IF(O40=1,"YES",IF(O40=3,"NA","")))</f>
        <v>TBD</v>
      </c>
      <c r="M46" s="103" t="str">
        <f>IF(O40=2,"NO","")</f>
        <v/>
      </c>
      <c r="O46" s="95"/>
      <c r="P46" s="20" t="s">
        <v>495</v>
      </c>
      <c r="Y46" s="31"/>
      <c r="AA46" s="34" t="s">
        <v>93</v>
      </c>
      <c r="AB46" s="64"/>
      <c r="AD46" s="65" t="str">
        <f>IF(P124="","",P124)</f>
        <v/>
      </c>
      <c r="AH46" s="541">
        <v>34</v>
      </c>
      <c r="AI46" s="542">
        <v>50</v>
      </c>
      <c r="AJ46" s="543">
        <v>0</v>
      </c>
      <c r="AK46" s="542" t="str">
        <f t="shared" si="8"/>
        <v/>
      </c>
      <c r="AL46" s="542" t="str">
        <f t="shared" si="9"/>
        <v/>
      </c>
      <c r="AM46" s="542"/>
      <c r="AN46" s="542"/>
      <c r="AO46" s="542"/>
      <c r="AP46" s="542"/>
      <c r="AQ46" s="773"/>
      <c r="AR46" s="858"/>
    </row>
    <row r="47" spans="1:44" ht="14.1" customHeight="1">
      <c r="A47" s="16">
        <v>47</v>
      </c>
      <c r="B47" s="66"/>
      <c r="C47" s="101" t="s">
        <v>94</v>
      </c>
      <c r="E47" s="35" t="s">
        <v>82</v>
      </c>
      <c r="L47" s="102" t="str">
        <f>IF(O41="","TBD",IF(O41=1,"YES",IF(O41=3,"NA","")))</f>
        <v>TBD</v>
      </c>
      <c r="M47" s="103" t="str">
        <f>IF(O41=2,"NO","")</f>
        <v/>
      </c>
      <c r="O47" s="95"/>
      <c r="P47" s="20" t="s">
        <v>496</v>
      </c>
      <c r="Y47" s="31"/>
      <c r="AA47" s="34" t="s">
        <v>96</v>
      </c>
      <c r="AB47" s="64"/>
      <c r="AD47" s="65" t="str">
        <f>IF(Q124="","",Q124)</f>
        <v/>
      </c>
      <c r="AH47" s="541">
        <v>38</v>
      </c>
      <c r="AI47" s="542">
        <v>50</v>
      </c>
      <c r="AJ47" s="543">
        <v>0</v>
      </c>
      <c r="AK47" s="542" t="str">
        <f t="shared" si="8"/>
        <v/>
      </c>
      <c r="AL47" s="542" t="str">
        <f t="shared" si="9"/>
        <v/>
      </c>
      <c r="AM47" s="542"/>
      <c r="AN47" s="542"/>
      <c r="AO47" s="542"/>
      <c r="AP47" s="542"/>
      <c r="AQ47" s="773"/>
      <c r="AR47" s="858"/>
    </row>
    <row r="48" spans="1:44" ht="14.1" customHeight="1">
      <c r="A48" s="16">
        <v>48</v>
      </c>
      <c r="B48" s="66"/>
      <c r="E48" s="35" t="s">
        <v>84</v>
      </c>
      <c r="L48" s="102" t="str">
        <f>IF(O42="","TBD",IF(O42=1,"YES",IF(O42=3,"NA","")))</f>
        <v>TBD</v>
      </c>
      <c r="M48" s="103" t="str">
        <f>IF(O42=2,"NO","")</f>
        <v/>
      </c>
      <c r="O48" s="95"/>
      <c r="P48" s="20" t="s">
        <v>497</v>
      </c>
      <c r="Y48" s="31"/>
      <c r="AA48" s="34" t="s">
        <v>98</v>
      </c>
      <c r="AB48" s="64"/>
      <c r="AD48" s="65" t="str">
        <f>IF(R124="","",R124)</f>
        <v/>
      </c>
      <c r="AH48" s="541">
        <v>38</v>
      </c>
      <c r="AI48" s="542">
        <v>50</v>
      </c>
      <c r="AJ48" s="543">
        <v>0</v>
      </c>
      <c r="AK48" s="542" t="str">
        <f t="shared" si="8"/>
        <v/>
      </c>
      <c r="AL48" s="542" t="str">
        <f t="shared" si="9"/>
        <v/>
      </c>
      <c r="AM48" s="542"/>
      <c r="AN48" s="542"/>
      <c r="AO48" s="542"/>
      <c r="AP48" s="542"/>
      <c r="AQ48" s="773"/>
      <c r="AR48" s="858"/>
    </row>
    <row r="49" spans="1:44" ht="14.1" customHeight="1">
      <c r="A49" s="16">
        <v>49</v>
      </c>
      <c r="B49" s="66"/>
      <c r="E49" s="35" t="s">
        <v>85</v>
      </c>
      <c r="L49" s="102" t="str">
        <f>IF(O43="","TBD",IF(O43=1,"YES",IF(O43=3,"NA","")))</f>
        <v>TBD</v>
      </c>
      <c r="M49" s="103" t="str">
        <f>IF(O43=2,"NO","")</f>
        <v/>
      </c>
      <c r="O49" s="95"/>
      <c r="P49" s="20" t="s">
        <v>498</v>
      </c>
      <c r="Y49" s="31"/>
      <c r="AA49" s="34" t="s">
        <v>93</v>
      </c>
      <c r="AB49" s="64"/>
      <c r="AD49" s="65" t="str">
        <f>IF(P125="","",P125)</f>
        <v/>
      </c>
    </row>
    <row r="50" spans="1:44" ht="14.1" customHeight="1">
      <c r="A50" s="16">
        <v>50</v>
      </c>
      <c r="B50" s="66"/>
      <c r="H50" s="255" t="s">
        <v>90</v>
      </c>
      <c r="M50" s="68"/>
      <c r="O50" s="95"/>
      <c r="P50" s="20" t="s">
        <v>499</v>
      </c>
      <c r="Y50" s="31"/>
      <c r="AA50" s="34" t="s">
        <v>96</v>
      </c>
      <c r="AB50" s="64"/>
      <c r="AD50" s="65" t="str">
        <f>IF(Q125="","",Q125)</f>
        <v/>
      </c>
    </row>
    <row r="51" spans="1:44" ht="14.1" customHeight="1">
      <c r="A51" s="16">
        <v>51</v>
      </c>
      <c r="B51" s="66"/>
      <c r="E51" s="67" t="s">
        <v>92</v>
      </c>
      <c r="L51" s="102" t="str">
        <f t="shared" ref="L51:L63" si="10">IF(O64="","TBD",IF(O64=1,"YES",IF(O64=3,"NA","")))</f>
        <v>TBD</v>
      </c>
      <c r="M51" s="103" t="str">
        <f t="shared" ref="M51:M63" si="11">IF(O64=2,"NO","")</f>
        <v/>
      </c>
      <c r="O51" s="95"/>
      <c r="P51" s="20" t="s">
        <v>500</v>
      </c>
      <c r="Y51" s="31"/>
      <c r="AA51" s="34" t="s">
        <v>98</v>
      </c>
      <c r="AB51" s="64"/>
      <c r="AD51" s="65" t="str">
        <f>IF(R125="","",R125)</f>
        <v/>
      </c>
    </row>
    <row r="52" spans="1:44" ht="14.1" customHeight="1">
      <c r="A52" s="16">
        <v>52</v>
      </c>
      <c r="B52" s="66"/>
      <c r="E52" s="67" t="s">
        <v>95</v>
      </c>
      <c r="L52" s="102" t="str">
        <f t="shared" si="10"/>
        <v>TBD</v>
      </c>
      <c r="M52" s="103" t="str">
        <f t="shared" si="11"/>
        <v/>
      </c>
      <c r="O52" s="95"/>
      <c r="P52" s="20" t="s">
        <v>501</v>
      </c>
      <c r="Y52" s="31"/>
      <c r="AA52" s="34" t="s">
        <v>93</v>
      </c>
      <c r="AB52" s="64"/>
      <c r="AD52" s="65" t="str">
        <f>IF(P126="","",P126)</f>
        <v/>
      </c>
    </row>
    <row r="53" spans="1:44" ht="14.1" customHeight="1">
      <c r="A53" s="16">
        <v>53</v>
      </c>
      <c r="B53" s="66"/>
      <c r="E53" s="67" t="s">
        <v>97</v>
      </c>
      <c r="L53" s="102" t="str">
        <f t="shared" si="10"/>
        <v>TBD</v>
      </c>
      <c r="M53" s="103" t="str">
        <f t="shared" si="11"/>
        <v/>
      </c>
      <c r="O53" s="95"/>
      <c r="P53" s="20" t="s">
        <v>502</v>
      </c>
      <c r="Y53" s="31"/>
      <c r="AA53" s="34" t="s">
        <v>96</v>
      </c>
      <c r="AB53" s="64"/>
      <c r="AD53" s="65" t="str">
        <f>IF(Q126="","",Q126)</f>
        <v/>
      </c>
    </row>
    <row r="54" spans="1:44" ht="14.1" customHeight="1">
      <c r="A54" s="16">
        <v>54</v>
      </c>
      <c r="B54" s="66"/>
      <c r="E54" s="67" t="s">
        <v>99</v>
      </c>
      <c r="L54" s="102" t="str">
        <f t="shared" si="10"/>
        <v>TBD</v>
      </c>
      <c r="M54" s="103" t="str">
        <f t="shared" si="11"/>
        <v/>
      </c>
      <c r="O54" s="95"/>
      <c r="P54" s="20" t="s">
        <v>503</v>
      </c>
      <c r="Y54" s="31"/>
      <c r="AA54" s="34" t="s">
        <v>98</v>
      </c>
      <c r="AB54" s="64"/>
      <c r="AD54" s="65" t="str">
        <f>IF(R126="","",R126)</f>
        <v/>
      </c>
    </row>
    <row r="55" spans="1:44" ht="14.1" customHeight="1">
      <c r="A55" s="16">
        <v>55</v>
      </c>
      <c r="B55" s="66"/>
      <c r="E55" s="67" t="s">
        <v>100</v>
      </c>
      <c r="L55" s="102" t="str">
        <f t="shared" si="10"/>
        <v>TBD</v>
      </c>
      <c r="M55" s="103" t="str">
        <f t="shared" si="11"/>
        <v/>
      </c>
      <c r="O55" s="95"/>
      <c r="P55" s="20" t="s">
        <v>504</v>
      </c>
      <c r="Y55" s="31"/>
      <c r="AA55" s="34" t="s">
        <v>93</v>
      </c>
      <c r="AB55" s="64"/>
      <c r="AD55" s="65" t="str">
        <f>IF(P127="","",P127)</f>
        <v/>
      </c>
      <c r="AH55"/>
      <c r="AI55"/>
      <c r="AJ55"/>
      <c r="AK55"/>
      <c r="AL55"/>
      <c r="AM55"/>
      <c r="AN55"/>
      <c r="AO55"/>
      <c r="AP55"/>
      <c r="AQ55"/>
      <c r="AR55"/>
    </row>
    <row r="56" spans="1:44" ht="14.1" customHeight="1">
      <c r="A56" s="16">
        <v>56</v>
      </c>
      <c r="B56" s="66"/>
      <c r="E56" s="67" t="s">
        <v>101</v>
      </c>
      <c r="L56" s="102" t="str">
        <f t="shared" si="10"/>
        <v>TBD</v>
      </c>
      <c r="M56" s="103" t="str">
        <f t="shared" si="11"/>
        <v/>
      </c>
      <c r="O56" s="95"/>
      <c r="P56" s="20" t="s">
        <v>505</v>
      </c>
      <c r="Y56" s="31"/>
      <c r="AA56" s="34" t="s">
        <v>96</v>
      </c>
      <c r="AB56" s="64"/>
      <c r="AD56" s="65"/>
      <c r="AH56"/>
      <c r="AI56"/>
      <c r="AJ56"/>
      <c r="AK56"/>
      <c r="AL56"/>
      <c r="AM56"/>
      <c r="AN56"/>
      <c r="AO56"/>
      <c r="AP56"/>
      <c r="AQ56"/>
      <c r="AR56"/>
    </row>
    <row r="57" spans="1:44" ht="14.1" customHeight="1">
      <c r="A57" s="16">
        <v>57</v>
      </c>
      <c r="B57" s="66"/>
      <c r="E57" s="67" t="s">
        <v>107</v>
      </c>
      <c r="L57" s="102" t="str">
        <f t="shared" si="10"/>
        <v>TBD</v>
      </c>
      <c r="M57" s="103" t="str">
        <f t="shared" si="11"/>
        <v/>
      </c>
      <c r="O57" s="95"/>
      <c r="P57" s="20" t="s">
        <v>506</v>
      </c>
      <c r="Y57" s="31"/>
      <c r="AA57" s="34" t="s">
        <v>98</v>
      </c>
      <c r="AB57" s="64"/>
      <c r="AD57" s="65"/>
      <c r="AH57"/>
      <c r="AI57"/>
      <c r="AJ57"/>
      <c r="AK57"/>
      <c r="AL57"/>
      <c r="AM57"/>
      <c r="AN57"/>
      <c r="AO57"/>
      <c r="AP57"/>
      <c r="AQ57"/>
      <c r="AR57"/>
    </row>
    <row r="58" spans="1:44" ht="14.1" customHeight="1">
      <c r="A58" s="16">
        <v>58</v>
      </c>
      <c r="B58" s="66"/>
      <c r="E58" s="67" t="s">
        <v>103</v>
      </c>
      <c r="L58" s="102" t="str">
        <f t="shared" si="10"/>
        <v>TBD</v>
      </c>
      <c r="M58" s="103" t="str">
        <f t="shared" si="11"/>
        <v/>
      </c>
      <c r="O58" s="95"/>
      <c r="P58" s="20" t="s">
        <v>507</v>
      </c>
      <c r="Y58" s="31"/>
      <c r="AA58" s="42" t="s">
        <v>110</v>
      </c>
      <c r="AH58"/>
      <c r="AI58"/>
      <c r="AJ58"/>
      <c r="AK58"/>
      <c r="AL58"/>
      <c r="AM58"/>
      <c r="AN58"/>
      <c r="AO58"/>
      <c r="AP58"/>
      <c r="AQ58"/>
      <c r="AR58"/>
    </row>
    <row r="59" spans="1:44" ht="14.1" customHeight="1">
      <c r="A59" s="16">
        <v>59</v>
      </c>
      <c r="B59" s="66"/>
      <c r="E59" s="67" t="s">
        <v>104</v>
      </c>
      <c r="L59" s="102" t="str">
        <f t="shared" si="10"/>
        <v>TBD</v>
      </c>
      <c r="M59" s="103" t="str">
        <f t="shared" si="11"/>
        <v/>
      </c>
      <c r="O59" s="95"/>
      <c r="P59" s="20" t="s">
        <v>508</v>
      </c>
      <c r="Y59" s="31"/>
      <c r="AA59" s="34" t="s">
        <v>93</v>
      </c>
      <c r="AB59" s="64"/>
      <c r="AD59" s="65" t="str">
        <f>IF(S124="","",S124)</f>
        <v/>
      </c>
      <c r="AH59"/>
      <c r="AI59"/>
      <c r="AJ59"/>
      <c r="AK59"/>
      <c r="AL59"/>
      <c r="AM59"/>
      <c r="AN59"/>
      <c r="AO59"/>
      <c r="AP59"/>
      <c r="AQ59"/>
      <c r="AR59"/>
    </row>
    <row r="60" spans="1:44" ht="14.1" customHeight="1">
      <c r="A60" s="16">
        <v>60</v>
      </c>
      <c r="B60" s="66"/>
      <c r="E60" s="67" t="s">
        <v>105</v>
      </c>
      <c r="L60" s="102" t="str">
        <f t="shared" si="10"/>
        <v>TBD</v>
      </c>
      <c r="M60" s="103" t="str">
        <f t="shared" si="11"/>
        <v/>
      </c>
      <c r="O60" s="95"/>
      <c r="P60" s="20" t="s">
        <v>509</v>
      </c>
      <c r="Y60" s="31"/>
      <c r="AA60" s="34" t="s">
        <v>96</v>
      </c>
      <c r="AB60" s="64"/>
      <c r="AD60" s="65" t="str">
        <f>IF(T124="","",T124)</f>
        <v/>
      </c>
      <c r="AH60"/>
      <c r="AI60"/>
      <c r="AJ60"/>
      <c r="AK60"/>
      <c r="AL60"/>
      <c r="AM60"/>
      <c r="AN60"/>
      <c r="AO60"/>
      <c r="AP60"/>
      <c r="AQ60"/>
      <c r="AR60"/>
    </row>
    <row r="61" spans="1:44" ht="14.1" customHeight="1">
      <c r="A61" s="16">
        <v>61</v>
      </c>
      <c r="B61" s="66"/>
      <c r="E61" s="67" t="s">
        <v>106</v>
      </c>
      <c r="L61" s="102" t="str">
        <f t="shared" si="10"/>
        <v>TBD</v>
      </c>
      <c r="M61" s="103" t="str">
        <f t="shared" si="11"/>
        <v/>
      </c>
      <c r="O61" s="268"/>
      <c r="P61" s="20" t="s">
        <v>612</v>
      </c>
      <c r="Y61" s="31"/>
      <c r="AA61" s="34" t="s">
        <v>98</v>
      </c>
      <c r="AB61" s="64"/>
      <c r="AD61" s="65" t="str">
        <f>IF(U124="","",U124)</f>
        <v/>
      </c>
      <c r="AH61"/>
      <c r="AI61"/>
      <c r="AJ61"/>
      <c r="AK61"/>
      <c r="AL61"/>
      <c r="AM61"/>
      <c r="AN61"/>
      <c r="AO61"/>
      <c r="AP61"/>
      <c r="AQ61"/>
      <c r="AR61"/>
    </row>
    <row r="62" spans="1:44" ht="14.1" customHeight="1">
      <c r="A62" s="16">
        <v>62</v>
      </c>
      <c r="B62" s="66"/>
      <c r="E62" s="67" t="s">
        <v>113</v>
      </c>
      <c r="L62" s="102" t="str">
        <f t="shared" si="10"/>
        <v>TBD</v>
      </c>
      <c r="M62" s="103" t="str">
        <f t="shared" si="11"/>
        <v/>
      </c>
      <c r="O62" s="29"/>
      <c r="Y62" s="31"/>
      <c r="AA62" s="34" t="s">
        <v>93</v>
      </c>
      <c r="AB62" s="64"/>
      <c r="AD62" s="65" t="str">
        <f>IF(S125="","",S125)</f>
        <v/>
      </c>
      <c r="AH62"/>
      <c r="AI62"/>
      <c r="AJ62"/>
      <c r="AK62"/>
      <c r="AL62"/>
      <c r="AM62"/>
      <c r="AN62"/>
      <c r="AO62"/>
      <c r="AP62"/>
      <c r="AQ62"/>
      <c r="AR62"/>
    </row>
    <row r="63" spans="1:44" ht="14.1" customHeight="1">
      <c r="A63" s="16">
        <v>63</v>
      </c>
      <c r="B63" s="66"/>
      <c r="E63" s="20" t="s">
        <v>115</v>
      </c>
      <c r="L63" s="102" t="str">
        <f t="shared" si="10"/>
        <v>TBD</v>
      </c>
      <c r="M63" s="103" t="str">
        <f t="shared" si="11"/>
        <v/>
      </c>
      <c r="O63" s="29"/>
      <c r="T63" s="255" t="s">
        <v>90</v>
      </c>
      <c r="Y63" s="31"/>
      <c r="AA63" s="34" t="s">
        <v>96</v>
      </c>
      <c r="AB63" s="64"/>
      <c r="AD63" s="65" t="str">
        <f>IF(T125="","",T125)</f>
        <v/>
      </c>
      <c r="AH63"/>
      <c r="AI63"/>
      <c r="AJ63"/>
      <c r="AK63"/>
      <c r="AL63"/>
      <c r="AM63"/>
      <c r="AN63"/>
      <c r="AO63"/>
      <c r="AP63"/>
      <c r="AQ63"/>
      <c r="AR63"/>
    </row>
    <row r="64" spans="1:44" ht="14.1" customHeight="1">
      <c r="A64" s="16">
        <v>64</v>
      </c>
      <c r="B64" s="66"/>
      <c r="C64" s="67"/>
      <c r="D64" s="67"/>
      <c r="E64" s="67"/>
      <c r="F64" s="67"/>
      <c r="G64" s="67"/>
      <c r="H64" s="67"/>
      <c r="I64" s="67"/>
      <c r="J64" s="67"/>
      <c r="K64" s="67"/>
      <c r="L64" s="67"/>
      <c r="M64" s="68"/>
      <c r="O64" s="95"/>
      <c r="P64" s="67" t="s">
        <v>92</v>
      </c>
      <c r="Y64" s="31"/>
      <c r="AA64" s="34" t="s">
        <v>98</v>
      </c>
      <c r="AB64" s="64"/>
      <c r="AD64" s="65" t="str">
        <f>IF(U125="","",U125)</f>
        <v/>
      </c>
      <c r="AH64"/>
      <c r="AI64"/>
      <c r="AJ64"/>
      <c r="AK64"/>
      <c r="AL64"/>
      <c r="AM64"/>
      <c r="AN64"/>
      <c r="AO64"/>
      <c r="AP64"/>
      <c r="AQ64"/>
      <c r="AR64"/>
    </row>
    <row r="65" spans="1:44" ht="14.1" customHeight="1">
      <c r="A65" s="16">
        <v>65</v>
      </c>
      <c r="B65" s="66"/>
      <c r="C65" s="67"/>
      <c r="D65" s="67"/>
      <c r="E65" s="67"/>
      <c r="F65" s="67"/>
      <c r="G65" s="67"/>
      <c r="H65" s="67"/>
      <c r="I65" s="67"/>
      <c r="J65" s="67"/>
      <c r="K65" s="67"/>
      <c r="L65" s="67"/>
      <c r="M65" s="68"/>
      <c r="O65" s="95"/>
      <c r="P65" s="67" t="s">
        <v>95</v>
      </c>
      <c r="Y65" s="31"/>
      <c r="AA65" s="34" t="s">
        <v>93</v>
      </c>
      <c r="AB65" s="64"/>
      <c r="AD65" s="65" t="str">
        <f>IF(S126="","",S126)</f>
        <v/>
      </c>
      <c r="AH65"/>
      <c r="AI65"/>
      <c r="AJ65"/>
      <c r="AK65"/>
      <c r="AL65"/>
      <c r="AM65"/>
      <c r="AN65"/>
      <c r="AO65"/>
      <c r="AP65"/>
      <c r="AQ65"/>
      <c r="AR65"/>
    </row>
    <row r="66" spans="1:44" ht="14.1" customHeight="1">
      <c r="A66" s="16">
        <v>66</v>
      </c>
      <c r="B66" s="66"/>
      <c r="C66" s="67"/>
      <c r="D66" s="67"/>
      <c r="E66" s="67"/>
      <c r="F66" s="67"/>
      <c r="G66" s="67"/>
      <c r="H66" s="67"/>
      <c r="I66" s="67"/>
      <c r="J66" s="67"/>
      <c r="K66" s="67"/>
      <c r="L66" s="67"/>
      <c r="M66" s="68"/>
      <c r="O66" s="95"/>
      <c r="P66" s="67" t="s">
        <v>97</v>
      </c>
      <c r="Y66" s="31"/>
      <c r="AA66" s="34" t="s">
        <v>96</v>
      </c>
      <c r="AB66" s="64"/>
      <c r="AD66" s="65" t="str">
        <f>IF(T126="","",T126)</f>
        <v/>
      </c>
      <c r="AH66"/>
      <c r="AI66"/>
      <c r="AJ66"/>
      <c r="AK66"/>
      <c r="AL66"/>
      <c r="AM66"/>
      <c r="AN66"/>
      <c r="AO66"/>
      <c r="AP66"/>
      <c r="AQ66"/>
      <c r="AR66"/>
    </row>
    <row r="67" spans="1:44" ht="14.1" customHeight="1">
      <c r="A67" s="16">
        <v>67</v>
      </c>
      <c r="B67" s="66"/>
      <c r="C67" s="67"/>
      <c r="D67" s="67"/>
      <c r="E67" s="67"/>
      <c r="F67" s="67"/>
      <c r="G67" s="67"/>
      <c r="H67" s="67"/>
      <c r="I67" s="67"/>
      <c r="J67" s="67"/>
      <c r="K67" s="67"/>
      <c r="L67" s="67"/>
      <c r="M67" s="68"/>
      <c r="O67" s="95"/>
      <c r="P67" s="67" t="s">
        <v>99</v>
      </c>
      <c r="Y67" s="31"/>
      <c r="AA67" s="34" t="s">
        <v>98</v>
      </c>
      <c r="AB67" s="64"/>
      <c r="AD67" s="65" t="str">
        <f>IF(U126="","",U126)</f>
        <v/>
      </c>
      <c r="AH67"/>
      <c r="AI67"/>
      <c r="AJ67"/>
      <c r="AK67"/>
      <c r="AL67"/>
      <c r="AM67"/>
      <c r="AN67"/>
      <c r="AO67"/>
      <c r="AP67"/>
      <c r="AQ67"/>
      <c r="AR67"/>
    </row>
    <row r="68" spans="1:44" ht="14.1" customHeight="1">
      <c r="A68" s="16">
        <v>68</v>
      </c>
      <c r="B68" s="66"/>
      <c r="C68" s="67"/>
      <c r="D68" s="67"/>
      <c r="E68" s="67"/>
      <c r="F68" s="67"/>
      <c r="G68" s="67"/>
      <c r="H68" s="67"/>
      <c r="I68" s="67"/>
      <c r="J68" s="67"/>
      <c r="K68" s="67"/>
      <c r="L68" s="67"/>
      <c r="M68" s="68"/>
      <c r="O68" s="95"/>
      <c r="P68" s="67" t="s">
        <v>100</v>
      </c>
      <c r="Y68" s="31"/>
      <c r="AA68" s="34" t="s">
        <v>93</v>
      </c>
      <c r="AB68" s="64"/>
      <c r="AD68" s="65" t="str">
        <f>IF(S127="","",S127)</f>
        <v/>
      </c>
      <c r="AH68"/>
      <c r="AI68"/>
      <c r="AJ68"/>
      <c r="AK68"/>
      <c r="AL68"/>
      <c r="AM68"/>
      <c r="AN68"/>
      <c r="AO68"/>
      <c r="AP68"/>
      <c r="AQ68"/>
      <c r="AR68"/>
    </row>
    <row r="69" spans="1:44" ht="14.1" customHeight="1">
      <c r="A69" s="16">
        <v>69</v>
      </c>
      <c r="B69" s="66"/>
      <c r="C69" s="67"/>
      <c r="D69" s="67"/>
      <c r="E69" s="67"/>
      <c r="F69" s="67"/>
      <c r="G69" s="67"/>
      <c r="H69" s="67"/>
      <c r="I69" s="67"/>
      <c r="J69" s="67"/>
      <c r="K69" s="67"/>
      <c r="L69" s="67"/>
      <c r="M69" s="68"/>
      <c r="O69" s="95"/>
      <c r="P69" s="67" t="s">
        <v>101</v>
      </c>
      <c r="Y69" s="31"/>
      <c r="AA69" s="34" t="s">
        <v>96</v>
      </c>
      <c r="AB69" s="64"/>
      <c r="AD69" s="65" t="str">
        <f>IF(T127="","",T127)</f>
        <v/>
      </c>
      <c r="AH69"/>
      <c r="AI69"/>
      <c r="AJ69"/>
      <c r="AK69"/>
      <c r="AL69"/>
      <c r="AM69"/>
      <c r="AN69"/>
      <c r="AO69"/>
      <c r="AP69"/>
      <c r="AQ69"/>
      <c r="AR69"/>
    </row>
    <row r="70" spans="1:44" ht="14.1" customHeight="1" thickBot="1">
      <c r="A70" s="16">
        <v>70</v>
      </c>
      <c r="B70" s="79"/>
      <c r="C70" s="80"/>
      <c r="D70" s="80"/>
      <c r="E70" s="80"/>
      <c r="F70" s="80"/>
      <c r="G70" s="80"/>
      <c r="H70" s="80"/>
      <c r="I70" s="80"/>
      <c r="J70" s="80"/>
      <c r="K70" s="80"/>
      <c r="L70" s="80"/>
      <c r="M70" s="81"/>
      <c r="O70" s="95"/>
      <c r="P70" s="67" t="s">
        <v>102</v>
      </c>
      <c r="Y70" s="31"/>
      <c r="AA70" s="34" t="s">
        <v>98</v>
      </c>
      <c r="AB70" s="64"/>
      <c r="AD70" s="65" t="str">
        <f>IF(U127="","",U127)</f>
        <v/>
      </c>
      <c r="AH70"/>
      <c r="AI70"/>
      <c r="AJ70"/>
      <c r="AK70"/>
      <c r="AL70"/>
      <c r="AM70"/>
      <c r="AN70"/>
      <c r="AO70"/>
      <c r="AP70"/>
      <c r="AQ70"/>
      <c r="AR70"/>
    </row>
    <row r="71" spans="1:44" ht="14.1" customHeight="1" thickTop="1">
      <c r="A71" s="16">
        <v>71</v>
      </c>
      <c r="C71" s="108" t="s">
        <v>10</v>
      </c>
      <c r="D71" s="367" t="str">
        <f>IF($P$7="","",$P$7)</f>
        <v/>
      </c>
      <c r="E71" s="26"/>
      <c r="F71" s="26"/>
      <c r="G71" s="26"/>
      <c r="H71" s="26"/>
      <c r="I71" s="26"/>
      <c r="J71" s="26"/>
      <c r="K71" s="26"/>
      <c r="L71" s="108" t="s">
        <v>11</v>
      </c>
      <c r="M71" s="368" t="str">
        <f>IF($X$7="","",$X$7)</f>
        <v>Eugene Mah</v>
      </c>
      <c r="O71" s="95"/>
      <c r="P71" s="67" t="s">
        <v>103</v>
      </c>
      <c r="Y71" s="31"/>
      <c r="AA71" s="42" t="s">
        <v>65</v>
      </c>
      <c r="AH71"/>
      <c r="AI71"/>
      <c r="AJ71"/>
      <c r="AK71"/>
      <c r="AL71"/>
      <c r="AM71"/>
      <c r="AN71"/>
      <c r="AO71"/>
      <c r="AP71"/>
      <c r="AQ71"/>
      <c r="AR71"/>
    </row>
    <row r="72" spans="1:44" ht="14.1" customHeight="1">
      <c r="A72" s="16">
        <v>72</v>
      </c>
      <c r="C72" s="108" t="s">
        <v>119</v>
      </c>
      <c r="D72" s="368" t="str">
        <f>IF($R$14="","",$R$14)</f>
        <v/>
      </c>
      <c r="E72" s="26"/>
      <c r="F72" s="26"/>
      <c r="G72" s="26"/>
      <c r="H72" s="26"/>
      <c r="I72" s="26"/>
      <c r="J72" s="26"/>
      <c r="K72" s="26"/>
      <c r="L72" s="108" t="s">
        <v>36</v>
      </c>
      <c r="M72" s="368" t="str">
        <f>IF($R$13="","",$R$13)</f>
        <v/>
      </c>
      <c r="O72" s="95"/>
      <c r="P72" s="67" t="s">
        <v>104</v>
      </c>
      <c r="Y72" s="31"/>
      <c r="AA72" s="34" t="s">
        <v>93</v>
      </c>
      <c r="AB72" s="64"/>
      <c r="AD72" s="65" t="str">
        <f>IF(V124="","",V124)</f>
        <v/>
      </c>
      <c r="AH72"/>
      <c r="AI72"/>
      <c r="AJ72"/>
      <c r="AK72"/>
      <c r="AL72"/>
      <c r="AM72"/>
      <c r="AN72"/>
      <c r="AO72"/>
      <c r="AP72"/>
      <c r="AQ72"/>
      <c r="AR72"/>
    </row>
    <row r="73" spans="1:44" ht="14.1" customHeight="1">
      <c r="A73" s="16">
        <v>1</v>
      </c>
      <c r="M73" s="111" t="str">
        <f>$H$2</f>
        <v>Medical University of South Carolina</v>
      </c>
      <c r="O73" s="95"/>
      <c r="P73" s="67" t="s">
        <v>105</v>
      </c>
      <c r="Y73" s="31"/>
      <c r="AA73" s="34" t="s">
        <v>96</v>
      </c>
      <c r="AB73" s="64"/>
      <c r="AD73" s="65" t="str">
        <f>IF(W124="","",W124)</f>
        <v/>
      </c>
      <c r="AH73"/>
      <c r="AI73"/>
      <c r="AJ73"/>
      <c r="AK73"/>
      <c r="AL73"/>
      <c r="AM73"/>
      <c r="AN73"/>
      <c r="AO73"/>
      <c r="AP73"/>
      <c r="AQ73"/>
      <c r="AR73"/>
    </row>
    <row r="74" spans="1:44" ht="14.1" customHeight="1" thickBot="1">
      <c r="A74" s="16">
        <v>2</v>
      </c>
      <c r="H74" s="50" t="s">
        <v>71</v>
      </c>
      <c r="M74" s="112" t="str">
        <f>$H$5</f>
        <v>Mammography System Compliance Inspection</v>
      </c>
      <c r="O74" s="95"/>
      <c r="P74" s="67" t="s">
        <v>106</v>
      </c>
      <c r="Y74" s="31"/>
      <c r="AA74" s="34" t="s">
        <v>98</v>
      </c>
      <c r="AB74" s="64"/>
      <c r="AD74" s="65" t="str">
        <f>IF(X124="","",X124)</f>
        <v/>
      </c>
      <c r="AH74"/>
      <c r="AI74"/>
      <c r="AJ74"/>
      <c r="AK74"/>
      <c r="AL74"/>
      <c r="AM74"/>
      <c r="AN74"/>
      <c r="AO74"/>
      <c r="AP74"/>
      <c r="AQ74"/>
      <c r="AR74"/>
    </row>
    <row r="75" spans="1:44" ht="14.1" customHeight="1" thickTop="1">
      <c r="A75" s="16">
        <v>3</v>
      </c>
      <c r="B75" s="57"/>
      <c r="C75" s="113" t="s">
        <v>87</v>
      </c>
      <c r="D75" s="58"/>
      <c r="E75" s="58"/>
      <c r="F75" s="58"/>
      <c r="G75" s="58"/>
      <c r="H75" s="114" t="s">
        <v>111</v>
      </c>
      <c r="I75" s="58"/>
      <c r="J75" s="58"/>
      <c r="K75" s="58"/>
      <c r="L75" s="58"/>
      <c r="M75" s="60"/>
      <c r="O75" s="95"/>
      <c r="P75" s="67" t="s">
        <v>108</v>
      </c>
      <c r="Y75" s="31"/>
      <c r="AA75" s="34" t="s">
        <v>93</v>
      </c>
      <c r="AB75" s="64"/>
      <c r="AD75" s="65" t="str">
        <f>IF(V125="","",V125)</f>
        <v/>
      </c>
      <c r="AH75"/>
      <c r="AI75"/>
      <c r="AJ75"/>
      <c r="AK75"/>
      <c r="AL75"/>
      <c r="AM75"/>
      <c r="AN75"/>
      <c r="AO75"/>
      <c r="AP75"/>
      <c r="AQ75"/>
      <c r="AR75"/>
    </row>
    <row r="76" spans="1:44" ht="14.1" customHeight="1">
      <c r="A76" s="16">
        <v>4</v>
      </c>
      <c r="B76" s="66"/>
      <c r="C76" s="67" t="s">
        <v>124</v>
      </c>
      <c r="D76" s="67"/>
      <c r="E76" s="67" t="s">
        <v>125</v>
      </c>
      <c r="F76" s="67"/>
      <c r="G76" s="67"/>
      <c r="H76" s="67"/>
      <c r="I76" s="67"/>
      <c r="J76" s="67"/>
      <c r="K76" s="67"/>
      <c r="L76" s="146" t="str">
        <f t="shared" ref="L76:L107" si="12">IF(O79="","TBD",IF(O79=1,"YES",IF(O79=3,"NA","")))</f>
        <v>TBD</v>
      </c>
      <c r="M76" s="103" t="str">
        <f t="shared" ref="M76:M107" si="13">IF(O79=2,"NO","")</f>
        <v/>
      </c>
      <c r="O76" s="95"/>
      <c r="P76" s="20" t="s">
        <v>109</v>
      </c>
      <c r="Y76" s="31"/>
      <c r="AA76" s="34" t="s">
        <v>96</v>
      </c>
      <c r="AB76" s="64"/>
      <c r="AD76" s="65" t="str">
        <f>IF(W125="","",W125)</f>
        <v/>
      </c>
      <c r="AH76"/>
      <c r="AI76"/>
      <c r="AJ76"/>
      <c r="AK76"/>
      <c r="AL76"/>
      <c r="AM76"/>
      <c r="AN76"/>
      <c r="AO76"/>
      <c r="AP76"/>
      <c r="AQ76"/>
      <c r="AR76"/>
    </row>
    <row r="77" spans="1:44" ht="14.1" customHeight="1">
      <c r="A77" s="16">
        <v>5</v>
      </c>
      <c r="B77" s="66"/>
      <c r="C77" s="67" t="s">
        <v>127</v>
      </c>
      <c r="D77" s="67"/>
      <c r="E77" s="67" t="s">
        <v>128</v>
      </c>
      <c r="F77" s="67"/>
      <c r="G77" s="67"/>
      <c r="H77" s="67"/>
      <c r="I77" s="67"/>
      <c r="J77" s="67"/>
      <c r="K77" s="67"/>
      <c r="L77" s="146" t="str">
        <f t="shared" si="12"/>
        <v>TBD</v>
      </c>
      <c r="M77" s="103" t="str">
        <f t="shared" si="13"/>
        <v/>
      </c>
      <c r="O77" s="29"/>
      <c r="Y77" s="31"/>
      <c r="AA77" s="34" t="s">
        <v>98</v>
      </c>
      <c r="AB77" s="64"/>
      <c r="AD77" s="65" t="str">
        <f>IF(X125="","",X125)</f>
        <v/>
      </c>
      <c r="AH77"/>
      <c r="AI77"/>
      <c r="AJ77"/>
      <c r="AK77"/>
      <c r="AL77"/>
      <c r="AM77"/>
      <c r="AN77"/>
      <c r="AO77"/>
      <c r="AP77"/>
      <c r="AQ77"/>
      <c r="AR77"/>
    </row>
    <row r="78" spans="1:44" ht="14.1" customHeight="1">
      <c r="A78" s="16">
        <v>6</v>
      </c>
      <c r="B78" s="66"/>
      <c r="C78" s="67" t="s">
        <v>130</v>
      </c>
      <c r="D78" s="67"/>
      <c r="E78" s="67" t="s">
        <v>116</v>
      </c>
      <c r="F78" s="67"/>
      <c r="G78" s="67"/>
      <c r="H78" s="67"/>
      <c r="I78" s="67"/>
      <c r="J78" s="67"/>
      <c r="K78" s="67"/>
      <c r="L78" s="146" t="str">
        <f t="shared" si="12"/>
        <v>TBD</v>
      </c>
      <c r="M78" s="103" t="str">
        <f t="shared" si="13"/>
        <v/>
      </c>
      <c r="O78" s="29"/>
      <c r="T78" s="255" t="s">
        <v>111</v>
      </c>
      <c r="Y78" s="31"/>
      <c r="AA78" s="34" t="s">
        <v>93</v>
      </c>
      <c r="AB78" s="64"/>
      <c r="AD78" s="65" t="str">
        <f>IF(V126="","",V126)</f>
        <v/>
      </c>
      <c r="AH78"/>
      <c r="AI78"/>
      <c r="AJ78"/>
      <c r="AK78"/>
      <c r="AL78"/>
      <c r="AM78"/>
      <c r="AN78"/>
      <c r="AO78"/>
      <c r="AP78"/>
      <c r="AQ78"/>
      <c r="AR78"/>
    </row>
    <row r="79" spans="1:44" ht="14.1" customHeight="1">
      <c r="A79" s="16">
        <v>7</v>
      </c>
      <c r="B79" s="66"/>
      <c r="C79" s="67" t="s">
        <v>132</v>
      </c>
      <c r="D79" s="67"/>
      <c r="E79" s="67" t="s">
        <v>133</v>
      </c>
      <c r="F79" s="67"/>
      <c r="G79" s="67"/>
      <c r="H79" s="67"/>
      <c r="I79" s="67"/>
      <c r="J79" s="67"/>
      <c r="K79" s="67"/>
      <c r="L79" s="146" t="str">
        <f t="shared" si="12"/>
        <v>TBD</v>
      </c>
      <c r="M79" s="103" t="str">
        <f t="shared" si="13"/>
        <v/>
      </c>
      <c r="O79" s="95"/>
      <c r="P79" s="20" t="s">
        <v>112</v>
      </c>
      <c r="Y79" s="31"/>
      <c r="AA79" s="34" t="s">
        <v>96</v>
      </c>
      <c r="AB79" s="64"/>
      <c r="AD79" s="65" t="str">
        <f>IF(W126="","",W126)</f>
        <v/>
      </c>
      <c r="AH79"/>
      <c r="AI79"/>
      <c r="AJ79"/>
      <c r="AK79"/>
      <c r="AL79"/>
      <c r="AM79"/>
      <c r="AN79"/>
      <c r="AO79"/>
      <c r="AP79"/>
      <c r="AQ79"/>
      <c r="AR79"/>
    </row>
    <row r="80" spans="1:44" ht="14.1" customHeight="1">
      <c r="A80" s="16">
        <v>8</v>
      </c>
      <c r="B80" s="66"/>
      <c r="C80" s="67" t="s">
        <v>135</v>
      </c>
      <c r="D80" s="67"/>
      <c r="E80" s="67" t="s">
        <v>118</v>
      </c>
      <c r="F80" s="67"/>
      <c r="G80" s="67"/>
      <c r="H80" s="67"/>
      <c r="I80" s="67"/>
      <c r="J80" s="67"/>
      <c r="K80" s="67"/>
      <c r="L80" s="146" t="str">
        <f t="shared" si="12"/>
        <v>TBD</v>
      </c>
      <c r="M80" s="103" t="str">
        <f t="shared" si="13"/>
        <v/>
      </c>
      <c r="O80" s="95"/>
      <c r="P80" s="20" t="s">
        <v>114</v>
      </c>
      <c r="Y80" s="31"/>
      <c r="AA80" s="34" t="s">
        <v>98</v>
      </c>
      <c r="AB80" s="64"/>
      <c r="AD80" s="65" t="str">
        <f>IF(X126="","",X126)</f>
        <v/>
      </c>
      <c r="AH80"/>
      <c r="AI80"/>
      <c r="AJ80"/>
      <c r="AK80"/>
      <c r="AL80"/>
      <c r="AM80"/>
      <c r="AN80"/>
      <c r="AO80"/>
      <c r="AP80"/>
      <c r="AQ80"/>
      <c r="AR80"/>
    </row>
    <row r="81" spans="1:44" ht="14.1" customHeight="1">
      <c r="A81" s="16">
        <v>9</v>
      </c>
      <c r="B81" s="66"/>
      <c r="C81" s="67" t="s">
        <v>137</v>
      </c>
      <c r="D81" s="67"/>
      <c r="E81" s="67" t="s">
        <v>138</v>
      </c>
      <c r="F81" s="67"/>
      <c r="G81" s="67"/>
      <c r="H81" s="67"/>
      <c r="I81" s="67"/>
      <c r="J81" s="67"/>
      <c r="K81" s="67"/>
      <c r="L81" s="146" t="str">
        <f t="shared" si="12"/>
        <v>TBD</v>
      </c>
      <c r="M81" s="103" t="str">
        <f t="shared" si="13"/>
        <v/>
      </c>
      <c r="O81" s="95"/>
      <c r="P81" s="20" t="s">
        <v>116</v>
      </c>
      <c r="Y81" s="31"/>
      <c r="AA81" s="34" t="s">
        <v>93</v>
      </c>
      <c r="AB81" s="64"/>
      <c r="AD81" s="65" t="str">
        <f>IF(V127="","",V127)</f>
        <v/>
      </c>
      <c r="AH81"/>
      <c r="AI81"/>
      <c r="AJ81"/>
      <c r="AK81"/>
      <c r="AL81"/>
      <c r="AM81"/>
      <c r="AN81"/>
      <c r="AO81"/>
      <c r="AP81"/>
      <c r="AQ81"/>
      <c r="AR81"/>
    </row>
    <row r="82" spans="1:44" ht="14.1" customHeight="1">
      <c r="A82" s="16">
        <v>10</v>
      </c>
      <c r="B82" s="66"/>
      <c r="C82" s="67" t="s">
        <v>140</v>
      </c>
      <c r="D82" s="67"/>
      <c r="E82" s="67" t="s">
        <v>121</v>
      </c>
      <c r="F82" s="67"/>
      <c r="G82" s="67"/>
      <c r="H82" s="67"/>
      <c r="I82" s="67"/>
      <c r="J82" s="67"/>
      <c r="K82" s="67"/>
      <c r="L82" s="146" t="str">
        <f t="shared" si="12"/>
        <v>YES</v>
      </c>
      <c r="M82" s="103" t="str">
        <f t="shared" si="13"/>
        <v/>
      </c>
      <c r="O82" s="95"/>
      <c r="P82" s="20" t="s">
        <v>117</v>
      </c>
      <c r="Y82" s="31"/>
      <c r="AA82" s="34" t="s">
        <v>96</v>
      </c>
      <c r="AB82" s="64"/>
      <c r="AD82" s="65" t="str">
        <f>IF(W127="","",W127)</f>
        <v/>
      </c>
      <c r="AH82"/>
      <c r="AI82"/>
      <c r="AJ82"/>
      <c r="AK82"/>
      <c r="AL82"/>
      <c r="AM82"/>
      <c r="AN82"/>
      <c r="AO82"/>
      <c r="AP82"/>
      <c r="AQ82"/>
      <c r="AR82"/>
    </row>
    <row r="83" spans="1:44" ht="14.1" customHeight="1">
      <c r="A83" s="16">
        <v>11</v>
      </c>
      <c r="B83" s="66"/>
      <c r="C83" s="67" t="s">
        <v>142</v>
      </c>
      <c r="D83" s="67"/>
      <c r="E83" s="67" t="s">
        <v>143</v>
      </c>
      <c r="F83" s="67"/>
      <c r="G83" s="67"/>
      <c r="H83" s="67"/>
      <c r="I83" s="67"/>
      <c r="J83" s="67"/>
      <c r="K83" s="67"/>
      <c r="L83" s="146" t="str">
        <f t="shared" si="12"/>
        <v>TBD</v>
      </c>
      <c r="M83" s="103" t="str">
        <f t="shared" si="13"/>
        <v/>
      </c>
      <c r="O83" s="95"/>
      <c r="P83" s="20" t="s">
        <v>118</v>
      </c>
      <c r="Y83" s="31"/>
      <c r="AA83" s="34" t="s">
        <v>98</v>
      </c>
      <c r="AB83" s="64"/>
      <c r="AD83" s="65" t="str">
        <f>IF(X127="","",X127)</f>
        <v/>
      </c>
      <c r="AH83"/>
      <c r="AI83"/>
      <c r="AJ83"/>
      <c r="AK83"/>
      <c r="AL83"/>
      <c r="AM83"/>
      <c r="AN83"/>
      <c r="AO83"/>
      <c r="AP83"/>
      <c r="AQ83"/>
      <c r="AR83"/>
    </row>
    <row r="84" spans="1:44" ht="14.1" customHeight="1">
      <c r="A84" s="16">
        <v>12</v>
      </c>
      <c r="B84" s="66"/>
      <c r="C84" s="67" t="s">
        <v>145</v>
      </c>
      <c r="D84" s="67"/>
      <c r="E84" s="67" t="s">
        <v>123</v>
      </c>
      <c r="F84" s="67"/>
      <c r="G84" s="67"/>
      <c r="H84" s="67"/>
      <c r="I84" s="67"/>
      <c r="J84" s="67"/>
      <c r="K84" s="67"/>
      <c r="L84" s="146" t="str">
        <f t="shared" si="12"/>
        <v>TBD</v>
      </c>
      <c r="M84" s="103" t="str">
        <f t="shared" si="13"/>
        <v/>
      </c>
      <c r="O84" s="95"/>
      <c r="P84" s="20" t="s">
        <v>120</v>
      </c>
      <c r="Y84" s="31"/>
      <c r="AH84"/>
      <c r="AI84"/>
      <c r="AJ84"/>
      <c r="AK84"/>
      <c r="AL84"/>
      <c r="AM84"/>
      <c r="AN84"/>
      <c r="AO84"/>
      <c r="AP84"/>
      <c r="AQ84"/>
      <c r="AR84"/>
    </row>
    <row r="85" spans="1:44" ht="14.1" customHeight="1">
      <c r="A85" s="16">
        <v>13</v>
      </c>
      <c r="B85" s="66"/>
      <c r="C85" s="67" t="s">
        <v>147</v>
      </c>
      <c r="D85" s="67"/>
      <c r="E85" s="67" t="s">
        <v>126</v>
      </c>
      <c r="F85" s="67"/>
      <c r="G85" s="67"/>
      <c r="H85" s="67"/>
      <c r="I85" s="67"/>
      <c r="J85" s="67"/>
      <c r="K85" s="67"/>
      <c r="L85" s="146" t="str">
        <f t="shared" si="12"/>
        <v>TBD</v>
      </c>
      <c r="M85" s="103" t="str">
        <f t="shared" si="13"/>
        <v/>
      </c>
      <c r="O85" s="268">
        <f>IF(OR(R172="",R172=1),IF(U175&gt;=160,1,2),3)</f>
        <v>1</v>
      </c>
      <c r="P85" s="20" t="s">
        <v>121</v>
      </c>
      <c r="Y85" s="31"/>
      <c r="AA85" s="34" t="s">
        <v>159</v>
      </c>
      <c r="AB85" s="64"/>
      <c r="AD85" s="115" t="e">
        <f>IF(X265="","",X265)</f>
        <v>#DIV/0!</v>
      </c>
      <c r="AH85"/>
      <c r="AI85"/>
      <c r="AJ85"/>
      <c r="AK85"/>
      <c r="AL85"/>
      <c r="AM85"/>
      <c r="AN85"/>
      <c r="AO85"/>
      <c r="AP85"/>
      <c r="AQ85"/>
      <c r="AR85"/>
    </row>
    <row r="86" spans="1:44" ht="14.1" customHeight="1">
      <c r="A86" s="16">
        <v>14</v>
      </c>
      <c r="B86" s="66"/>
      <c r="C86" s="67" t="s">
        <v>147</v>
      </c>
      <c r="D86" s="67"/>
      <c r="E86" s="67" t="s">
        <v>129</v>
      </c>
      <c r="F86" s="67"/>
      <c r="G86" s="67"/>
      <c r="H86" s="67"/>
      <c r="I86" s="67"/>
      <c r="J86" s="67"/>
      <c r="K86" s="67"/>
      <c r="L86" s="146" t="str">
        <f t="shared" si="12"/>
        <v>TBD</v>
      </c>
      <c r="M86" s="103" t="str">
        <f t="shared" si="13"/>
        <v/>
      </c>
      <c r="O86" s="95"/>
      <c r="P86" s="20" t="s">
        <v>122</v>
      </c>
      <c r="Y86" s="31"/>
      <c r="AA86" s="34" t="s">
        <v>625</v>
      </c>
      <c r="AB86" s="64"/>
      <c r="AD86" s="115" t="str">
        <f>IF(X284="","",X284)</f>
        <v/>
      </c>
      <c r="AH86"/>
      <c r="AI86"/>
      <c r="AJ86"/>
      <c r="AK86"/>
      <c r="AL86"/>
      <c r="AM86"/>
      <c r="AN86"/>
      <c r="AO86"/>
      <c r="AP86"/>
      <c r="AQ86"/>
      <c r="AR86"/>
    </row>
    <row r="87" spans="1:44" ht="14.1" customHeight="1">
      <c r="A87" s="16">
        <v>15</v>
      </c>
      <c r="B87" s="66"/>
      <c r="C87" s="67" t="s">
        <v>150</v>
      </c>
      <c r="D87" s="67"/>
      <c r="E87" s="67" t="s">
        <v>131</v>
      </c>
      <c r="F87" s="67"/>
      <c r="G87" s="67"/>
      <c r="H87" s="67"/>
      <c r="I87" s="67"/>
      <c r="J87" s="67"/>
      <c r="K87" s="67"/>
      <c r="L87" s="146" t="str">
        <f t="shared" si="12"/>
        <v>TBD</v>
      </c>
      <c r="M87" s="103" t="str">
        <f t="shared" si="13"/>
        <v/>
      </c>
      <c r="O87" s="95"/>
      <c r="P87" s="20" t="s">
        <v>123</v>
      </c>
      <c r="Y87" s="31"/>
      <c r="AA87" s="34" t="s">
        <v>626</v>
      </c>
      <c r="AB87" s="64"/>
      <c r="AD87" s="115" t="str">
        <f>IF(X295="","",X295)</f>
        <v/>
      </c>
      <c r="AH87"/>
      <c r="AI87"/>
      <c r="AJ87"/>
      <c r="AK87"/>
      <c r="AL87"/>
      <c r="AM87"/>
      <c r="AN87"/>
      <c r="AO87"/>
      <c r="AP87"/>
      <c r="AQ87"/>
      <c r="AR87"/>
    </row>
    <row r="88" spans="1:44" ht="14.1" customHeight="1">
      <c r="A88" s="16">
        <v>16</v>
      </c>
      <c r="B88" s="66"/>
      <c r="C88" s="67" t="s">
        <v>152</v>
      </c>
      <c r="D88" s="67"/>
      <c r="E88" s="67" t="s">
        <v>134</v>
      </c>
      <c r="F88" s="67"/>
      <c r="G88" s="67"/>
      <c r="H88" s="67"/>
      <c r="I88" s="67"/>
      <c r="J88" s="67"/>
      <c r="K88" s="67"/>
      <c r="L88" s="146" t="str">
        <f t="shared" si="12"/>
        <v>TBD</v>
      </c>
      <c r="M88" s="103" t="str">
        <f t="shared" si="13"/>
        <v/>
      </c>
      <c r="O88" s="95"/>
      <c r="P88" s="20" t="s">
        <v>126</v>
      </c>
      <c r="Y88" s="31"/>
      <c r="AA88" s="34" t="s">
        <v>512</v>
      </c>
      <c r="AB88" s="64"/>
      <c r="AD88" s="116" t="str">
        <f>IF(S399="","",S399)</f>
        <v/>
      </c>
      <c r="AH88"/>
      <c r="AI88"/>
      <c r="AJ88"/>
      <c r="AK88"/>
      <c r="AL88"/>
      <c r="AM88"/>
      <c r="AN88"/>
      <c r="AO88"/>
      <c r="AP88"/>
      <c r="AQ88"/>
      <c r="AR88"/>
    </row>
    <row r="89" spans="1:44" ht="14.1" customHeight="1">
      <c r="A89" s="16">
        <v>17</v>
      </c>
      <c r="B89" s="66"/>
      <c r="C89" s="325"/>
      <c r="D89" s="67"/>
      <c r="E89" s="67" t="s">
        <v>136</v>
      </c>
      <c r="F89" s="67"/>
      <c r="G89" s="67"/>
      <c r="H89" s="67"/>
      <c r="I89" s="67"/>
      <c r="J89" s="67"/>
      <c r="K89" s="67"/>
      <c r="L89" s="146" t="str">
        <f t="shared" si="12"/>
        <v>TBD</v>
      </c>
      <c r="M89" s="103" t="str">
        <f t="shared" si="13"/>
        <v/>
      </c>
      <c r="O89" s="95"/>
      <c r="P89" s="20" t="s">
        <v>129</v>
      </c>
      <c r="Y89" s="31"/>
      <c r="AA89" s="34" t="s">
        <v>513</v>
      </c>
      <c r="AB89" s="64"/>
      <c r="AD89" s="115" t="str">
        <f>IF(T399="","",T399)</f>
        <v/>
      </c>
      <c r="AH89"/>
      <c r="AI89"/>
      <c r="AJ89"/>
      <c r="AK89"/>
      <c r="AL89"/>
      <c r="AM89"/>
      <c r="AN89"/>
      <c r="AO89"/>
      <c r="AP89"/>
      <c r="AQ89"/>
      <c r="AR89"/>
    </row>
    <row r="90" spans="1:44" ht="14.1" customHeight="1">
      <c r="A90" s="16">
        <v>18</v>
      </c>
      <c r="B90" s="66"/>
      <c r="C90" s="67" t="s">
        <v>155</v>
      </c>
      <c r="D90" s="67"/>
      <c r="E90" s="67" t="s">
        <v>139</v>
      </c>
      <c r="F90" s="67"/>
      <c r="G90" s="67"/>
      <c r="H90" s="67"/>
      <c r="I90" s="67"/>
      <c r="J90" s="67"/>
      <c r="K90" s="67"/>
      <c r="L90" s="146" t="str">
        <f t="shared" si="12"/>
        <v>TBD</v>
      </c>
      <c r="M90" s="103" t="str">
        <f t="shared" si="13"/>
        <v/>
      </c>
      <c r="O90" s="95"/>
      <c r="P90" s="20" t="s">
        <v>131</v>
      </c>
      <c r="Y90" s="31"/>
      <c r="AA90" s="34" t="s">
        <v>514</v>
      </c>
      <c r="AB90" s="64"/>
      <c r="AD90" s="116" t="str">
        <f>IF(X399="","",X399)</f>
        <v/>
      </c>
      <c r="AH90"/>
      <c r="AI90"/>
      <c r="AJ90"/>
      <c r="AK90"/>
      <c r="AL90"/>
      <c r="AM90"/>
      <c r="AN90"/>
      <c r="AO90"/>
      <c r="AP90"/>
      <c r="AQ90"/>
      <c r="AR90"/>
    </row>
    <row r="91" spans="1:44" ht="14.1" customHeight="1">
      <c r="A91" s="16">
        <v>19</v>
      </c>
      <c r="B91" s="66"/>
      <c r="C91" s="67" t="s">
        <v>157</v>
      </c>
      <c r="D91" s="67"/>
      <c r="E91" s="67" t="s">
        <v>141</v>
      </c>
      <c r="F91" s="67"/>
      <c r="G91" s="67"/>
      <c r="H91" s="67"/>
      <c r="I91" s="67"/>
      <c r="J91" s="67"/>
      <c r="K91" s="67"/>
      <c r="L91" s="146" t="str">
        <f t="shared" si="12"/>
        <v>TBD</v>
      </c>
      <c r="M91" s="103" t="str">
        <f t="shared" si="13"/>
        <v/>
      </c>
      <c r="O91" s="95"/>
      <c r="P91" s="20" t="s">
        <v>134</v>
      </c>
      <c r="Y91" s="31"/>
      <c r="AA91" s="34" t="s">
        <v>515</v>
      </c>
      <c r="AB91" s="64"/>
      <c r="AD91" s="115" t="str">
        <f>IF(Y399="","",Y399)</f>
        <v/>
      </c>
      <c r="AH91"/>
      <c r="AI91"/>
      <c r="AJ91"/>
      <c r="AK91"/>
      <c r="AL91"/>
      <c r="AM91"/>
      <c r="AN91"/>
      <c r="AO91"/>
      <c r="AP91"/>
      <c r="AQ91"/>
      <c r="AR91"/>
    </row>
    <row r="92" spans="1:44" ht="14.1" customHeight="1">
      <c r="A92" s="16">
        <v>20</v>
      </c>
      <c r="B92" s="66"/>
      <c r="C92" s="67" t="s">
        <v>160</v>
      </c>
      <c r="D92" s="67"/>
      <c r="E92" s="67" t="s">
        <v>144</v>
      </c>
      <c r="F92" s="67"/>
      <c r="G92" s="67"/>
      <c r="H92" s="67"/>
      <c r="I92" s="67"/>
      <c r="J92" s="67"/>
      <c r="K92" s="67"/>
      <c r="L92" s="146" t="str">
        <f t="shared" si="12"/>
        <v>TBD</v>
      </c>
      <c r="M92" s="103" t="str">
        <f t="shared" si="13"/>
        <v/>
      </c>
      <c r="O92" s="95"/>
      <c r="P92" s="20" t="s">
        <v>136</v>
      </c>
      <c r="Y92" s="31"/>
      <c r="AA92" s="74" t="s">
        <v>168</v>
      </c>
      <c r="AH92"/>
      <c r="AI92"/>
      <c r="AJ92"/>
      <c r="AK92"/>
      <c r="AL92"/>
      <c r="AM92"/>
      <c r="AN92"/>
      <c r="AO92"/>
      <c r="AP92"/>
      <c r="AQ92"/>
      <c r="AR92"/>
    </row>
    <row r="93" spans="1:44" ht="14.1" customHeight="1">
      <c r="A93" s="16">
        <v>21</v>
      </c>
      <c r="B93" s="66"/>
      <c r="C93" s="67" t="s">
        <v>162</v>
      </c>
      <c r="D93" s="67"/>
      <c r="E93" s="67" t="s">
        <v>163</v>
      </c>
      <c r="F93" s="67"/>
      <c r="G93" s="67"/>
      <c r="H93" s="67"/>
      <c r="I93" s="67"/>
      <c r="J93" s="67"/>
      <c r="K93" s="67"/>
      <c r="L93" s="146" t="str">
        <f t="shared" si="12"/>
        <v>TBD</v>
      </c>
      <c r="M93" s="103" t="str">
        <f t="shared" si="13"/>
        <v/>
      </c>
      <c r="O93" s="95"/>
      <c r="P93" s="20" t="s">
        <v>139</v>
      </c>
      <c r="Y93" s="31"/>
      <c r="AA93" s="34" t="s">
        <v>171</v>
      </c>
      <c r="AB93" s="64"/>
      <c r="AD93" s="65" t="str">
        <f t="shared" ref="AD93:AD98" si="14">IF(Q432="","",Q432)</f>
        <v/>
      </c>
      <c r="AH93"/>
      <c r="AI93"/>
      <c r="AJ93"/>
      <c r="AK93"/>
      <c r="AL93"/>
      <c r="AM93"/>
      <c r="AN93"/>
      <c r="AO93"/>
      <c r="AP93"/>
      <c r="AQ93"/>
      <c r="AR93"/>
    </row>
    <row r="94" spans="1:44" ht="14.1" customHeight="1">
      <c r="A94" s="16">
        <v>22</v>
      </c>
      <c r="B94" s="66"/>
      <c r="C94" s="67" t="s">
        <v>165</v>
      </c>
      <c r="D94" s="67"/>
      <c r="E94" s="67" t="s">
        <v>166</v>
      </c>
      <c r="F94" s="67"/>
      <c r="G94" s="67"/>
      <c r="H94" s="67"/>
      <c r="I94" s="67"/>
      <c r="J94" s="67"/>
      <c r="K94" s="67"/>
      <c r="L94" s="146" t="str">
        <f t="shared" si="12"/>
        <v>TBD</v>
      </c>
      <c r="M94" s="103" t="str">
        <f t="shared" si="13"/>
        <v/>
      </c>
      <c r="O94" s="95"/>
      <c r="P94" s="20" t="s">
        <v>141</v>
      </c>
      <c r="Y94" s="31"/>
      <c r="AA94" s="34" t="s">
        <v>174</v>
      </c>
      <c r="AB94" s="64"/>
      <c r="AD94" s="65" t="str">
        <f t="shared" si="14"/>
        <v/>
      </c>
      <c r="AH94"/>
      <c r="AI94"/>
      <c r="AJ94"/>
      <c r="AK94"/>
      <c r="AL94"/>
      <c r="AM94"/>
      <c r="AN94"/>
      <c r="AO94"/>
      <c r="AP94"/>
      <c r="AQ94"/>
      <c r="AR94"/>
    </row>
    <row r="95" spans="1:44" ht="14.1" customHeight="1">
      <c r="A95" s="16">
        <v>23</v>
      </c>
      <c r="B95" s="66"/>
      <c r="C95" s="67" t="s">
        <v>169</v>
      </c>
      <c r="D95" s="67"/>
      <c r="E95" s="67" t="s">
        <v>149</v>
      </c>
      <c r="F95" s="67"/>
      <c r="G95" s="67"/>
      <c r="H95" s="67"/>
      <c r="I95" s="67"/>
      <c r="J95" s="67"/>
      <c r="K95" s="67"/>
      <c r="L95" s="146" t="str">
        <f t="shared" si="12"/>
        <v>TBD</v>
      </c>
      <c r="M95" s="103" t="str">
        <f t="shared" si="13"/>
        <v/>
      </c>
      <c r="O95" s="95"/>
      <c r="P95" s="20" t="s">
        <v>144</v>
      </c>
      <c r="Y95" s="31"/>
      <c r="AA95" s="34" t="s">
        <v>177</v>
      </c>
      <c r="AB95" s="64"/>
      <c r="AD95" s="65" t="str">
        <f t="shared" si="14"/>
        <v/>
      </c>
      <c r="AH95"/>
      <c r="AI95"/>
      <c r="AJ95"/>
      <c r="AK95"/>
      <c r="AL95"/>
      <c r="AM95"/>
      <c r="AN95"/>
      <c r="AO95"/>
      <c r="AP95"/>
      <c r="AQ95"/>
      <c r="AR95"/>
    </row>
    <row r="96" spans="1:44" ht="14.1" customHeight="1">
      <c r="A96" s="16">
        <v>24</v>
      </c>
      <c r="B96" s="66"/>
      <c r="C96" s="67" t="s">
        <v>172</v>
      </c>
      <c r="D96" s="67"/>
      <c r="E96" s="67" t="s">
        <v>151</v>
      </c>
      <c r="F96" s="67"/>
      <c r="G96" s="67"/>
      <c r="H96" s="67"/>
      <c r="I96" s="67"/>
      <c r="J96" s="67"/>
      <c r="K96" s="67"/>
      <c r="L96" s="146" t="str">
        <f t="shared" si="12"/>
        <v>TBD</v>
      </c>
      <c r="M96" s="103" t="str">
        <f t="shared" si="13"/>
        <v/>
      </c>
      <c r="O96" s="95"/>
      <c r="P96" s="20" t="s">
        <v>146</v>
      </c>
      <c r="Y96" s="31"/>
      <c r="AA96" s="34" t="s">
        <v>180</v>
      </c>
      <c r="AB96" s="64"/>
      <c r="AD96" s="65" t="str">
        <f t="shared" si="14"/>
        <v/>
      </c>
      <c r="AH96"/>
      <c r="AI96"/>
      <c r="AJ96"/>
      <c r="AK96"/>
      <c r="AL96"/>
      <c r="AM96"/>
      <c r="AN96"/>
      <c r="AO96"/>
      <c r="AP96"/>
      <c r="AQ96"/>
      <c r="AR96"/>
    </row>
    <row r="97" spans="1:44" ht="14.1" customHeight="1">
      <c r="A97" s="16">
        <v>25</v>
      </c>
      <c r="B97" s="66"/>
      <c r="C97" s="67" t="s">
        <v>175</v>
      </c>
      <c r="D97" s="67"/>
      <c r="E97" s="67" t="s">
        <v>153</v>
      </c>
      <c r="F97" s="67"/>
      <c r="G97" s="67"/>
      <c r="H97" s="67"/>
      <c r="I97" s="67"/>
      <c r="J97" s="67"/>
      <c r="K97" s="67"/>
      <c r="L97" s="146" t="str">
        <f t="shared" si="12"/>
        <v>TBD</v>
      </c>
      <c r="M97" s="103" t="str">
        <f t="shared" si="13"/>
        <v/>
      </c>
      <c r="O97" s="95"/>
      <c r="P97" s="20" t="s">
        <v>148</v>
      </c>
      <c r="Y97" s="31"/>
      <c r="AA97" s="34" t="s">
        <v>182</v>
      </c>
      <c r="AB97" s="64"/>
      <c r="AD97" s="65" t="str">
        <f t="shared" si="14"/>
        <v/>
      </c>
      <c r="AH97"/>
      <c r="AI97"/>
      <c r="AJ97"/>
      <c r="AK97"/>
      <c r="AL97"/>
      <c r="AM97"/>
      <c r="AN97"/>
      <c r="AO97"/>
      <c r="AP97"/>
      <c r="AQ97"/>
      <c r="AR97"/>
    </row>
    <row r="98" spans="1:44" ht="14.1" customHeight="1">
      <c r="A98" s="16">
        <v>26</v>
      </c>
      <c r="B98" s="66"/>
      <c r="C98" s="67" t="s">
        <v>178</v>
      </c>
      <c r="D98" s="67"/>
      <c r="E98" s="67" t="s">
        <v>154</v>
      </c>
      <c r="F98" s="67"/>
      <c r="G98" s="67"/>
      <c r="H98" s="67"/>
      <c r="I98" s="67"/>
      <c r="J98" s="67"/>
      <c r="K98" s="67"/>
      <c r="L98" s="146" t="str">
        <f t="shared" si="12"/>
        <v>TBD</v>
      </c>
      <c r="M98" s="103" t="str">
        <f t="shared" si="13"/>
        <v/>
      </c>
      <c r="O98" s="95"/>
      <c r="P98" s="20" t="s">
        <v>149</v>
      </c>
      <c r="Y98" s="31"/>
      <c r="AA98" s="34" t="s">
        <v>183</v>
      </c>
      <c r="AB98" s="64"/>
      <c r="AD98" s="65" t="str">
        <f t="shared" si="14"/>
        <v/>
      </c>
      <c r="AH98"/>
      <c r="AI98"/>
      <c r="AJ98"/>
      <c r="AK98"/>
      <c r="AL98"/>
      <c r="AM98"/>
      <c r="AN98"/>
      <c r="AO98"/>
      <c r="AP98"/>
      <c r="AQ98"/>
      <c r="AR98"/>
    </row>
    <row r="99" spans="1:44" ht="14.1" customHeight="1">
      <c r="A99" s="16">
        <v>27</v>
      </c>
      <c r="B99" s="66"/>
      <c r="C99" s="67" t="s">
        <v>181</v>
      </c>
      <c r="D99" s="67"/>
      <c r="E99" s="67" t="s">
        <v>156</v>
      </c>
      <c r="F99" s="67"/>
      <c r="G99" s="67"/>
      <c r="H99" s="67"/>
      <c r="I99" s="67"/>
      <c r="J99" s="67"/>
      <c r="K99" s="67"/>
      <c r="L99" s="146" t="str">
        <f t="shared" si="12"/>
        <v>NA</v>
      </c>
      <c r="M99" s="103" t="str">
        <f t="shared" si="13"/>
        <v/>
      </c>
      <c r="O99" s="95"/>
      <c r="P99" s="20" t="s">
        <v>151</v>
      </c>
      <c r="Y99" s="31"/>
      <c r="AA99" s="34" t="s">
        <v>185</v>
      </c>
      <c r="AB99" s="64"/>
      <c r="AD99" s="65" t="str">
        <f>IF(U432="","",U432)</f>
        <v/>
      </c>
      <c r="AH99"/>
      <c r="AI99"/>
      <c r="AJ99"/>
      <c r="AK99"/>
      <c r="AL99"/>
      <c r="AM99"/>
      <c r="AN99"/>
      <c r="AO99"/>
      <c r="AP99"/>
      <c r="AQ99"/>
      <c r="AR99"/>
    </row>
    <row r="100" spans="1:44" ht="14.1" customHeight="1">
      <c r="A100" s="16">
        <v>28</v>
      </c>
      <c r="B100" s="66"/>
      <c r="C100" s="325"/>
      <c r="D100" s="67"/>
      <c r="E100" s="67" t="s">
        <v>158</v>
      </c>
      <c r="F100" s="67"/>
      <c r="G100" s="67"/>
      <c r="H100" s="67"/>
      <c r="I100" s="67"/>
      <c r="J100" s="67"/>
      <c r="K100" s="67"/>
      <c r="L100" s="146" t="str">
        <f t="shared" si="12"/>
        <v>NA</v>
      </c>
      <c r="M100" s="103" t="str">
        <f t="shared" si="13"/>
        <v/>
      </c>
      <c r="O100" s="95"/>
      <c r="P100" s="20" t="s">
        <v>153</v>
      </c>
      <c r="Y100" s="31"/>
      <c r="AA100" s="34" t="s">
        <v>187</v>
      </c>
      <c r="AB100" s="64"/>
      <c r="AD100" s="65" t="str">
        <f>IF(U433="","",U433)</f>
        <v/>
      </c>
      <c r="AH100"/>
      <c r="AI100"/>
      <c r="AJ100"/>
      <c r="AK100"/>
      <c r="AL100"/>
      <c r="AM100"/>
      <c r="AN100"/>
      <c r="AO100"/>
      <c r="AP100"/>
      <c r="AQ100"/>
      <c r="AR100"/>
    </row>
    <row r="101" spans="1:44" ht="14.1" customHeight="1">
      <c r="A101" s="16">
        <v>29</v>
      </c>
      <c r="B101" s="66"/>
      <c r="C101" s="67"/>
      <c r="D101" s="67"/>
      <c r="E101" s="67" t="s">
        <v>161</v>
      </c>
      <c r="F101" s="67"/>
      <c r="G101" s="67"/>
      <c r="H101" s="67"/>
      <c r="I101" s="67"/>
      <c r="J101" s="67"/>
      <c r="K101" s="67"/>
      <c r="L101" s="146" t="str">
        <f t="shared" si="12"/>
        <v>NA</v>
      </c>
      <c r="M101" s="103" t="str">
        <f t="shared" si="13"/>
        <v/>
      </c>
      <c r="O101" s="95"/>
      <c r="P101" s="20" t="s">
        <v>154</v>
      </c>
      <c r="Y101" s="31"/>
      <c r="AA101" s="34" t="s">
        <v>189</v>
      </c>
      <c r="AB101" s="64"/>
      <c r="AD101" s="65" t="str">
        <f>IF(U434="","",U434)</f>
        <v/>
      </c>
      <c r="AH101"/>
      <c r="AI101"/>
      <c r="AJ101"/>
      <c r="AK101"/>
      <c r="AL101"/>
      <c r="AM101"/>
      <c r="AN101"/>
      <c r="AO101"/>
      <c r="AP101"/>
      <c r="AQ101"/>
      <c r="AR101"/>
    </row>
    <row r="102" spans="1:44" ht="14.1" customHeight="1">
      <c r="A102" s="16">
        <v>30</v>
      </c>
      <c r="B102" s="66"/>
      <c r="C102" s="67" t="s">
        <v>186</v>
      </c>
      <c r="D102" s="67"/>
      <c r="E102" s="67" t="s">
        <v>164</v>
      </c>
      <c r="F102" s="67"/>
      <c r="G102" s="67"/>
      <c r="H102" s="67"/>
      <c r="I102" s="67"/>
      <c r="J102" s="67"/>
      <c r="K102" s="67"/>
      <c r="L102" s="146" t="str">
        <f t="shared" si="12"/>
        <v>NA</v>
      </c>
      <c r="M102" s="103" t="str">
        <f t="shared" si="13"/>
        <v/>
      </c>
      <c r="O102" s="95">
        <v>3</v>
      </c>
      <c r="P102" s="20" t="s">
        <v>156</v>
      </c>
      <c r="Y102" s="31"/>
      <c r="AA102" s="74" t="s">
        <v>192</v>
      </c>
      <c r="AH102"/>
      <c r="AI102"/>
      <c r="AJ102"/>
      <c r="AK102"/>
      <c r="AL102"/>
      <c r="AM102"/>
      <c r="AN102"/>
      <c r="AO102"/>
      <c r="AP102"/>
      <c r="AQ102"/>
      <c r="AR102"/>
    </row>
    <row r="103" spans="1:44" ht="14.1" customHeight="1">
      <c r="A103" s="16">
        <v>31</v>
      </c>
      <c r="B103" s="66"/>
      <c r="C103" s="67" t="s">
        <v>188</v>
      </c>
      <c r="D103" s="67"/>
      <c r="E103" s="67" t="s">
        <v>167</v>
      </c>
      <c r="F103" s="67"/>
      <c r="G103" s="67"/>
      <c r="H103" s="67"/>
      <c r="I103" s="67"/>
      <c r="J103" s="67"/>
      <c r="K103" s="67"/>
      <c r="L103" s="146" t="str">
        <f t="shared" si="12"/>
        <v>NA</v>
      </c>
      <c r="M103" s="103" t="str">
        <f t="shared" si="13"/>
        <v/>
      </c>
      <c r="O103" s="95">
        <v>3</v>
      </c>
      <c r="P103" s="20" t="s">
        <v>158</v>
      </c>
      <c r="Y103" s="31"/>
      <c r="AA103" s="34" t="s">
        <v>93</v>
      </c>
      <c r="AB103" s="64"/>
      <c r="AD103" s="65" t="str">
        <f t="shared" ref="AD103:AD108" si="15">IF(Q448="","",Q448)</f>
        <v/>
      </c>
      <c r="AH103"/>
      <c r="AI103"/>
      <c r="AJ103"/>
      <c r="AK103"/>
      <c r="AL103"/>
      <c r="AM103"/>
      <c r="AN103"/>
      <c r="AO103"/>
      <c r="AP103"/>
      <c r="AQ103"/>
      <c r="AR103"/>
    </row>
    <row r="104" spans="1:44" ht="14.1" customHeight="1">
      <c r="A104" s="16">
        <v>32</v>
      </c>
      <c r="B104" s="66"/>
      <c r="C104" s="67" t="s">
        <v>190</v>
      </c>
      <c r="D104" s="67"/>
      <c r="E104" s="67" t="s">
        <v>191</v>
      </c>
      <c r="F104" s="67"/>
      <c r="G104" s="67"/>
      <c r="H104" s="67"/>
      <c r="I104" s="67"/>
      <c r="J104" s="67"/>
      <c r="K104" s="67"/>
      <c r="L104" s="146" t="str">
        <f t="shared" si="12"/>
        <v>NA</v>
      </c>
      <c r="M104" s="103" t="str">
        <f t="shared" si="13"/>
        <v/>
      </c>
      <c r="O104" s="95">
        <v>3</v>
      </c>
      <c r="P104" s="20" t="s">
        <v>161</v>
      </c>
      <c r="Y104" s="31"/>
      <c r="AA104" s="34" t="s">
        <v>171</v>
      </c>
      <c r="AB104" s="64"/>
      <c r="AD104" s="65" t="str">
        <f t="shared" si="15"/>
        <v/>
      </c>
      <c r="AH104"/>
      <c r="AI104"/>
      <c r="AJ104"/>
      <c r="AK104"/>
      <c r="AL104"/>
      <c r="AM104"/>
      <c r="AN104"/>
      <c r="AO104"/>
      <c r="AP104"/>
      <c r="AQ104"/>
      <c r="AR104"/>
    </row>
    <row r="105" spans="1:44" ht="14.1" customHeight="1">
      <c r="A105" s="16">
        <v>33</v>
      </c>
      <c r="B105" s="66"/>
      <c r="C105" s="67" t="s">
        <v>193</v>
      </c>
      <c r="D105" s="67"/>
      <c r="E105" s="67" t="s">
        <v>173</v>
      </c>
      <c r="F105" s="67"/>
      <c r="G105" s="67"/>
      <c r="H105" s="67"/>
      <c r="I105" s="67"/>
      <c r="J105" s="67"/>
      <c r="K105" s="67"/>
      <c r="L105" s="146" t="str">
        <f t="shared" si="12"/>
        <v>NA</v>
      </c>
      <c r="M105" s="103" t="str">
        <f t="shared" si="13"/>
        <v/>
      </c>
      <c r="O105" s="95">
        <v>3</v>
      </c>
      <c r="P105" s="20" t="s">
        <v>164</v>
      </c>
      <c r="Y105" s="31"/>
      <c r="AA105" s="34" t="s">
        <v>174</v>
      </c>
      <c r="AB105" s="64"/>
      <c r="AD105" s="65" t="str">
        <f t="shared" si="15"/>
        <v/>
      </c>
      <c r="AH105"/>
      <c r="AI105"/>
      <c r="AJ105"/>
      <c r="AK105"/>
      <c r="AL105"/>
      <c r="AM105"/>
      <c r="AN105"/>
      <c r="AO105"/>
      <c r="AP105"/>
      <c r="AQ105"/>
      <c r="AR105"/>
    </row>
    <row r="106" spans="1:44" ht="14.1" customHeight="1">
      <c r="A106" s="16">
        <v>34</v>
      </c>
      <c r="B106" s="66"/>
      <c r="C106" s="67" t="s">
        <v>194</v>
      </c>
      <c r="D106" s="67"/>
      <c r="E106" s="67" t="s">
        <v>176</v>
      </c>
      <c r="F106" s="67"/>
      <c r="G106" s="67"/>
      <c r="H106" s="67"/>
      <c r="I106" s="67"/>
      <c r="J106" s="67"/>
      <c r="K106" s="67"/>
      <c r="L106" s="146" t="str">
        <f t="shared" si="12"/>
        <v>TBD</v>
      </c>
      <c r="M106" s="103" t="str">
        <f t="shared" si="13"/>
        <v/>
      </c>
      <c r="O106" s="95">
        <v>3</v>
      </c>
      <c r="P106" s="20" t="s">
        <v>167</v>
      </c>
      <c r="Y106" s="31"/>
      <c r="AA106" s="34" t="s">
        <v>185</v>
      </c>
      <c r="AB106" s="64"/>
      <c r="AD106" s="65" t="str">
        <f t="shared" si="15"/>
        <v/>
      </c>
      <c r="AH106"/>
      <c r="AI106"/>
      <c r="AJ106"/>
      <c r="AK106"/>
      <c r="AL106"/>
      <c r="AM106"/>
      <c r="AN106"/>
      <c r="AO106"/>
      <c r="AP106"/>
      <c r="AQ106"/>
      <c r="AR106"/>
    </row>
    <row r="107" spans="1:44" ht="14.1" customHeight="1">
      <c r="A107" s="16">
        <v>35</v>
      </c>
      <c r="B107" s="66"/>
      <c r="C107" s="67" t="s">
        <v>195</v>
      </c>
      <c r="D107" s="67"/>
      <c r="E107" s="67" t="s">
        <v>179</v>
      </c>
      <c r="F107" s="67"/>
      <c r="G107" s="67"/>
      <c r="H107" s="67"/>
      <c r="I107" s="67"/>
      <c r="J107" s="67"/>
      <c r="K107" s="67"/>
      <c r="L107" s="146" t="str">
        <f t="shared" si="12"/>
        <v>TBD</v>
      </c>
      <c r="M107" s="103" t="str">
        <f t="shared" si="13"/>
        <v/>
      </c>
      <c r="O107" s="95">
        <v>3</v>
      </c>
      <c r="P107" s="20" t="s">
        <v>170</v>
      </c>
      <c r="Y107" s="31"/>
      <c r="AA107" s="34" t="s">
        <v>187</v>
      </c>
      <c r="AB107" s="64"/>
      <c r="AD107" s="65" t="str">
        <f t="shared" si="15"/>
        <v/>
      </c>
      <c r="AH107"/>
      <c r="AI107"/>
      <c r="AJ107"/>
      <c r="AK107"/>
      <c r="AL107"/>
      <c r="AM107"/>
      <c r="AN107"/>
      <c r="AO107"/>
      <c r="AP107"/>
      <c r="AQ107"/>
      <c r="AR107"/>
    </row>
    <row r="108" spans="1:44" ht="14.1" customHeight="1">
      <c r="A108" s="16">
        <v>36</v>
      </c>
      <c r="B108" s="66"/>
      <c r="C108" s="67"/>
      <c r="D108" s="67"/>
      <c r="E108" s="67"/>
      <c r="F108" s="67"/>
      <c r="G108" s="67"/>
      <c r="H108" s="67"/>
      <c r="I108" s="67"/>
      <c r="J108" s="67"/>
      <c r="K108" s="67"/>
      <c r="L108" s="67"/>
      <c r="M108" s="68"/>
      <c r="O108" s="95">
        <v>3</v>
      </c>
      <c r="P108" s="20" t="s">
        <v>173</v>
      </c>
      <c r="Y108" s="31"/>
      <c r="AA108" s="34" t="s">
        <v>189</v>
      </c>
      <c r="AB108" s="64"/>
      <c r="AD108" s="65" t="str">
        <f t="shared" si="15"/>
        <v/>
      </c>
      <c r="AH108"/>
      <c r="AI108"/>
      <c r="AJ108"/>
      <c r="AK108"/>
      <c r="AL108"/>
      <c r="AM108"/>
      <c r="AN108"/>
      <c r="AO108"/>
      <c r="AP108"/>
      <c r="AQ108"/>
      <c r="AR108"/>
    </row>
    <row r="109" spans="1:44" ht="14.1" customHeight="1">
      <c r="A109" s="16">
        <v>37</v>
      </c>
      <c r="B109" s="66"/>
      <c r="C109" s="67"/>
      <c r="D109" s="67"/>
      <c r="E109" s="67" t="s">
        <v>494</v>
      </c>
      <c r="F109" s="67"/>
      <c r="G109" s="67"/>
      <c r="H109" s="67"/>
      <c r="I109" s="67"/>
      <c r="J109" s="67"/>
      <c r="K109" s="67"/>
      <c r="L109" s="146" t="str">
        <f t="shared" ref="L109:L125" si="16">IF(O45="","TBD",IF(O45=1,"YES",IF(O45=3,"NA","")))</f>
        <v>TBD</v>
      </c>
      <c r="M109" s="103" t="str">
        <f t="shared" ref="M109:M125" si="17">IF(O45=2,"NO","")</f>
        <v/>
      </c>
      <c r="O109" s="95"/>
      <c r="P109" s="20" t="s">
        <v>176</v>
      </c>
      <c r="Y109" s="31"/>
      <c r="AA109" s="34" t="s">
        <v>93</v>
      </c>
      <c r="AB109" s="64"/>
      <c r="AD109" s="65" t="str">
        <f t="shared" ref="AD109:AD114" si="18">IF(R448="","",R448)</f>
        <v/>
      </c>
      <c r="AH109"/>
      <c r="AI109"/>
      <c r="AJ109"/>
      <c r="AK109"/>
      <c r="AL109"/>
      <c r="AM109"/>
      <c r="AN109"/>
      <c r="AO109"/>
      <c r="AP109"/>
      <c r="AQ109"/>
      <c r="AR109"/>
    </row>
    <row r="110" spans="1:44" ht="14.1" customHeight="1">
      <c r="A110" s="16">
        <v>38</v>
      </c>
      <c r="B110" s="66"/>
      <c r="C110" s="67"/>
      <c r="D110" s="67"/>
      <c r="E110" s="67" t="s">
        <v>495</v>
      </c>
      <c r="F110" s="67"/>
      <c r="G110" s="67"/>
      <c r="H110" s="67"/>
      <c r="I110" s="67"/>
      <c r="J110" s="67"/>
      <c r="K110" s="67"/>
      <c r="L110" s="146" t="str">
        <f t="shared" si="16"/>
        <v>TBD</v>
      </c>
      <c r="M110" s="103" t="str">
        <f t="shared" si="17"/>
        <v/>
      </c>
      <c r="O110" s="95"/>
      <c r="P110" s="20" t="s">
        <v>179</v>
      </c>
      <c r="Y110" s="31"/>
      <c r="AA110" s="34" t="s">
        <v>171</v>
      </c>
      <c r="AB110" s="64"/>
      <c r="AD110" s="65" t="str">
        <f t="shared" si="18"/>
        <v/>
      </c>
      <c r="AH110"/>
      <c r="AI110"/>
      <c r="AJ110"/>
      <c r="AK110"/>
      <c r="AL110"/>
      <c r="AM110"/>
      <c r="AN110"/>
      <c r="AO110"/>
      <c r="AP110"/>
      <c r="AQ110"/>
      <c r="AR110"/>
    </row>
    <row r="111" spans="1:44" ht="14.1" customHeight="1">
      <c r="A111" s="16">
        <v>39</v>
      </c>
      <c r="B111" s="66"/>
      <c r="C111" s="67"/>
      <c r="D111" s="67"/>
      <c r="E111" s="67" t="s">
        <v>496</v>
      </c>
      <c r="F111" s="67"/>
      <c r="G111" s="67"/>
      <c r="H111" s="67"/>
      <c r="I111" s="67"/>
      <c r="J111" s="67"/>
      <c r="K111" s="67"/>
      <c r="L111" s="146" t="str">
        <f t="shared" si="16"/>
        <v>TBD</v>
      </c>
      <c r="M111" s="103" t="str">
        <f t="shared" si="17"/>
        <v/>
      </c>
      <c r="O111" s="473"/>
      <c r="T111" s="74" t="s">
        <v>522</v>
      </c>
      <c r="Y111" s="31"/>
      <c r="AA111" s="34" t="s">
        <v>174</v>
      </c>
      <c r="AB111" s="64"/>
      <c r="AD111" s="65" t="str">
        <f t="shared" si="18"/>
        <v/>
      </c>
      <c r="AH111"/>
      <c r="AI111"/>
      <c r="AJ111"/>
      <c r="AK111"/>
      <c r="AL111"/>
      <c r="AM111"/>
      <c r="AN111"/>
      <c r="AO111"/>
      <c r="AP111"/>
      <c r="AQ111"/>
      <c r="AR111"/>
    </row>
    <row r="112" spans="1:44" ht="14.1" customHeight="1">
      <c r="A112" s="16">
        <v>40</v>
      </c>
      <c r="B112" s="66"/>
      <c r="C112" s="67"/>
      <c r="D112" s="67"/>
      <c r="E112" s="67" t="s">
        <v>497</v>
      </c>
      <c r="F112" s="67"/>
      <c r="G112" s="67"/>
      <c r="H112" s="67"/>
      <c r="I112" s="67"/>
      <c r="J112" s="67"/>
      <c r="K112" s="67"/>
      <c r="L112" s="146" t="str">
        <f t="shared" si="16"/>
        <v>TBD</v>
      </c>
      <c r="M112" s="103" t="str">
        <f t="shared" si="17"/>
        <v/>
      </c>
      <c r="O112" s="95"/>
      <c r="P112" s="67" t="s">
        <v>523</v>
      </c>
      <c r="Y112" s="31"/>
      <c r="AA112" s="34" t="s">
        <v>185</v>
      </c>
      <c r="AB112" s="64"/>
      <c r="AD112" s="65" t="str">
        <f t="shared" si="18"/>
        <v/>
      </c>
      <c r="AH112"/>
      <c r="AI112"/>
      <c r="AJ112"/>
      <c r="AK112"/>
      <c r="AL112"/>
      <c r="AM112"/>
      <c r="AN112"/>
      <c r="AO112"/>
      <c r="AP112"/>
      <c r="AQ112"/>
      <c r="AR112"/>
    </row>
    <row r="113" spans="1:44" ht="14.1" customHeight="1">
      <c r="A113" s="16">
        <v>41</v>
      </c>
      <c r="B113" s="66"/>
      <c r="C113" s="67"/>
      <c r="D113" s="67"/>
      <c r="E113" s="67" t="s">
        <v>498</v>
      </c>
      <c r="F113" s="67"/>
      <c r="G113" s="67"/>
      <c r="H113" s="67"/>
      <c r="I113" s="67"/>
      <c r="J113" s="67"/>
      <c r="K113" s="67"/>
      <c r="L113" s="146" t="str">
        <f t="shared" si="16"/>
        <v>TBD</v>
      </c>
      <c r="M113" s="103" t="str">
        <f t="shared" si="17"/>
        <v/>
      </c>
      <c r="O113" s="95"/>
      <c r="P113" s="67" t="s">
        <v>524</v>
      </c>
      <c r="Y113" s="31"/>
      <c r="AA113" s="34" t="s">
        <v>187</v>
      </c>
      <c r="AB113" s="64"/>
      <c r="AD113" s="65" t="str">
        <f t="shared" si="18"/>
        <v/>
      </c>
      <c r="AH113"/>
      <c r="AI113"/>
      <c r="AJ113"/>
      <c r="AK113"/>
      <c r="AL113"/>
      <c r="AM113"/>
      <c r="AN113"/>
      <c r="AO113"/>
      <c r="AP113"/>
      <c r="AQ113"/>
      <c r="AR113"/>
    </row>
    <row r="114" spans="1:44" ht="14.1" customHeight="1">
      <c r="A114" s="16">
        <v>42</v>
      </c>
      <c r="B114" s="66"/>
      <c r="C114" s="67"/>
      <c r="D114" s="67"/>
      <c r="E114" s="67" t="s">
        <v>499</v>
      </c>
      <c r="F114" s="67"/>
      <c r="G114" s="67"/>
      <c r="H114" s="67"/>
      <c r="I114" s="67"/>
      <c r="J114" s="67"/>
      <c r="K114" s="67"/>
      <c r="L114" s="146" t="str">
        <f t="shared" si="16"/>
        <v>TBD</v>
      </c>
      <c r="M114" s="103" t="str">
        <f t="shared" si="17"/>
        <v/>
      </c>
      <c r="O114" s="95"/>
      <c r="P114" s="67" t="s">
        <v>525</v>
      </c>
      <c r="Y114" s="31"/>
      <c r="AA114" s="34" t="s">
        <v>189</v>
      </c>
      <c r="AB114" s="64"/>
      <c r="AD114" s="65" t="str">
        <f t="shared" si="18"/>
        <v/>
      </c>
      <c r="AH114"/>
      <c r="AI114"/>
      <c r="AJ114"/>
      <c r="AK114"/>
      <c r="AL114"/>
      <c r="AM114"/>
      <c r="AN114"/>
      <c r="AO114"/>
      <c r="AP114"/>
      <c r="AQ114"/>
      <c r="AR114"/>
    </row>
    <row r="115" spans="1:44" ht="14.1" customHeight="1">
      <c r="A115" s="16">
        <v>43</v>
      </c>
      <c r="B115" s="66"/>
      <c r="C115" s="67"/>
      <c r="D115" s="67"/>
      <c r="E115" s="67" t="s">
        <v>500</v>
      </c>
      <c r="F115" s="67"/>
      <c r="G115" s="67"/>
      <c r="H115" s="67"/>
      <c r="I115" s="67"/>
      <c r="J115" s="67"/>
      <c r="K115" s="67"/>
      <c r="L115" s="146" t="str">
        <f t="shared" si="16"/>
        <v>TBD</v>
      </c>
      <c r="M115" s="103" t="str">
        <f t="shared" si="17"/>
        <v/>
      </c>
      <c r="O115" s="95"/>
      <c r="P115" s="67" t="s">
        <v>526</v>
      </c>
      <c r="Y115" s="31"/>
      <c r="AA115" s="34" t="s">
        <v>93</v>
      </c>
      <c r="AB115" s="64"/>
      <c r="AD115" s="65" t="str">
        <f t="shared" ref="AD115:AD120" si="19">IF(S448="","",S448)</f>
        <v/>
      </c>
      <c r="AH115"/>
      <c r="AI115"/>
      <c r="AJ115"/>
      <c r="AK115"/>
      <c r="AL115"/>
      <c r="AM115"/>
      <c r="AN115"/>
      <c r="AO115"/>
      <c r="AP115"/>
      <c r="AQ115"/>
      <c r="AR115"/>
    </row>
    <row r="116" spans="1:44" ht="14.1" customHeight="1">
      <c r="A116" s="16">
        <v>44</v>
      </c>
      <c r="B116" s="66"/>
      <c r="C116" s="67"/>
      <c r="D116" s="67"/>
      <c r="E116" s="67" t="s">
        <v>501</v>
      </c>
      <c r="F116" s="67"/>
      <c r="G116" s="67"/>
      <c r="H116" s="67"/>
      <c r="I116" s="67"/>
      <c r="J116" s="67"/>
      <c r="K116" s="67"/>
      <c r="L116" s="146" t="str">
        <f t="shared" si="16"/>
        <v>TBD</v>
      </c>
      <c r="M116" s="103" t="str">
        <f t="shared" si="17"/>
        <v/>
      </c>
      <c r="O116" s="95"/>
      <c r="P116" s="67" t="s">
        <v>527</v>
      </c>
      <c r="Y116" s="31"/>
      <c r="AA116" s="34" t="s">
        <v>171</v>
      </c>
      <c r="AB116" s="64"/>
      <c r="AD116" s="65" t="str">
        <f t="shared" si="19"/>
        <v/>
      </c>
      <c r="AH116"/>
      <c r="AI116"/>
      <c r="AJ116"/>
      <c r="AK116"/>
      <c r="AL116"/>
      <c r="AM116"/>
      <c r="AN116"/>
      <c r="AO116"/>
      <c r="AP116"/>
      <c r="AQ116"/>
      <c r="AR116"/>
    </row>
    <row r="117" spans="1:44" ht="14.1" customHeight="1" thickBot="1">
      <c r="A117" s="16">
        <v>45</v>
      </c>
      <c r="B117" s="66"/>
      <c r="C117" s="67"/>
      <c r="D117" s="67"/>
      <c r="E117" s="67" t="s">
        <v>502</v>
      </c>
      <c r="F117" s="67"/>
      <c r="G117" s="67"/>
      <c r="H117" s="67"/>
      <c r="I117" s="67"/>
      <c r="J117" s="67"/>
      <c r="K117" s="67"/>
      <c r="L117" s="146" t="str">
        <f t="shared" si="16"/>
        <v>TBD</v>
      </c>
      <c r="M117" s="103" t="str">
        <f t="shared" si="17"/>
        <v/>
      </c>
      <c r="O117" s="39"/>
      <c r="P117" s="40"/>
      <c r="Q117" s="40"/>
      <c r="R117" s="40"/>
      <c r="S117" s="40"/>
      <c r="T117" s="40"/>
      <c r="U117" s="40"/>
      <c r="V117" s="40"/>
      <c r="W117" s="40"/>
      <c r="X117" s="40"/>
      <c r="Y117" s="41"/>
      <c r="AA117" s="34" t="s">
        <v>174</v>
      </c>
      <c r="AB117" s="64"/>
      <c r="AD117" s="65" t="str">
        <f t="shared" si="19"/>
        <v/>
      </c>
      <c r="AH117"/>
      <c r="AI117"/>
      <c r="AJ117"/>
      <c r="AK117"/>
      <c r="AL117"/>
      <c r="AM117"/>
      <c r="AN117"/>
      <c r="AO117"/>
      <c r="AP117"/>
      <c r="AQ117"/>
      <c r="AR117"/>
    </row>
    <row r="118" spans="1:44" ht="14.1" customHeight="1">
      <c r="A118" s="16">
        <v>46</v>
      </c>
      <c r="B118" s="66"/>
      <c r="C118" s="67"/>
      <c r="D118" s="67"/>
      <c r="E118" s="67" t="s">
        <v>503</v>
      </c>
      <c r="F118" s="67"/>
      <c r="G118" s="67"/>
      <c r="H118" s="67"/>
      <c r="I118" s="67"/>
      <c r="J118" s="67"/>
      <c r="K118" s="67"/>
      <c r="L118" s="146" t="str">
        <f t="shared" si="16"/>
        <v>TBD</v>
      </c>
      <c r="M118" s="103" t="str">
        <f t="shared" si="17"/>
        <v/>
      </c>
      <c r="AA118" s="34" t="s">
        <v>185</v>
      </c>
      <c r="AB118" s="64"/>
      <c r="AD118" s="65" t="str">
        <f t="shared" si="19"/>
        <v/>
      </c>
      <c r="AH118"/>
      <c r="AI118"/>
      <c r="AJ118"/>
      <c r="AK118"/>
      <c r="AL118"/>
      <c r="AM118"/>
      <c r="AN118"/>
      <c r="AO118"/>
      <c r="AP118"/>
      <c r="AQ118"/>
      <c r="AR118"/>
    </row>
    <row r="119" spans="1:44" ht="14.1" customHeight="1" thickBot="1">
      <c r="A119" s="16">
        <v>47</v>
      </c>
      <c r="B119" s="66"/>
      <c r="C119" s="67"/>
      <c r="D119" s="67"/>
      <c r="E119" s="67" t="s">
        <v>504</v>
      </c>
      <c r="F119" s="67"/>
      <c r="G119" s="67"/>
      <c r="H119" s="67"/>
      <c r="I119" s="67"/>
      <c r="J119" s="67"/>
      <c r="K119" s="67"/>
      <c r="L119" s="146" t="str">
        <f t="shared" si="16"/>
        <v>TBD</v>
      </c>
      <c r="M119" s="103" t="str">
        <f t="shared" si="17"/>
        <v/>
      </c>
      <c r="T119" s="255" t="s">
        <v>184</v>
      </c>
      <c r="AA119" s="34" t="s">
        <v>187</v>
      </c>
      <c r="AB119" s="64"/>
      <c r="AD119" s="65" t="str">
        <f t="shared" si="19"/>
        <v/>
      </c>
      <c r="AH119"/>
      <c r="AI119"/>
      <c r="AJ119"/>
      <c r="AK119"/>
      <c r="AL119"/>
      <c r="AM119"/>
      <c r="AN119"/>
      <c r="AO119"/>
      <c r="AP119"/>
      <c r="AQ119"/>
      <c r="AR119"/>
    </row>
    <row r="120" spans="1:44" ht="14.1" customHeight="1" thickBot="1">
      <c r="A120" s="16">
        <v>48</v>
      </c>
      <c r="B120" s="66"/>
      <c r="C120" s="67"/>
      <c r="D120" s="67"/>
      <c r="E120" s="67" t="s">
        <v>505</v>
      </c>
      <c r="F120" s="67"/>
      <c r="G120" s="67"/>
      <c r="H120" s="67"/>
      <c r="I120" s="67"/>
      <c r="J120" s="67"/>
      <c r="K120" s="67"/>
      <c r="L120" s="146" t="str">
        <f t="shared" si="16"/>
        <v>TBD</v>
      </c>
      <c r="M120" s="103" t="str">
        <f t="shared" si="17"/>
        <v/>
      </c>
      <c r="O120" s="61"/>
      <c r="P120" s="22"/>
      <c r="Q120" s="22"/>
      <c r="R120" s="22"/>
      <c r="S120" s="22"/>
      <c r="T120" s="22"/>
      <c r="U120" s="22"/>
      <c r="V120" s="22"/>
      <c r="W120" s="22"/>
      <c r="X120" s="22"/>
      <c r="Y120" s="23"/>
      <c r="AA120" s="34" t="s">
        <v>189</v>
      </c>
      <c r="AB120" s="64"/>
      <c r="AD120" s="65" t="str">
        <f t="shared" si="19"/>
        <v/>
      </c>
      <c r="AH120"/>
      <c r="AI120"/>
      <c r="AJ120"/>
      <c r="AK120"/>
      <c r="AL120"/>
      <c r="AM120"/>
      <c r="AN120"/>
      <c r="AO120"/>
      <c r="AP120"/>
      <c r="AQ120"/>
      <c r="AR120"/>
    </row>
    <row r="121" spans="1:44" ht="14.1" customHeight="1">
      <c r="A121" s="16">
        <v>49</v>
      </c>
      <c r="B121" s="66"/>
      <c r="C121" s="67"/>
      <c r="D121" s="67"/>
      <c r="E121" s="67" t="s">
        <v>506</v>
      </c>
      <c r="F121" s="67"/>
      <c r="G121" s="67"/>
      <c r="H121" s="67"/>
      <c r="I121" s="67"/>
      <c r="J121" s="67"/>
      <c r="K121" s="67"/>
      <c r="L121" s="146" t="str">
        <f t="shared" si="16"/>
        <v>TBD</v>
      </c>
      <c r="M121" s="103" t="str">
        <f t="shared" si="17"/>
        <v/>
      </c>
      <c r="O121" s="82" t="s">
        <v>62</v>
      </c>
      <c r="P121" s="951" t="s">
        <v>63</v>
      </c>
      <c r="Q121" s="952"/>
      <c r="R121" s="953"/>
      <c r="S121" s="951" t="s">
        <v>511</v>
      </c>
      <c r="T121" s="952"/>
      <c r="U121" s="953"/>
      <c r="V121" s="951" t="s">
        <v>65</v>
      </c>
      <c r="W121" s="952"/>
      <c r="X121" s="966"/>
      <c r="Y121" s="31"/>
      <c r="AA121" s="34" t="s">
        <v>196</v>
      </c>
      <c r="AB121" s="64"/>
      <c r="AD121" s="65" t="str">
        <f>IF(T463="","",T463)</f>
        <v/>
      </c>
      <c r="AH121"/>
      <c r="AI121"/>
      <c r="AJ121"/>
      <c r="AK121"/>
      <c r="AL121"/>
      <c r="AM121"/>
      <c r="AN121"/>
      <c r="AO121"/>
      <c r="AP121"/>
      <c r="AQ121"/>
      <c r="AR121"/>
    </row>
    <row r="122" spans="1:44" ht="14.1" customHeight="1">
      <c r="A122" s="16">
        <v>50</v>
      </c>
      <c r="B122" s="66"/>
      <c r="C122" s="67"/>
      <c r="D122" s="67"/>
      <c r="E122" s="67" t="s">
        <v>507</v>
      </c>
      <c r="F122" s="67"/>
      <c r="G122" s="67"/>
      <c r="H122" s="67"/>
      <c r="I122" s="67"/>
      <c r="J122" s="67"/>
      <c r="K122" s="67"/>
      <c r="L122" s="146" t="str">
        <f t="shared" si="16"/>
        <v>TBD</v>
      </c>
      <c r="M122" s="103" t="str">
        <f t="shared" si="17"/>
        <v/>
      </c>
      <c r="O122" s="83" t="s">
        <v>66</v>
      </c>
      <c r="P122" s="954"/>
      <c r="Q122" s="955"/>
      <c r="R122" s="956"/>
      <c r="S122" s="954"/>
      <c r="T122" s="955"/>
      <c r="U122" s="956"/>
      <c r="V122" s="954"/>
      <c r="W122" s="955"/>
      <c r="X122" s="967"/>
      <c r="Y122" s="31"/>
      <c r="AA122" s="34" t="s">
        <v>197</v>
      </c>
      <c r="AB122" s="64"/>
      <c r="AD122" s="65" t="str">
        <f>IF(T464="","",T464)</f>
        <v/>
      </c>
      <c r="AH122"/>
      <c r="AI122"/>
      <c r="AJ122"/>
      <c r="AK122"/>
      <c r="AL122"/>
      <c r="AM122"/>
      <c r="AN122"/>
      <c r="AO122"/>
      <c r="AP122"/>
      <c r="AQ122"/>
      <c r="AR122"/>
    </row>
    <row r="123" spans="1:44" ht="14.1" customHeight="1" thickBot="1">
      <c r="A123" s="16">
        <v>51</v>
      </c>
      <c r="B123" s="66"/>
      <c r="C123" s="67"/>
      <c r="D123" s="67"/>
      <c r="E123" s="67" t="s">
        <v>508</v>
      </c>
      <c r="F123" s="67"/>
      <c r="G123" s="67"/>
      <c r="H123" s="67"/>
      <c r="I123" s="67"/>
      <c r="J123" s="67"/>
      <c r="K123" s="67"/>
      <c r="L123" s="146" t="str">
        <f t="shared" si="16"/>
        <v>TBD</v>
      </c>
      <c r="M123" s="103" t="str">
        <f t="shared" si="17"/>
        <v/>
      </c>
      <c r="O123" s="83" t="s">
        <v>68</v>
      </c>
      <c r="P123" s="84" t="s">
        <v>69</v>
      </c>
      <c r="Q123" s="85" t="s">
        <v>24</v>
      </c>
      <c r="R123" s="86" t="s">
        <v>70</v>
      </c>
      <c r="S123" s="84" t="s">
        <v>69</v>
      </c>
      <c r="T123" s="85" t="s">
        <v>24</v>
      </c>
      <c r="U123" s="86" t="s">
        <v>70</v>
      </c>
      <c r="V123" s="84" t="s">
        <v>69</v>
      </c>
      <c r="W123" s="85" t="s">
        <v>24</v>
      </c>
      <c r="X123" s="86" t="s">
        <v>70</v>
      </c>
      <c r="Y123" s="31"/>
      <c r="AA123" s="74" t="s">
        <v>587</v>
      </c>
      <c r="AH123"/>
      <c r="AI123"/>
      <c r="AJ123"/>
      <c r="AK123"/>
      <c r="AL123"/>
      <c r="AM123"/>
      <c r="AN123"/>
      <c r="AO123"/>
      <c r="AP123"/>
      <c r="AQ123"/>
      <c r="AR123"/>
    </row>
    <row r="124" spans="1:44" ht="14.1" customHeight="1" thickTop="1">
      <c r="A124" s="16">
        <v>52</v>
      </c>
      <c r="B124" s="66"/>
      <c r="C124" s="67"/>
      <c r="D124" s="67"/>
      <c r="E124" s="67" t="s">
        <v>509</v>
      </c>
      <c r="F124" s="67"/>
      <c r="G124" s="67"/>
      <c r="H124" s="67"/>
      <c r="I124" s="67"/>
      <c r="J124" s="67"/>
      <c r="K124" s="67"/>
      <c r="L124" s="146" t="str">
        <f t="shared" si="16"/>
        <v>TBD</v>
      </c>
      <c r="M124" s="103" t="str">
        <f t="shared" si="17"/>
        <v/>
      </c>
      <c r="O124" s="87" t="s">
        <v>72</v>
      </c>
      <c r="P124" s="117" t="str">
        <f>IF(P132&lt;&gt;"",P132,IF(AB46="","",AB46))</f>
        <v/>
      </c>
      <c r="Q124" s="118" t="str">
        <f>IF(Q132&lt;&gt;"",Q132,IF(AB47="","",AB47))</f>
        <v/>
      </c>
      <c r="R124" s="119" t="str">
        <f>IF(R132&lt;&gt;"",R132,IF(AB48="","",AB48))</f>
        <v/>
      </c>
      <c r="S124" s="117" t="str">
        <f>IF(S132&lt;&gt;"",S132,IF(AB59="","",AB59))</f>
        <v/>
      </c>
      <c r="T124" s="118" t="str">
        <f>IF(T132&lt;&gt;"",T132,IF(AB60="","",AB60))</f>
        <v/>
      </c>
      <c r="U124" s="119" t="str">
        <f>IF(U132&lt;&gt;"",U132,IF(AB61="","",AB61))</f>
        <v/>
      </c>
      <c r="V124" s="117" t="str">
        <f>IF(V132&lt;&gt;"",V132,IF(AB72="","",AB72))</f>
        <v/>
      </c>
      <c r="W124" s="118" t="str">
        <f>IF(W132&lt;&gt;"",W132,IF(AB73="","",AB73))</f>
        <v/>
      </c>
      <c r="X124" s="119" t="str">
        <f>IF(X132&lt;&gt;"",X132,IF(AB74="","",AB74))</f>
        <v/>
      </c>
      <c r="Y124" s="31"/>
      <c r="AA124" s="34" t="s">
        <v>589</v>
      </c>
      <c r="AB124" s="64"/>
      <c r="AD124" s="65" t="str">
        <f>IF(S274="","",S274)</f>
        <v/>
      </c>
      <c r="AH124"/>
      <c r="AI124"/>
      <c r="AJ124"/>
      <c r="AK124"/>
      <c r="AL124"/>
      <c r="AM124"/>
      <c r="AN124"/>
      <c r="AO124"/>
      <c r="AP124"/>
      <c r="AQ124"/>
      <c r="AR124"/>
    </row>
    <row r="125" spans="1:44" ht="14.1" customHeight="1">
      <c r="A125" s="16">
        <v>53</v>
      </c>
      <c r="B125" s="66"/>
      <c r="C125" s="67"/>
      <c r="D125" s="67"/>
      <c r="E125" s="67" t="s">
        <v>510</v>
      </c>
      <c r="F125" s="67"/>
      <c r="G125" s="67"/>
      <c r="H125" s="67"/>
      <c r="I125" s="67"/>
      <c r="J125" s="67"/>
      <c r="K125" s="67"/>
      <c r="L125" s="146" t="str">
        <f t="shared" si="16"/>
        <v>TBD</v>
      </c>
      <c r="M125" s="103" t="str">
        <f t="shared" si="17"/>
        <v/>
      </c>
      <c r="O125" s="92" t="s">
        <v>75</v>
      </c>
      <c r="P125" s="120" t="str">
        <f>IF(P133&lt;&gt;"",P133,IF(AB49="","",AB49))</f>
        <v/>
      </c>
      <c r="Q125" s="121" t="str">
        <f>IF(Q133&lt;&gt;"",Q133,IF(AB50="","",AB50))</f>
        <v/>
      </c>
      <c r="R125" s="122" t="str">
        <f>IF(R133&lt;&gt;"",R133,IF(AB51="","",AB51))</f>
        <v/>
      </c>
      <c r="S125" s="120" t="str">
        <f>IF(S133&lt;&gt;"",S133,IF(AB60="","",AB60))</f>
        <v/>
      </c>
      <c r="T125" s="121" t="str">
        <f>IF(T133&lt;&gt;"",T133,IF(AB63="","",AB63))</f>
        <v/>
      </c>
      <c r="U125" s="122" t="str">
        <f>IF(U133&lt;&gt;"",U133,IF(AB64="","",AB64))</f>
        <v/>
      </c>
      <c r="V125" s="120" t="str">
        <f>IF(V133&lt;&gt;"",V133,IF(AB75="","",AB75))</f>
        <v/>
      </c>
      <c r="W125" s="121" t="str">
        <f>IF(W133&lt;&gt;"",W133,IF(AB76="","",AB76))</f>
        <v/>
      </c>
      <c r="X125" s="122" t="str">
        <f>IF(X133&lt;&gt;"",X133,IF(AB77="","",AB77))</f>
        <v/>
      </c>
      <c r="Y125" s="31"/>
      <c r="AA125" s="34" t="s">
        <v>590</v>
      </c>
      <c r="AB125" s="64"/>
      <c r="AD125" s="65" t="str">
        <f>IF(S275="","",S275)</f>
        <v/>
      </c>
      <c r="AH125"/>
      <c r="AI125"/>
      <c r="AJ125"/>
      <c r="AK125"/>
      <c r="AL125"/>
      <c r="AM125"/>
      <c r="AN125"/>
      <c r="AO125"/>
      <c r="AP125"/>
      <c r="AQ125"/>
      <c r="AR125"/>
    </row>
    <row r="126" spans="1:44" ht="14.1" customHeight="1">
      <c r="A126" s="16">
        <v>54</v>
      </c>
      <c r="B126" s="66"/>
      <c r="C126" s="67"/>
      <c r="D126" s="67"/>
      <c r="E126" s="67"/>
      <c r="F126" s="67"/>
      <c r="G126" s="67"/>
      <c r="H126" s="67"/>
      <c r="I126" s="67"/>
      <c r="J126" s="67"/>
      <c r="K126" s="67"/>
      <c r="L126" s="67"/>
      <c r="M126" s="68"/>
      <c r="O126" s="92" t="s">
        <v>78</v>
      </c>
      <c r="P126" s="120" t="str">
        <f>IF(P134&lt;&gt;"",P134,IF(AB52="","",AB52))</f>
        <v/>
      </c>
      <c r="Q126" s="121" t="str">
        <f>IF(Q134&lt;&gt;"",Q134,IF(AB53="","",AB53))</f>
        <v/>
      </c>
      <c r="R126" s="122" t="str">
        <f>IF(R134&lt;&gt;"",R134,IF(AB54="","",AB54))</f>
        <v/>
      </c>
      <c r="S126" s="120" t="str">
        <f>IF(S134&lt;&gt;"",S134,IF(AB61="","",AB61))</f>
        <v/>
      </c>
      <c r="T126" s="121" t="str">
        <f>IF(T134&lt;&gt;"",T134,IF(AB66="","",AB66))</f>
        <v/>
      </c>
      <c r="U126" s="122" t="str">
        <f>IF(U134&lt;&gt;"",U134,IF(AB67="","",AB67))</f>
        <v/>
      </c>
      <c r="V126" s="120" t="str">
        <f>IF(V134&lt;&gt;"",V134,IF(AB78="","",AB78))</f>
        <v/>
      </c>
      <c r="W126" s="121" t="str">
        <f>IF(W134&lt;&gt;"",W134,IF(AB79="","",AB79))</f>
        <v/>
      </c>
      <c r="X126" s="122" t="str">
        <f>IF(X134&lt;&gt;"",X134,IF(AB80="","",AB80))</f>
        <v/>
      </c>
      <c r="Y126" s="31"/>
      <c r="AA126" s="34" t="s">
        <v>591</v>
      </c>
      <c r="AB126" s="64"/>
      <c r="AD126" s="65" t="str">
        <f>IF(S276="","",S276)</f>
        <v/>
      </c>
      <c r="AH126"/>
      <c r="AI126"/>
      <c r="AJ126"/>
      <c r="AK126"/>
      <c r="AL126"/>
      <c r="AM126"/>
      <c r="AN126"/>
      <c r="AO126"/>
      <c r="AP126"/>
      <c r="AQ126"/>
      <c r="AR126"/>
    </row>
    <row r="127" spans="1:44" ht="14.1" customHeight="1" thickBot="1">
      <c r="A127" s="16">
        <v>55</v>
      </c>
      <c r="B127" s="66"/>
      <c r="C127" s="67"/>
      <c r="D127" s="67"/>
      <c r="E127" s="325"/>
      <c r="F127" s="67"/>
      <c r="G127" s="67"/>
      <c r="H127" s="474" t="s">
        <v>522</v>
      </c>
      <c r="I127" s="67"/>
      <c r="J127" s="67"/>
      <c r="K127" s="67"/>
      <c r="L127" s="67"/>
      <c r="M127" s="68"/>
      <c r="O127" s="96" t="s">
        <v>81</v>
      </c>
      <c r="P127" s="123" t="str">
        <f>IF(P135&lt;&gt;"",P135,IF(AB55="","",AB55))</f>
        <v/>
      </c>
      <c r="Q127" s="124" t="str">
        <f>IF(Q135&lt;&gt;"",Q135,IF(AB56="","",AB56))</f>
        <v/>
      </c>
      <c r="R127" s="125" t="str">
        <f>IF(R135&lt;&gt;"",R135,IF(AB57="","",AB57))</f>
        <v/>
      </c>
      <c r="S127" s="123" t="str">
        <f>IF(S135&lt;&gt;"",S135,IF(AB62="","",AB62))</f>
        <v/>
      </c>
      <c r="T127" s="124" t="str">
        <f>IF(T135&lt;&gt;"",T135,IF(AB69="","",AB69))</f>
        <v/>
      </c>
      <c r="U127" s="125" t="str">
        <f>IF(U135&lt;&gt;"",U135,IF(AB70="","",AB70))</f>
        <v/>
      </c>
      <c r="V127" s="123" t="str">
        <f>IF(V135&lt;&gt;"",V135,IF(AB81="","",AB81))</f>
        <v/>
      </c>
      <c r="W127" s="124" t="str">
        <f>IF(W135&lt;&gt;"",W135,IF(AB82="","",AB82))</f>
        <v/>
      </c>
      <c r="X127" s="125" t="str">
        <f>IF(X135&lt;&gt;"",X135,IF(AB83="","",AB83))</f>
        <v/>
      </c>
      <c r="Y127" s="31"/>
      <c r="AA127" s="34" t="s">
        <v>592</v>
      </c>
      <c r="AB127" s="64"/>
      <c r="AD127" s="65" t="str">
        <f>IF(P313="","",P313)</f>
        <v/>
      </c>
      <c r="AH127"/>
      <c r="AI127"/>
      <c r="AJ127"/>
      <c r="AK127"/>
      <c r="AL127"/>
      <c r="AM127"/>
      <c r="AN127"/>
      <c r="AO127"/>
      <c r="AP127"/>
      <c r="AQ127"/>
      <c r="AR127"/>
    </row>
    <row r="128" spans="1:44" ht="14.1" customHeight="1" thickBot="1">
      <c r="A128" s="16">
        <v>56</v>
      </c>
      <c r="B128" s="66"/>
      <c r="C128" s="67"/>
      <c r="D128" s="67"/>
      <c r="E128" s="67" t="s">
        <v>523</v>
      </c>
      <c r="F128" s="67"/>
      <c r="G128" s="67"/>
      <c r="H128" s="67"/>
      <c r="I128" s="67"/>
      <c r="J128" s="67"/>
      <c r="K128" s="67"/>
      <c r="L128" s="146" t="str">
        <f>IF(O112="","TBD",IF(O112=1,"YES",IF(O112=3,"NA","")))</f>
        <v>TBD</v>
      </c>
      <c r="M128" s="103" t="str">
        <f>IF(O112=2,"NO","")</f>
        <v/>
      </c>
      <c r="O128" s="29"/>
      <c r="Y128" s="31"/>
      <c r="AA128" s="34" t="s">
        <v>593</v>
      </c>
      <c r="AB128" s="64"/>
      <c r="AD128" s="65" t="str">
        <f>IF(Q313="","",Q313)</f>
        <v/>
      </c>
      <c r="AH128"/>
      <c r="AI128"/>
      <c r="AJ128"/>
      <c r="AK128"/>
      <c r="AL128"/>
      <c r="AM128"/>
      <c r="AN128"/>
      <c r="AO128"/>
      <c r="AP128"/>
      <c r="AQ128"/>
      <c r="AR128"/>
    </row>
    <row r="129" spans="1:44" ht="14.1" customHeight="1">
      <c r="A129" s="16">
        <v>57</v>
      </c>
      <c r="B129" s="66"/>
      <c r="C129" s="67"/>
      <c r="D129" s="67"/>
      <c r="E129" s="67" t="s">
        <v>524</v>
      </c>
      <c r="F129" s="67"/>
      <c r="G129" s="67"/>
      <c r="H129" s="67"/>
      <c r="I129" s="67"/>
      <c r="J129" s="67"/>
      <c r="K129" s="67"/>
      <c r="L129" s="146" t="str">
        <f>IF(O113="","TBD",IF(O113=1,"YES",IF(O113=3,"NA","")))</f>
        <v>TBD</v>
      </c>
      <c r="M129" s="103" t="str">
        <f>IF(O113=2,"NO","")</f>
        <v/>
      </c>
      <c r="O129" s="82" t="s">
        <v>62</v>
      </c>
      <c r="P129" s="951" t="s">
        <v>63</v>
      </c>
      <c r="Q129" s="952"/>
      <c r="R129" s="953"/>
      <c r="S129" s="951" t="s">
        <v>511</v>
      </c>
      <c r="T129" s="952"/>
      <c r="U129" s="953"/>
      <c r="V129" s="957" t="s">
        <v>65</v>
      </c>
      <c r="W129" s="958"/>
      <c r="X129" s="959"/>
      <c r="Y129" s="31"/>
      <c r="AA129" s="34" t="s">
        <v>594</v>
      </c>
      <c r="AB129" s="64"/>
      <c r="AD129" s="65" t="str">
        <f>IF(P314="","",P314)</f>
        <v/>
      </c>
      <c r="AH129"/>
      <c r="AI129"/>
      <c r="AJ129"/>
      <c r="AK129"/>
      <c r="AL129"/>
      <c r="AM129"/>
      <c r="AN129"/>
      <c r="AO129"/>
      <c r="AP129"/>
      <c r="AQ129"/>
      <c r="AR129"/>
    </row>
    <row r="130" spans="1:44" ht="14.1" customHeight="1">
      <c r="A130" s="16">
        <v>58</v>
      </c>
      <c r="B130" s="66"/>
      <c r="C130" s="67"/>
      <c r="D130" s="67"/>
      <c r="E130" s="67" t="s">
        <v>525</v>
      </c>
      <c r="F130" s="67"/>
      <c r="G130" s="67"/>
      <c r="H130" s="67"/>
      <c r="I130" s="67"/>
      <c r="J130" s="67"/>
      <c r="K130" s="67"/>
      <c r="L130" s="146" t="str">
        <f>IF(O114="","TBD",IF(O114=1,"YES",IF(O114=3,"NA","")))</f>
        <v>TBD</v>
      </c>
      <c r="M130" s="103" t="str">
        <f>IF(O114=2,"NO","")</f>
        <v/>
      </c>
      <c r="O130" s="83" t="s">
        <v>66</v>
      </c>
      <c r="P130" s="954"/>
      <c r="Q130" s="955"/>
      <c r="R130" s="956"/>
      <c r="S130" s="954"/>
      <c r="T130" s="955"/>
      <c r="U130" s="956"/>
      <c r="V130" s="960"/>
      <c r="W130" s="961"/>
      <c r="X130" s="962"/>
      <c r="Y130" s="31"/>
      <c r="AA130" s="34" t="s">
        <v>595</v>
      </c>
      <c r="AB130" s="64"/>
      <c r="AD130" s="65" t="str">
        <f>IF(Q314="","",Q314)</f>
        <v/>
      </c>
      <c r="AH130"/>
      <c r="AI130"/>
      <c r="AJ130"/>
      <c r="AK130"/>
      <c r="AL130"/>
      <c r="AM130"/>
      <c r="AN130"/>
      <c r="AO130"/>
      <c r="AP130"/>
      <c r="AQ130"/>
      <c r="AR130"/>
    </row>
    <row r="131" spans="1:44" ht="14.1" customHeight="1" thickBot="1">
      <c r="A131" s="16">
        <v>59</v>
      </c>
      <c r="B131" s="66"/>
      <c r="C131" s="67"/>
      <c r="D131" s="67"/>
      <c r="E131" s="67" t="s">
        <v>526</v>
      </c>
      <c r="F131" s="67"/>
      <c r="G131" s="67"/>
      <c r="H131" s="67"/>
      <c r="I131" s="67"/>
      <c r="J131" s="67"/>
      <c r="K131" s="67"/>
      <c r="L131" s="146" t="str">
        <f>IF(O115="","TBD",IF(O115=1,"YES",IF(O115=3,"NA","")))</f>
        <v>TBD</v>
      </c>
      <c r="M131" s="103" t="str">
        <f>IF(O115=2,"NO","")</f>
        <v/>
      </c>
      <c r="O131" s="83" t="s">
        <v>68</v>
      </c>
      <c r="P131" s="84" t="s">
        <v>69</v>
      </c>
      <c r="Q131" s="85" t="s">
        <v>24</v>
      </c>
      <c r="R131" s="86" t="s">
        <v>70</v>
      </c>
      <c r="S131" s="84" t="s">
        <v>69</v>
      </c>
      <c r="T131" s="85" t="s">
        <v>24</v>
      </c>
      <c r="U131" s="86" t="s">
        <v>70</v>
      </c>
      <c r="V131" s="84" t="s">
        <v>69</v>
      </c>
      <c r="W131" s="85" t="s">
        <v>24</v>
      </c>
      <c r="X131" s="86" t="s">
        <v>70</v>
      </c>
      <c r="Y131" s="31"/>
      <c r="AA131" s="34" t="s">
        <v>596</v>
      </c>
      <c r="AB131" s="64"/>
      <c r="AD131" s="65" t="str">
        <f>IF(P315="","",P315)</f>
        <v/>
      </c>
      <c r="AH131"/>
      <c r="AI131"/>
      <c r="AJ131"/>
      <c r="AK131"/>
      <c r="AL131"/>
      <c r="AM131"/>
      <c r="AN131"/>
      <c r="AO131"/>
      <c r="AP131"/>
      <c r="AQ131"/>
      <c r="AR131"/>
    </row>
    <row r="132" spans="1:44" ht="14.1" customHeight="1" thickTop="1">
      <c r="A132" s="16">
        <v>60</v>
      </c>
      <c r="B132" s="66"/>
      <c r="C132" s="67"/>
      <c r="D132" s="67"/>
      <c r="E132" s="67" t="s">
        <v>527</v>
      </c>
      <c r="F132" s="67"/>
      <c r="G132" s="67"/>
      <c r="H132" s="67"/>
      <c r="I132" s="67"/>
      <c r="J132" s="67"/>
      <c r="K132" s="67"/>
      <c r="L132" s="146" t="str">
        <f>IF(O116="","TBD",IF(O116=1,"YES",IF(O116=3,"NA","")))</f>
        <v>TBD</v>
      </c>
      <c r="M132" s="103" t="str">
        <f>IF(O116=2,"NO","")</f>
        <v/>
      </c>
      <c r="O132" s="87" t="s">
        <v>72</v>
      </c>
      <c r="P132" s="126"/>
      <c r="Q132" s="127"/>
      <c r="R132" s="128"/>
      <c r="S132" s="126"/>
      <c r="T132" s="127"/>
      <c r="U132" s="128"/>
      <c r="V132" s="126"/>
      <c r="W132" s="127"/>
      <c r="X132" s="128"/>
      <c r="Y132" s="31"/>
      <c r="AA132" s="34" t="s">
        <v>597</v>
      </c>
      <c r="AB132" s="64"/>
      <c r="AD132" s="65" t="str">
        <f>IF(Q315="","",Q315)</f>
        <v/>
      </c>
      <c r="AH132"/>
      <c r="AI132"/>
      <c r="AJ132"/>
      <c r="AK132"/>
      <c r="AL132"/>
      <c r="AM132"/>
      <c r="AN132"/>
      <c r="AO132"/>
      <c r="AP132"/>
      <c r="AQ132"/>
      <c r="AR132"/>
    </row>
    <row r="133" spans="1:44" ht="14.1" customHeight="1">
      <c r="A133" s="16">
        <v>61</v>
      </c>
      <c r="B133" s="66"/>
      <c r="C133" s="67"/>
      <c r="D133" s="67"/>
      <c r="E133" s="67"/>
      <c r="F133" s="67"/>
      <c r="G133" s="67"/>
      <c r="H133" s="67"/>
      <c r="I133" s="67"/>
      <c r="J133" s="67"/>
      <c r="K133" s="67"/>
      <c r="L133" s="67"/>
      <c r="M133" s="68"/>
      <c r="O133" s="92" t="s">
        <v>75</v>
      </c>
      <c r="P133" s="129"/>
      <c r="Q133" s="130"/>
      <c r="R133" s="131"/>
      <c r="S133" s="129"/>
      <c r="T133" s="130"/>
      <c r="U133" s="131"/>
      <c r="V133" s="129"/>
      <c r="W133" s="130"/>
      <c r="X133" s="131"/>
      <c r="Y133" s="31"/>
      <c r="AA133" s="20" t="s">
        <v>598</v>
      </c>
      <c r="AB133" s="64"/>
      <c r="AD133" s="65" t="str">
        <f>IF(Q349="","",Q349)</f>
        <v/>
      </c>
    </row>
    <row r="134" spans="1:44" ht="14.1" customHeight="1">
      <c r="A134" s="16">
        <v>62</v>
      </c>
      <c r="B134" s="66"/>
      <c r="C134" s="67"/>
      <c r="D134" s="67"/>
      <c r="E134" s="67"/>
      <c r="F134" s="67"/>
      <c r="G134" s="67"/>
      <c r="H134" s="474" t="s">
        <v>605</v>
      </c>
      <c r="I134" s="67"/>
      <c r="J134" s="67"/>
      <c r="K134" s="67"/>
      <c r="L134" s="67"/>
      <c r="M134" s="68"/>
      <c r="O134" s="92" t="s">
        <v>78</v>
      </c>
      <c r="P134" s="129"/>
      <c r="Q134" s="130"/>
      <c r="R134" s="131"/>
      <c r="S134" s="129"/>
      <c r="T134" s="130"/>
      <c r="U134" s="131"/>
      <c r="V134" s="129"/>
      <c r="W134" s="130"/>
      <c r="X134" s="131"/>
      <c r="Y134" s="31"/>
      <c r="AA134" s="20" t="s">
        <v>599</v>
      </c>
      <c r="AB134" s="64"/>
      <c r="AD134" s="65" t="str">
        <f>IF(Q350="","",Q350)</f>
        <v/>
      </c>
    </row>
    <row r="135" spans="1:44" ht="14.1" customHeight="1" thickBot="1">
      <c r="A135" s="16">
        <v>63</v>
      </c>
      <c r="B135" s="66"/>
      <c r="C135" s="67"/>
      <c r="D135" s="67"/>
      <c r="E135" s="67" t="s">
        <v>618</v>
      </c>
      <c r="F135" s="67"/>
      <c r="G135" s="67"/>
      <c r="H135" s="67"/>
      <c r="I135" s="67"/>
      <c r="J135" s="67"/>
      <c r="K135" s="67"/>
      <c r="L135" s="146" t="str">
        <f>IF(O34=2,"NA",IF(V274="","TBD",IF(AND(V274="Pass",V275="Pass",V276="Pass"),"YES","")))</f>
        <v>TBD</v>
      </c>
      <c r="M135" s="103" t="str">
        <f>IF(OR(V274="Fail",V275="Fail",V276="Fail"),"NO","")</f>
        <v/>
      </c>
      <c r="O135" s="96" t="s">
        <v>81</v>
      </c>
      <c r="P135" s="132"/>
      <c r="Q135" s="133"/>
      <c r="R135" s="134"/>
      <c r="S135" s="132"/>
      <c r="T135" s="133"/>
      <c r="U135" s="134"/>
      <c r="V135" s="132"/>
      <c r="W135" s="133"/>
      <c r="X135" s="134"/>
      <c r="Y135" s="41"/>
      <c r="AA135" s="20" t="s">
        <v>600</v>
      </c>
      <c r="AB135" s="64"/>
      <c r="AD135" s="65" t="str">
        <f>IF(T349="","",T349)</f>
        <v/>
      </c>
    </row>
    <row r="136" spans="1:44" ht="14.1" customHeight="1">
      <c r="A136" s="16">
        <v>64</v>
      </c>
      <c r="B136" s="66"/>
      <c r="C136" s="67"/>
      <c r="D136" s="67"/>
      <c r="E136" s="20" t="s">
        <v>619</v>
      </c>
      <c r="L136" s="146" t="str">
        <f>IF(O34=2,"NA",IF(V304="","TBD",IF(V304="Pass","YES","")))</f>
        <v>TBD</v>
      </c>
      <c r="M136" s="103" t="str">
        <f>IF(V304="Fail","NO","")</f>
        <v/>
      </c>
      <c r="O136" s="4"/>
      <c r="P136" s="4"/>
      <c r="Q136" s="4"/>
      <c r="R136" s="4"/>
      <c r="S136" s="4"/>
      <c r="T136" s="4"/>
      <c r="U136" s="4"/>
      <c r="V136" s="4"/>
      <c r="W136" s="4"/>
      <c r="X136" s="4"/>
      <c r="AA136" s="20" t="s">
        <v>601</v>
      </c>
      <c r="AB136" s="64"/>
      <c r="AD136" s="65" t="str">
        <f>IF(T350="","",T350)</f>
        <v/>
      </c>
    </row>
    <row r="137" spans="1:44" ht="14.1" customHeight="1" thickBot="1">
      <c r="A137" s="16">
        <v>65</v>
      </c>
      <c r="B137" s="66"/>
      <c r="C137" s="67"/>
      <c r="D137" s="67"/>
      <c r="E137" s="67" t="s">
        <v>606</v>
      </c>
      <c r="F137" s="67"/>
      <c r="G137" s="67"/>
      <c r="H137" s="67"/>
      <c r="I137" s="67"/>
      <c r="J137" s="67"/>
      <c r="K137" s="67"/>
      <c r="L137" s="146" t="str">
        <f>IF(O34=2,"NA",IF(R313="","TBD",IF(AND(R313="Pass",R314="Pass",R315="Pass"),"YES","")))</f>
        <v>TBD</v>
      </c>
      <c r="M137" s="103" t="str">
        <f>IF(OR(R313="Fail",R314="Fail",R315="Fail"),"NO","")</f>
        <v/>
      </c>
      <c r="T137" s="255" t="s">
        <v>71</v>
      </c>
      <c r="AA137" s="20" t="s">
        <v>602</v>
      </c>
      <c r="AB137" s="64"/>
      <c r="AD137" s="65" t="str">
        <f>IF(W349="","",W349)</f>
        <v/>
      </c>
    </row>
    <row r="138" spans="1:44" ht="14.1" customHeight="1">
      <c r="A138" s="16">
        <v>66</v>
      </c>
      <c r="B138" s="66"/>
      <c r="C138" s="67"/>
      <c r="D138" s="67"/>
      <c r="E138" s="67" t="s">
        <v>607</v>
      </c>
      <c r="F138" s="67"/>
      <c r="G138" s="67"/>
      <c r="H138" s="67"/>
      <c r="I138" s="67"/>
      <c r="J138" s="67"/>
      <c r="K138" s="67"/>
      <c r="L138" s="146" t="str">
        <f>IF(O34=2,"NA",IF(G414="","TBD",IF(AND(G414="Pass",G415="Pass",G416="Pass"),"YES","")))</f>
        <v>TBD</v>
      </c>
      <c r="M138" s="103" t="str">
        <f>IF(OR(G414="Fail",G415="Fail",G416="Fail"),"NO","")</f>
        <v/>
      </c>
      <c r="O138" s="135" t="s">
        <v>198</v>
      </c>
      <c r="P138" s="22"/>
      <c r="Q138" s="22"/>
      <c r="R138" s="22" t="s">
        <v>205</v>
      </c>
      <c r="S138" s="22" t="s">
        <v>713</v>
      </c>
      <c r="T138" s="22"/>
      <c r="U138" s="22"/>
      <c r="V138" s="22"/>
      <c r="W138" s="22"/>
      <c r="X138" s="22"/>
      <c r="Y138" s="23"/>
      <c r="AA138" s="20" t="s">
        <v>603</v>
      </c>
      <c r="AB138" s="64"/>
      <c r="AD138" s="65" t="str">
        <f>IF(W350="","",W350)</f>
        <v/>
      </c>
    </row>
    <row r="139" spans="1:44" ht="14.1" customHeight="1">
      <c r="A139" s="16">
        <v>67</v>
      </c>
      <c r="B139" s="66"/>
      <c r="C139" s="67"/>
      <c r="D139" s="67"/>
      <c r="E139" s="67" t="s">
        <v>608</v>
      </c>
      <c r="F139" s="67"/>
      <c r="G139" s="67"/>
      <c r="H139" s="67"/>
      <c r="I139" s="67"/>
      <c r="J139" s="67"/>
      <c r="K139" s="67"/>
      <c r="L139" s="146" t="str">
        <f>IF(O362="","TBD",IF(O362=1,"YES",IF(O362=3,"NA","")))</f>
        <v>TBD</v>
      </c>
      <c r="M139" s="103" t="str">
        <f>IF(O362=2,"NO","")</f>
        <v/>
      </c>
      <c r="O139" s="29"/>
      <c r="P139" s="4"/>
      <c r="Q139" s="34" t="s">
        <v>199</v>
      </c>
      <c r="R139" s="136"/>
      <c r="S139" s="789"/>
      <c r="T139" s="4"/>
      <c r="Y139" s="31"/>
      <c r="AA139" s="34" t="s">
        <v>582</v>
      </c>
    </row>
    <row r="140" spans="1:44" ht="14.1" customHeight="1">
      <c r="A140" s="16">
        <v>68</v>
      </c>
      <c r="B140" s="66"/>
      <c r="C140" s="67"/>
      <c r="D140" s="67"/>
      <c r="E140" s="67" t="s">
        <v>580</v>
      </c>
      <c r="F140" s="67"/>
      <c r="G140" s="67"/>
      <c r="H140" s="67"/>
      <c r="I140" s="67"/>
      <c r="J140" s="67"/>
      <c r="K140" s="67"/>
      <c r="L140" s="146" t="str">
        <f>IF(O363="","TBD",IF(O363=1,"YES",IF(O363=3,"NA","")))</f>
        <v>TBD</v>
      </c>
      <c r="M140" s="103" t="str">
        <f>IF(O363=2,"NO","")</f>
        <v/>
      </c>
      <c r="O140" s="29"/>
      <c r="P140" s="4"/>
      <c r="Q140" s="34" t="s">
        <v>200</v>
      </c>
      <c r="R140" s="136"/>
      <c r="S140" s="4" t="s">
        <v>73</v>
      </c>
      <c r="T140" s="4"/>
      <c r="Y140" s="31"/>
      <c r="AA140" s="34" t="s">
        <v>185</v>
      </c>
      <c r="AB140" s="64"/>
      <c r="AD140" s="65" t="str">
        <f>IF(P357="","",P357)</f>
        <v/>
      </c>
    </row>
    <row r="141" spans="1:44" ht="14.1" customHeight="1">
      <c r="A141" s="16">
        <v>69</v>
      </c>
      <c r="B141" s="66"/>
      <c r="C141" s="67"/>
      <c r="D141" s="67"/>
      <c r="E141" s="67" t="s">
        <v>586</v>
      </c>
      <c r="F141" s="67"/>
      <c r="G141" s="67"/>
      <c r="H141" s="67"/>
      <c r="I141" s="67"/>
      <c r="J141" s="67"/>
      <c r="K141" s="67"/>
      <c r="L141" s="146" t="str">
        <f>IF(O364="","TBD",IF(O364=1,"YES",IF(O364=3,"NA","")))</f>
        <v>TBD</v>
      </c>
      <c r="M141" s="103" t="str">
        <f>IF(O364=2,"NO","")</f>
        <v/>
      </c>
      <c r="O141" s="29"/>
      <c r="P141" s="4"/>
      <c r="Q141" s="4"/>
      <c r="R141" s="2" t="str">
        <f>IF(R139="","",IF(AND(R139&gt;=120,R139&lt;=200),"Pass","Fail"))</f>
        <v/>
      </c>
      <c r="T141" s="4"/>
      <c r="Y141" s="31"/>
      <c r="AA141" s="34" t="s">
        <v>187</v>
      </c>
      <c r="AB141" s="64"/>
      <c r="AD141" s="65" t="str">
        <f>IF(P358="","",P358)</f>
        <v/>
      </c>
    </row>
    <row r="142" spans="1:44" ht="14.1" customHeight="1" thickBot="1">
      <c r="A142" s="16">
        <v>70</v>
      </c>
      <c r="B142" s="79"/>
      <c r="C142" s="80"/>
      <c r="D142" s="80"/>
      <c r="E142" s="324"/>
      <c r="F142" s="80"/>
      <c r="G142" s="80"/>
      <c r="H142" s="80"/>
      <c r="I142" s="80"/>
      <c r="J142" s="80"/>
      <c r="K142" s="80"/>
      <c r="L142" s="80"/>
      <c r="M142" s="81"/>
      <c r="O142" s="29"/>
      <c r="P142" s="112" t="s">
        <v>201</v>
      </c>
      <c r="Q142" s="26" t="s">
        <v>202</v>
      </c>
      <c r="Y142" s="31"/>
      <c r="AA142" s="34" t="s">
        <v>189</v>
      </c>
      <c r="AB142" s="64"/>
      <c r="AD142" s="65" t="str">
        <f>IF(P359="","",P359)</f>
        <v/>
      </c>
    </row>
    <row r="143" spans="1:44" ht="14.1" customHeight="1" thickTop="1">
      <c r="A143" s="16">
        <v>71</v>
      </c>
      <c r="C143" s="108" t="s">
        <v>10</v>
      </c>
      <c r="D143" s="367" t="str">
        <f>IF($P$7="","",$P$7)</f>
        <v/>
      </c>
      <c r="E143" s="26"/>
      <c r="F143" s="26"/>
      <c r="G143" s="26"/>
      <c r="H143" s="26"/>
      <c r="I143" s="26"/>
      <c r="J143" s="26"/>
      <c r="K143" s="26"/>
      <c r="L143" s="108" t="s">
        <v>11</v>
      </c>
      <c r="M143" s="368" t="str">
        <f>IF($X$7="","",$X$7)</f>
        <v>Eugene Mah</v>
      </c>
      <c r="O143" s="29"/>
      <c r="Q143" s="26" t="s">
        <v>772</v>
      </c>
      <c r="Y143" s="31"/>
      <c r="AA143" s="34" t="s">
        <v>583</v>
      </c>
    </row>
    <row r="144" spans="1:44" ht="14.1" customHeight="1">
      <c r="A144" s="16">
        <v>72</v>
      </c>
      <c r="C144" s="108" t="s">
        <v>119</v>
      </c>
      <c r="D144" s="368" t="str">
        <f>IF($R$14="","",$R$14)</f>
        <v/>
      </c>
      <c r="E144" s="26"/>
      <c r="F144" s="26"/>
      <c r="G144" s="26"/>
      <c r="H144" s="26"/>
      <c r="I144" s="26"/>
      <c r="J144" s="26"/>
      <c r="K144" s="26"/>
      <c r="L144" s="108" t="s">
        <v>36</v>
      </c>
      <c r="M144" s="368" t="str">
        <f>IF($R$13="","",$R$13)</f>
        <v/>
      </c>
      <c r="O144" s="29"/>
      <c r="Y144" s="31"/>
      <c r="AA144" s="34" t="s">
        <v>185</v>
      </c>
      <c r="AB144" s="64"/>
      <c r="AD144" s="65" t="str">
        <f>IF(Q357="","",Q357)</f>
        <v/>
      </c>
    </row>
    <row r="145" spans="1:30" ht="14.1" customHeight="1">
      <c r="A145" s="16">
        <v>1</v>
      </c>
      <c r="M145" s="111" t="str">
        <f>$H$2</f>
        <v>Medical University of South Carolina</v>
      </c>
      <c r="O145" s="137" t="s">
        <v>203</v>
      </c>
      <c r="Y145" s="31"/>
      <c r="AA145" s="34" t="s">
        <v>187</v>
      </c>
      <c r="AB145" s="64"/>
      <c r="AD145" s="65" t="str">
        <f>IF(Q358="","",Q358)</f>
        <v/>
      </c>
    </row>
    <row r="146" spans="1:30" ht="14.1" customHeight="1" thickBot="1">
      <c r="A146" s="16">
        <v>2</v>
      </c>
      <c r="H146" s="50" t="s">
        <v>71</v>
      </c>
      <c r="M146" s="112" t="str">
        <f>$H$5</f>
        <v>Mammography System Compliance Inspection</v>
      </c>
      <c r="O146" s="29"/>
      <c r="P146" s="20" t="s">
        <v>204</v>
      </c>
      <c r="Q146" s="535" t="s">
        <v>205</v>
      </c>
      <c r="R146" s="535" t="s">
        <v>206</v>
      </c>
      <c r="Y146" s="31"/>
      <c r="AA146" s="34" t="s">
        <v>189</v>
      </c>
      <c r="AB146" s="64"/>
      <c r="AD146" s="65" t="str">
        <f>IF(Q359="","",Q359)</f>
        <v/>
      </c>
    </row>
    <row r="147" spans="1:30" ht="14.1" customHeight="1" thickTop="1" thickBot="1">
      <c r="A147" s="16">
        <v>3</v>
      </c>
      <c r="B147" s="57"/>
      <c r="C147" s="59" t="s">
        <v>198</v>
      </c>
      <c r="D147" s="58"/>
      <c r="E147" s="58"/>
      <c r="F147" s="58"/>
      <c r="G147" s="58"/>
      <c r="H147" s="58"/>
      <c r="I147" s="58"/>
      <c r="J147" s="58"/>
      <c r="K147" s="58"/>
      <c r="L147" s="58"/>
      <c r="M147" s="60"/>
      <c r="O147" s="29"/>
      <c r="P147" s="535">
        <v>1</v>
      </c>
      <c r="Q147" s="136"/>
      <c r="R147" s="138" t="str">
        <f t="shared" ref="R147:R154" si="20">IF(Q147="","",ABS(Q147-P147))</f>
        <v/>
      </c>
      <c r="Y147" s="31"/>
    </row>
    <row r="148" spans="1:30" ht="14.1" customHeight="1" thickBot="1">
      <c r="A148" s="16">
        <v>4</v>
      </c>
      <c r="B148" s="66"/>
      <c r="C148" s="67"/>
      <c r="D148" s="67"/>
      <c r="E148" s="160" t="s">
        <v>199</v>
      </c>
      <c r="F148" s="865" t="str">
        <f>IF(R139="","",R139)</f>
        <v/>
      </c>
      <c r="G148" s="67"/>
      <c r="H148" s="160" t="s">
        <v>215</v>
      </c>
      <c r="I148" s="142" t="str">
        <f>IF(R141="","",R141)</f>
        <v/>
      </c>
      <c r="J148" s="67"/>
      <c r="K148" s="67"/>
      <c r="L148" s="67"/>
      <c r="M148" s="68"/>
      <c r="O148" s="29"/>
      <c r="P148" s="535">
        <v>2</v>
      </c>
      <c r="Q148" s="136"/>
      <c r="R148" s="138" t="str">
        <f t="shared" si="20"/>
        <v/>
      </c>
      <c r="Y148" s="31"/>
    </row>
    <row r="149" spans="1:30" ht="14.1" customHeight="1" thickBot="1">
      <c r="A149" s="16">
        <v>5</v>
      </c>
      <c r="B149" s="66"/>
      <c r="C149" s="67"/>
      <c r="D149" s="67"/>
      <c r="E149" s="160" t="s">
        <v>200</v>
      </c>
      <c r="F149" s="425" t="str">
        <f>IF(R140="","",IF(R140=1,"Pass","Fail"))</f>
        <v/>
      </c>
      <c r="G149" s="534"/>
      <c r="H149" s="534"/>
      <c r="I149" s="67"/>
      <c r="J149" s="67"/>
      <c r="K149" s="67"/>
      <c r="L149" s="67"/>
      <c r="M149" s="68"/>
      <c r="O149" s="29"/>
      <c r="P149" s="535">
        <v>4</v>
      </c>
      <c r="Q149" s="136"/>
      <c r="R149" s="138" t="str">
        <f t="shared" si="20"/>
        <v/>
      </c>
      <c r="S149" s="34" t="s">
        <v>207</v>
      </c>
      <c r="T149" s="139" t="str">
        <f>IF(OR(Q149="",Q150="",Q151="",Q152=""),"",AVERAGE(Q149:Q152))</f>
        <v/>
      </c>
      <c r="Y149" s="31"/>
    </row>
    <row r="150" spans="1:30" ht="14.1" customHeight="1">
      <c r="A150" s="16">
        <v>6</v>
      </c>
      <c r="B150" s="66"/>
      <c r="C150" s="67"/>
      <c r="D150" s="3" t="s">
        <v>201</v>
      </c>
      <c r="E150" s="190" t="s">
        <v>202</v>
      </c>
      <c r="F150" s="67"/>
      <c r="G150" s="534"/>
      <c r="H150" s="67"/>
      <c r="I150" s="67"/>
      <c r="J150" s="67"/>
      <c r="K150" s="67"/>
      <c r="L150" s="67"/>
      <c r="M150" s="68"/>
      <c r="O150" s="29"/>
      <c r="P150" s="535">
        <v>4</v>
      </c>
      <c r="Q150" s="136"/>
      <c r="R150" s="138" t="str">
        <f t="shared" si="20"/>
        <v/>
      </c>
      <c r="S150" s="34" t="s">
        <v>208</v>
      </c>
      <c r="T150" s="140" t="str">
        <f>IF(OR(Q149="",Q150="",Q151="",Q152=""),"",_xlfn.STDEV.S(Q149:Q152))</f>
        <v/>
      </c>
      <c r="Y150" s="31"/>
    </row>
    <row r="151" spans="1:30" ht="14.1" customHeight="1">
      <c r="A151" s="16">
        <v>7</v>
      </c>
      <c r="B151" s="66"/>
      <c r="C151" s="67"/>
      <c r="E151" s="26" t="s">
        <v>772</v>
      </c>
      <c r="G151" s="67"/>
      <c r="H151" s="67"/>
      <c r="I151" s="67"/>
      <c r="J151" s="67"/>
      <c r="K151" s="67"/>
      <c r="L151" s="67"/>
      <c r="M151" s="68"/>
      <c r="O151" s="29"/>
      <c r="P151" s="535">
        <v>4</v>
      </c>
      <c r="Q151" s="136"/>
      <c r="R151" s="138" t="str">
        <f t="shared" si="20"/>
        <v/>
      </c>
      <c r="Y151" s="31"/>
      <c r="AA151"/>
      <c r="AB151"/>
      <c r="AC151"/>
      <c r="AD151"/>
    </row>
    <row r="152" spans="1:30" ht="14.1" customHeight="1">
      <c r="A152" s="16">
        <v>8</v>
      </c>
      <c r="B152" s="66"/>
      <c r="C152" s="67"/>
      <c r="D152" s="190"/>
      <c r="E152" s="190"/>
      <c r="F152" s="67"/>
      <c r="G152" s="67"/>
      <c r="H152" s="67"/>
      <c r="I152" s="67"/>
      <c r="J152" s="67"/>
      <c r="K152" s="67"/>
      <c r="L152" s="67"/>
      <c r="M152" s="68"/>
      <c r="O152" s="29"/>
      <c r="P152" s="535">
        <v>4</v>
      </c>
      <c r="Q152" s="136"/>
      <c r="R152" s="138" t="str">
        <f t="shared" si="20"/>
        <v/>
      </c>
      <c r="T152" s="112" t="s">
        <v>201</v>
      </c>
      <c r="U152" s="26" t="s">
        <v>209</v>
      </c>
      <c r="Y152" s="31"/>
      <c r="AA152"/>
      <c r="AB152"/>
      <c r="AC152"/>
      <c r="AD152"/>
    </row>
    <row r="153" spans="1:30" ht="14.1" customHeight="1" thickBot="1">
      <c r="A153" s="16">
        <v>9</v>
      </c>
      <c r="B153" s="66"/>
      <c r="C153" s="144" t="s">
        <v>203</v>
      </c>
      <c r="D153" s="67"/>
      <c r="E153" s="67"/>
      <c r="F153" s="67"/>
      <c r="G153" s="67"/>
      <c r="H153" s="67"/>
      <c r="I153" s="67"/>
      <c r="J153" s="67"/>
      <c r="K153" s="67"/>
      <c r="L153" s="67"/>
      <c r="M153" s="68"/>
      <c r="O153" s="29"/>
      <c r="P153" s="535">
        <v>6</v>
      </c>
      <c r="Q153" s="136"/>
      <c r="R153" s="138" t="str">
        <f t="shared" si="20"/>
        <v/>
      </c>
      <c r="U153" s="26" t="s">
        <v>210</v>
      </c>
      <c r="Y153" s="31"/>
      <c r="AA153"/>
      <c r="AB153"/>
      <c r="AC153"/>
      <c r="AD153"/>
    </row>
    <row r="154" spans="1:30" ht="14.1" customHeight="1">
      <c r="A154" s="16">
        <v>10</v>
      </c>
      <c r="B154" s="66"/>
      <c r="C154" s="378" t="s">
        <v>204</v>
      </c>
      <c r="D154" s="410" t="s">
        <v>205</v>
      </c>
      <c r="E154" s="411" t="s">
        <v>206</v>
      </c>
      <c r="F154" s="67"/>
      <c r="G154" s="67"/>
      <c r="H154" s="325"/>
      <c r="I154" s="160" t="s">
        <v>219</v>
      </c>
      <c r="J154" s="146" t="str">
        <f>IF(O156="","TBD",IF(O156=1,"YES",IF(O156=3,"NA","")))</f>
        <v>YES</v>
      </c>
      <c r="K154" s="146" t="str">
        <f>IF(O156=2,"NO","")</f>
        <v/>
      </c>
      <c r="M154" s="68"/>
      <c r="O154" s="29"/>
      <c r="P154" s="535">
        <v>8</v>
      </c>
      <c r="Q154" s="136"/>
      <c r="R154" s="138" t="str">
        <f t="shared" si="20"/>
        <v/>
      </c>
      <c r="Y154" s="31"/>
      <c r="AA154"/>
      <c r="AB154"/>
      <c r="AC154"/>
      <c r="AD154"/>
    </row>
    <row r="155" spans="1:30" ht="14.1" customHeight="1">
      <c r="A155" s="16">
        <v>11</v>
      </c>
      <c r="B155" s="66"/>
      <c r="C155" s="330">
        <v>1</v>
      </c>
      <c r="D155" s="303" t="str">
        <f t="shared" ref="D155:E162" si="21">IF(Q147="","",Q147)</f>
        <v/>
      </c>
      <c r="E155" s="331" t="str">
        <f t="shared" si="21"/>
        <v/>
      </c>
      <c r="F155" s="67"/>
      <c r="G155" s="67"/>
      <c r="H155" s="325"/>
      <c r="I155" s="160" t="s">
        <v>220</v>
      </c>
      <c r="J155" s="146" t="str">
        <f>IF(O157="","TBD",IF(O157=1,"YES",IF(O157=3,"NA","")))</f>
        <v>YES</v>
      </c>
      <c r="K155" s="146" t="str">
        <f>IF(O157=2,"NO","")</f>
        <v/>
      </c>
      <c r="M155" s="68"/>
      <c r="O155" s="29" t="s">
        <v>73</v>
      </c>
      <c r="Y155" s="31"/>
    </row>
    <row r="156" spans="1:30" ht="14.1" customHeight="1">
      <c r="A156" s="16">
        <v>12</v>
      </c>
      <c r="B156" s="66"/>
      <c r="C156" s="330">
        <v>2</v>
      </c>
      <c r="D156" s="303" t="str">
        <f t="shared" si="21"/>
        <v/>
      </c>
      <c r="E156" s="331" t="str">
        <f t="shared" si="21"/>
        <v/>
      </c>
      <c r="F156" s="67"/>
      <c r="G156" s="67"/>
      <c r="H156" s="67"/>
      <c r="I156" s="160" t="s">
        <v>212</v>
      </c>
      <c r="J156" s="146" t="str">
        <f>IF(S156="","TBD",S156)</f>
        <v>TBD</v>
      </c>
      <c r="K156" s="67"/>
      <c r="L156" s="67"/>
      <c r="M156" s="68"/>
      <c r="O156" s="95">
        <v>1</v>
      </c>
      <c r="P156" s="20" t="s">
        <v>211</v>
      </c>
      <c r="S156" s="138" t="str">
        <f>IF(R147="","",IF(OR(R147&gt;0.5,R148&gt;0.5,R149&gt;0.5,R150&gt;0.5,R151&gt;0.5,R152&gt;0.5,R153&gt;0.5,R154&gt;0.5),"Fail","Pass"))</f>
        <v/>
      </c>
      <c r="T156" s="35" t="s">
        <v>212</v>
      </c>
      <c r="Y156" s="31"/>
    </row>
    <row r="157" spans="1:30" ht="14.1" customHeight="1">
      <c r="A157" s="16">
        <v>13</v>
      </c>
      <c r="B157" s="66"/>
      <c r="C157" s="330">
        <v>4</v>
      </c>
      <c r="D157" s="303" t="str">
        <f t="shared" si="21"/>
        <v/>
      </c>
      <c r="E157" s="331" t="str">
        <f t="shared" si="21"/>
        <v/>
      </c>
      <c r="F157" s="67"/>
      <c r="G157" s="67"/>
      <c r="H157" s="67"/>
      <c r="I157" s="160" t="s">
        <v>207</v>
      </c>
      <c r="J157" s="139" t="str">
        <f>IF(T149="","",T149)</f>
        <v/>
      </c>
      <c r="K157" s="67"/>
      <c r="L157" s="67"/>
      <c r="M157" s="68"/>
      <c r="O157" s="95">
        <v>1</v>
      </c>
      <c r="P157" s="20" t="s">
        <v>213</v>
      </c>
      <c r="Y157" s="31"/>
    </row>
    <row r="158" spans="1:30" ht="14.1" customHeight="1">
      <c r="A158" s="16">
        <v>14</v>
      </c>
      <c r="B158" s="66"/>
      <c r="C158" s="330">
        <v>4</v>
      </c>
      <c r="D158" s="303" t="str">
        <f t="shared" si="21"/>
        <v/>
      </c>
      <c r="E158" s="331" t="str">
        <f t="shared" si="21"/>
        <v/>
      </c>
      <c r="F158" s="67"/>
      <c r="G158" s="67"/>
      <c r="H158" s="67"/>
      <c r="I158" s="160" t="s">
        <v>208</v>
      </c>
      <c r="J158" s="140" t="str">
        <f>IF(T150="","",T150)</f>
        <v/>
      </c>
      <c r="K158" s="67"/>
      <c r="L158" s="67"/>
      <c r="M158" s="68"/>
      <c r="O158" s="29"/>
      <c r="Y158" s="31"/>
    </row>
    <row r="159" spans="1:30" ht="14.1" customHeight="1">
      <c r="A159" s="16">
        <v>15</v>
      </c>
      <c r="B159" s="66"/>
      <c r="C159" s="330">
        <v>4</v>
      </c>
      <c r="D159" s="303" t="str">
        <f t="shared" si="21"/>
        <v/>
      </c>
      <c r="E159" s="331" t="str">
        <f t="shared" si="21"/>
        <v/>
      </c>
      <c r="F159" s="67"/>
      <c r="G159" s="67"/>
      <c r="H159" s="67"/>
      <c r="I159" s="67"/>
      <c r="J159" s="67"/>
      <c r="K159" s="67"/>
      <c r="L159" s="67"/>
      <c r="M159" s="68"/>
      <c r="O159" s="137" t="s">
        <v>214</v>
      </c>
      <c r="Y159" s="31"/>
    </row>
    <row r="160" spans="1:30" ht="14.1" customHeight="1">
      <c r="A160" s="16">
        <v>16</v>
      </c>
      <c r="B160" s="66"/>
      <c r="C160" s="330">
        <v>4</v>
      </c>
      <c r="D160" s="303" t="str">
        <f t="shared" si="21"/>
        <v/>
      </c>
      <c r="E160" s="331" t="str">
        <f t="shared" si="21"/>
        <v/>
      </c>
      <c r="F160" s="3" t="s">
        <v>201</v>
      </c>
      <c r="G160" s="190" t="s">
        <v>209</v>
      </c>
      <c r="H160" s="67"/>
      <c r="I160" s="67"/>
      <c r="J160" s="67"/>
      <c r="K160" s="67"/>
      <c r="L160" s="67"/>
      <c r="M160" s="68"/>
      <c r="O160" s="29"/>
      <c r="P160" s="34" t="s">
        <v>50</v>
      </c>
      <c r="Q160" s="143"/>
      <c r="R160" s="143"/>
      <c r="S160" s="143"/>
      <c r="T160" s="141"/>
      <c r="Y160" s="31"/>
    </row>
    <row r="161" spans="1:25" ht="14.1" customHeight="1">
      <c r="A161" s="16">
        <v>17</v>
      </c>
      <c r="B161" s="66"/>
      <c r="C161" s="330">
        <v>6</v>
      </c>
      <c r="D161" s="303" t="str">
        <f t="shared" si="21"/>
        <v/>
      </c>
      <c r="E161" s="331" t="str">
        <f t="shared" si="21"/>
        <v/>
      </c>
      <c r="F161" s="144"/>
      <c r="G161" s="190" t="s">
        <v>210</v>
      </c>
      <c r="H161" s="67"/>
      <c r="I161" s="67"/>
      <c r="J161" s="67"/>
      <c r="K161" s="67"/>
      <c r="L161" s="67"/>
      <c r="M161" s="68"/>
      <c r="O161" s="29"/>
      <c r="P161" s="34" t="s">
        <v>52</v>
      </c>
      <c r="Q161" s="143"/>
      <c r="R161" s="143"/>
      <c r="S161" s="143"/>
      <c r="T161" s="141"/>
      <c r="Y161" s="31"/>
    </row>
    <row r="162" spans="1:25" ht="14.1" customHeight="1" thickBot="1">
      <c r="A162" s="16">
        <v>18</v>
      </c>
      <c r="B162" s="66"/>
      <c r="C162" s="379">
        <v>8</v>
      </c>
      <c r="D162" s="344" t="str">
        <f t="shared" si="21"/>
        <v/>
      </c>
      <c r="E162" s="380" t="str">
        <f t="shared" si="21"/>
        <v/>
      </c>
      <c r="F162" s="67"/>
      <c r="G162" s="67"/>
      <c r="H162" s="67"/>
      <c r="I162" s="67"/>
      <c r="J162" s="67"/>
      <c r="K162" s="67"/>
      <c r="L162" s="67"/>
      <c r="M162" s="68"/>
      <c r="O162" s="29"/>
      <c r="P162" s="34" t="s">
        <v>779</v>
      </c>
      <c r="Q162" s="143"/>
      <c r="R162" s="143"/>
      <c r="S162" s="143"/>
      <c r="T162" s="141"/>
      <c r="Y162" s="31"/>
    </row>
    <row r="163" spans="1:25" ht="14.1" customHeight="1" thickBot="1">
      <c r="A163" s="16">
        <v>19</v>
      </c>
      <c r="B163" s="157"/>
      <c r="C163" s="40"/>
      <c r="D163" s="40"/>
      <c r="E163" s="40"/>
      <c r="F163" s="40"/>
      <c r="G163" s="40"/>
      <c r="H163" s="40"/>
      <c r="I163" s="40"/>
      <c r="J163" s="40"/>
      <c r="K163" s="40"/>
      <c r="L163" s="40"/>
      <c r="M163" s="158"/>
      <c r="O163" s="29"/>
      <c r="P163" s="34" t="s">
        <v>171</v>
      </c>
      <c r="Q163" s="143"/>
      <c r="R163" s="143"/>
      <c r="S163" s="143"/>
      <c r="T163" s="141"/>
      <c r="Y163" s="31"/>
    </row>
    <row r="164" spans="1:25" ht="14.1" customHeight="1" thickBot="1">
      <c r="A164" s="16">
        <v>20</v>
      </c>
      <c r="B164" s="66"/>
      <c r="C164" s="144" t="s">
        <v>214</v>
      </c>
      <c r="D164" s="67"/>
      <c r="E164" s="67"/>
      <c r="F164" s="67"/>
      <c r="G164" s="67"/>
      <c r="H164" s="67"/>
      <c r="I164" s="67"/>
      <c r="J164" s="67"/>
      <c r="K164" s="67"/>
      <c r="L164" s="67"/>
      <c r="M164" s="68"/>
      <c r="O164" s="29"/>
      <c r="P164" s="34" t="s">
        <v>216</v>
      </c>
      <c r="Q164" s="143"/>
      <c r="R164" s="143"/>
      <c r="S164" s="143"/>
      <c r="T164" s="141"/>
      <c r="Y164" s="31"/>
    </row>
    <row r="165" spans="1:25" ht="14.1" customHeight="1">
      <c r="A165" s="16">
        <v>21</v>
      </c>
      <c r="B165" s="66"/>
      <c r="C165" s="160" t="s">
        <v>50</v>
      </c>
      <c r="D165" s="370" t="str">
        <f t="shared" ref="D165:F167" si="22">IF(Q160="","",Q160)</f>
        <v/>
      </c>
      <c r="E165" s="371" t="str">
        <f t="shared" si="22"/>
        <v/>
      </c>
      <c r="F165" s="372" t="str">
        <f t="shared" si="22"/>
        <v/>
      </c>
      <c r="G165" s="67"/>
      <c r="H165" s="534" t="str">
        <f>IF(T160="","",T160)</f>
        <v/>
      </c>
      <c r="I165" s="67"/>
      <c r="J165" s="67"/>
      <c r="K165" s="67"/>
      <c r="L165" s="67"/>
      <c r="M165" s="68"/>
      <c r="O165" s="29"/>
      <c r="P165" s="34" t="s">
        <v>217</v>
      </c>
      <c r="Q165" s="143"/>
      <c r="R165" s="143"/>
      <c r="S165" s="143"/>
      <c r="T165" s="141"/>
      <c r="Y165" s="31"/>
    </row>
    <row r="166" spans="1:25" ht="14.1" customHeight="1">
      <c r="A166" s="16">
        <v>22</v>
      </c>
      <c r="B166" s="66"/>
      <c r="C166" s="160" t="s">
        <v>52</v>
      </c>
      <c r="D166" s="373" t="str">
        <f t="shared" si="22"/>
        <v/>
      </c>
      <c r="E166" s="15" t="str">
        <f t="shared" si="22"/>
        <v/>
      </c>
      <c r="F166" s="374" t="str">
        <f t="shared" si="22"/>
        <v/>
      </c>
      <c r="G166" s="67"/>
      <c r="H166" s="534" t="str">
        <f>IF(T160="","",T160)</f>
        <v/>
      </c>
      <c r="I166" s="67"/>
      <c r="J166" s="67"/>
      <c r="K166" s="67"/>
      <c r="L166" s="67"/>
      <c r="M166" s="68"/>
      <c r="O166" s="29"/>
      <c r="P166" s="34" t="s">
        <v>215</v>
      </c>
      <c r="Q166" s="143"/>
      <c r="R166" s="143"/>
      <c r="S166" s="143"/>
      <c r="T166" s="145"/>
      <c r="Y166" s="31"/>
    </row>
    <row r="167" spans="1:25" ht="14.1" customHeight="1">
      <c r="A167" s="16">
        <v>23</v>
      </c>
      <c r="B167" s="66"/>
      <c r="C167" s="34" t="s">
        <v>779</v>
      </c>
      <c r="D167" s="373" t="str">
        <f t="shared" si="22"/>
        <v/>
      </c>
      <c r="E167" s="15" t="str">
        <f t="shared" si="22"/>
        <v/>
      </c>
      <c r="F167" s="374" t="str">
        <f t="shared" si="22"/>
        <v/>
      </c>
      <c r="G167" s="67"/>
      <c r="H167" s="534" t="str">
        <f>IF(T161="","",T161)</f>
        <v/>
      </c>
      <c r="I167" s="67"/>
      <c r="J167" s="67"/>
      <c r="K167" s="67"/>
      <c r="L167" s="67"/>
      <c r="M167" s="68"/>
      <c r="O167" s="29"/>
      <c r="P167" s="3" t="s">
        <v>201</v>
      </c>
      <c r="Q167" s="861" t="s">
        <v>218</v>
      </c>
      <c r="R167" s="4"/>
      <c r="S167" s="4"/>
      <c r="T167" s="4"/>
      <c r="Y167" s="31"/>
    </row>
    <row r="168" spans="1:25" ht="14.1" customHeight="1">
      <c r="A168" s="16">
        <v>24</v>
      </c>
      <c r="B168" s="66"/>
      <c r="C168" s="160" t="s">
        <v>236</v>
      </c>
      <c r="D168" s="373" t="str">
        <f>IF(Q163="","",Q163)</f>
        <v/>
      </c>
      <c r="E168" s="15" t="str">
        <f>IF(R163="","",R163)</f>
        <v/>
      </c>
      <c r="F168" s="374" t="str">
        <f>IF(S163="","",S163)</f>
        <v/>
      </c>
      <c r="G168" s="67"/>
      <c r="H168" s="534" t="str">
        <f>IF(T162="","",T162)</f>
        <v/>
      </c>
      <c r="I168" s="67"/>
      <c r="J168" s="67"/>
      <c r="K168" s="67"/>
      <c r="L168" s="67"/>
      <c r="M168" s="68"/>
      <c r="O168" s="29"/>
      <c r="P168" s="108" t="s">
        <v>221</v>
      </c>
      <c r="Q168" s="147" t="str">
        <f>IF(Q170&lt;&gt;"",Q170,IF(AB190="","",AB190))</f>
        <v/>
      </c>
      <c r="R168" s="148"/>
      <c r="S168" s="148"/>
      <c r="T168" s="148"/>
      <c r="U168" s="148"/>
      <c r="V168" s="148"/>
      <c r="W168" s="148"/>
      <c r="X168" s="148"/>
      <c r="Y168" s="31"/>
    </row>
    <row r="169" spans="1:25" ht="14.1" customHeight="1">
      <c r="A169" s="16">
        <v>25</v>
      </c>
      <c r="B169" s="66"/>
      <c r="C169" s="160" t="s">
        <v>171</v>
      </c>
      <c r="D169" s="373" t="str">
        <f t="shared" ref="D169:F172" si="23">IF(Q163="","",Q163)</f>
        <v/>
      </c>
      <c r="E169" s="15" t="str">
        <f t="shared" si="23"/>
        <v/>
      </c>
      <c r="F169" s="374" t="str">
        <f t="shared" si="23"/>
        <v/>
      </c>
      <c r="G169" s="67"/>
      <c r="H169" s="534" t="str">
        <f>IF(T162="","",T162)</f>
        <v/>
      </c>
      <c r="I169" s="67"/>
      <c r="J169" s="67"/>
      <c r="K169" s="67"/>
      <c r="L169" s="67"/>
      <c r="M169" s="68"/>
      <c r="O169" s="29"/>
      <c r="P169" s="149" t="s">
        <v>222</v>
      </c>
      <c r="Q169" s="150"/>
      <c r="R169" s="151"/>
      <c r="S169" s="151"/>
      <c r="T169" s="151"/>
      <c r="U169" s="151"/>
      <c r="V169" s="151"/>
      <c r="W169" s="151"/>
      <c r="X169" s="151"/>
      <c r="Y169" s="31"/>
    </row>
    <row r="170" spans="1:25" ht="14.1" customHeight="1">
      <c r="A170" s="16">
        <v>26</v>
      </c>
      <c r="B170" s="66"/>
      <c r="C170" s="160" t="s">
        <v>216</v>
      </c>
      <c r="D170" s="373" t="str">
        <f t="shared" si="23"/>
        <v/>
      </c>
      <c r="E170" s="15" t="str">
        <f t="shared" si="23"/>
        <v/>
      </c>
      <c r="F170" s="374" t="str">
        <f t="shared" si="23"/>
        <v/>
      </c>
      <c r="G170" s="67"/>
      <c r="H170" s="534" t="str">
        <f>IF(T163="","",T163)</f>
        <v/>
      </c>
      <c r="I170" s="67"/>
      <c r="J170" s="67"/>
      <c r="K170" s="67"/>
      <c r="L170" s="67"/>
      <c r="M170" s="68"/>
      <c r="O170" s="29"/>
      <c r="P170" s="108" t="s">
        <v>223</v>
      </c>
      <c r="Q170" s="152"/>
      <c r="R170" s="151"/>
      <c r="S170" s="151"/>
      <c r="T170" s="151"/>
      <c r="U170" s="151"/>
      <c r="V170" s="151"/>
      <c r="W170" s="151"/>
      <c r="X170" s="151"/>
      <c r="Y170" s="31"/>
    </row>
    <row r="171" spans="1:25" ht="14.1" customHeight="1" thickBot="1">
      <c r="A171" s="16">
        <v>27</v>
      </c>
      <c r="B171" s="66"/>
      <c r="C171" s="160" t="s">
        <v>217</v>
      </c>
      <c r="D171" s="373" t="str">
        <f t="shared" si="23"/>
        <v/>
      </c>
      <c r="E171" s="15" t="str">
        <f t="shared" si="23"/>
        <v/>
      </c>
      <c r="F171" s="374" t="str">
        <f t="shared" si="23"/>
        <v/>
      </c>
      <c r="G171" s="67"/>
      <c r="H171" s="534" t="str">
        <f>IF(T164="","",T164)</f>
        <v/>
      </c>
      <c r="I171" s="67"/>
      <c r="J171" s="67"/>
      <c r="K171" s="67"/>
      <c r="L171" s="67"/>
      <c r="M171" s="68"/>
      <c r="O171" s="39"/>
      <c r="P171" s="40"/>
      <c r="Q171" s="40"/>
      <c r="R171" s="40"/>
      <c r="S171" s="40"/>
      <c r="T171" s="40"/>
      <c r="U171" s="40"/>
      <c r="V171" s="40"/>
      <c r="W171" s="40"/>
      <c r="X171" s="40"/>
      <c r="Y171" s="41"/>
    </row>
    <row r="172" spans="1:25" ht="14.1" customHeight="1" thickBot="1">
      <c r="A172" s="16">
        <v>28</v>
      </c>
      <c r="B172" s="66"/>
      <c r="C172" s="160" t="s">
        <v>215</v>
      </c>
      <c r="D172" s="375" t="str">
        <f t="shared" si="23"/>
        <v/>
      </c>
      <c r="E172" s="376" t="str">
        <f t="shared" si="23"/>
        <v/>
      </c>
      <c r="F172" s="377" t="str">
        <f t="shared" si="23"/>
        <v/>
      </c>
      <c r="G172" s="67"/>
      <c r="H172" s="534" t="str">
        <f>IF(T165="","",T165)</f>
        <v/>
      </c>
      <c r="I172" s="67"/>
      <c r="J172" s="67"/>
      <c r="K172" s="67"/>
      <c r="L172" s="67"/>
      <c r="M172" s="68"/>
      <c r="O172" s="137" t="s">
        <v>224</v>
      </c>
      <c r="R172" s="136">
        <v>1</v>
      </c>
      <c r="S172" s="20" t="s">
        <v>73</v>
      </c>
      <c r="Y172" s="31"/>
    </row>
    <row r="173" spans="1:25" ht="14.1" customHeight="1">
      <c r="A173" s="16">
        <v>29</v>
      </c>
      <c r="B173" s="66"/>
      <c r="C173" s="3" t="s">
        <v>201</v>
      </c>
      <c r="D173" s="861" t="s">
        <v>218</v>
      </c>
      <c r="E173" s="67"/>
      <c r="F173" s="67"/>
      <c r="G173" s="67"/>
      <c r="H173" s="67"/>
      <c r="I173" s="67"/>
      <c r="J173" s="67"/>
      <c r="K173" s="67"/>
      <c r="L173" s="67"/>
      <c r="M173" s="68"/>
      <c r="O173" s="29"/>
      <c r="P173" s="963" t="s">
        <v>225</v>
      </c>
      <c r="Q173" s="963"/>
      <c r="R173" s="963"/>
      <c r="S173" s="963"/>
      <c r="U173" s="534" t="s">
        <v>226</v>
      </c>
      <c r="V173" s="534"/>
      <c r="Y173" s="31"/>
    </row>
    <row r="174" spans="1:25" ht="14.1" customHeight="1">
      <c r="A174" s="16">
        <v>30</v>
      </c>
      <c r="B174" s="66"/>
      <c r="C174" s="67"/>
      <c r="D174" s="476" t="str">
        <f>P168</f>
        <v>Comments:</v>
      </c>
      <c r="E174" s="110" t="str">
        <f>IF(Q168="","",IF(LEN(Q168)&lt;=135,Q168,IF(LEN(Q168)&lt;=260,LEFT(Q168,SEARCH(" ",Q168,125)),LEFT(Q168,SEARCH(" ",Q168,130)))))</f>
        <v/>
      </c>
      <c r="F174" s="109"/>
      <c r="G174" s="109"/>
      <c r="H174" s="109"/>
      <c r="I174" s="109"/>
      <c r="J174" s="109"/>
      <c r="K174" s="109"/>
      <c r="L174" s="109"/>
      <c r="M174" s="167"/>
      <c r="O174" s="29"/>
      <c r="P174" s="153" t="s">
        <v>227</v>
      </c>
      <c r="Q174" s="153" t="s">
        <v>228</v>
      </c>
      <c r="R174" s="153" t="s">
        <v>229</v>
      </c>
      <c r="S174" s="154" t="s">
        <v>230</v>
      </c>
      <c r="U174" s="307" t="s">
        <v>231</v>
      </c>
      <c r="V174" s="534"/>
      <c r="Y174" s="31"/>
    </row>
    <row r="175" spans="1:25" ht="14.1" customHeight="1">
      <c r="A175" s="16">
        <v>31</v>
      </c>
      <c r="B175" s="66"/>
      <c r="C175" s="67"/>
      <c r="D175" s="190"/>
      <c r="E175" s="171" t="str">
        <f>IF(LEN(Q168)&lt;=135,"",IF(LEN(Q168)&lt;=260,RIGHT(Q168,LEN(Q168)-SEARCH(" ",Q168,125)),MID(Q168,SEARCH(" ",Q168,130),IF(LEN(Q168)&lt;=265,LEN(Q168),SEARCH(" ",Q168,255)-SEARCH(" ",Q168,130)))))</f>
        <v/>
      </c>
      <c r="F175" s="172"/>
      <c r="G175" s="172"/>
      <c r="H175" s="172"/>
      <c r="I175" s="172"/>
      <c r="J175" s="172"/>
      <c r="K175" s="172"/>
      <c r="L175" s="172"/>
      <c r="M175" s="173"/>
      <c r="O175" s="29"/>
      <c r="P175" s="155"/>
      <c r="Q175" s="155"/>
      <c r="R175" s="155"/>
      <c r="S175" s="156"/>
      <c r="U175" s="306" t="str">
        <f>IF(OR(R172=2,R172=3),"NA",IF(OR(P175="",Q175="",R175="",S175=""),"",AVERAGE(P175:S175)))</f>
        <v/>
      </c>
      <c r="V175" s="305"/>
      <c r="W175" s="160" t="s">
        <v>215</v>
      </c>
      <c r="X175" s="289" t="str">
        <f>IF($R$172=1,IF(U175="","",IF(U175&gt;=160,"YES","NO")),"NA")</f>
        <v/>
      </c>
      <c r="Y175" s="31"/>
    </row>
    <row r="176" spans="1:25" ht="14.1" customHeight="1">
      <c r="A176" s="16">
        <v>32</v>
      </c>
      <c r="B176" s="66"/>
      <c r="C176" s="67"/>
      <c r="D176" s="190"/>
      <c r="E176" s="171" t="str">
        <f>IF(LEN(Q168)&lt;=265,"",RIGHT(Q168,LEN(Q168)-SEARCH(" ",Q168,255)))</f>
        <v/>
      </c>
      <c r="F176" s="172"/>
      <c r="G176" s="172"/>
      <c r="H176" s="172"/>
      <c r="I176" s="172"/>
      <c r="J176" s="172"/>
      <c r="K176" s="172"/>
      <c r="L176" s="172"/>
      <c r="M176" s="173"/>
      <c r="O176" s="29"/>
      <c r="P176" s="112" t="s">
        <v>201</v>
      </c>
      <c r="Q176" s="26" t="s">
        <v>232</v>
      </c>
      <c r="Y176" s="31"/>
    </row>
    <row r="177" spans="1:25" ht="14.1" customHeight="1" thickBot="1">
      <c r="A177" s="16">
        <v>33</v>
      </c>
      <c r="B177" s="157"/>
      <c r="C177" s="40"/>
      <c r="D177" s="40"/>
      <c r="E177" s="40"/>
      <c r="F177" s="40"/>
      <c r="G177" s="40"/>
      <c r="H177" s="40"/>
      <c r="I177" s="40"/>
      <c r="J177" s="40"/>
      <c r="K177" s="40"/>
      <c r="L177" s="40"/>
      <c r="M177" s="158"/>
      <c r="O177" s="29"/>
      <c r="P177" s="4"/>
      <c r="Q177" s="4"/>
      <c r="R177" s="4"/>
      <c r="S177" s="4"/>
      <c r="T177" s="4"/>
      <c r="U177" s="4"/>
      <c r="V177" s="4"/>
      <c r="W177" s="4"/>
      <c r="Y177" s="31"/>
    </row>
    <row r="178" spans="1:25" ht="14.1" customHeight="1">
      <c r="A178" s="16">
        <v>34</v>
      </c>
      <c r="B178" s="66"/>
      <c r="C178" s="144" t="s">
        <v>224</v>
      </c>
      <c r="D178" s="67"/>
      <c r="E178" s="67"/>
      <c r="F178" s="67"/>
      <c r="G178" s="67"/>
      <c r="H178" s="67"/>
      <c r="I178" s="67"/>
      <c r="J178" s="67"/>
      <c r="K178" s="67"/>
      <c r="L178" s="67"/>
      <c r="M178" s="68"/>
      <c r="O178" s="137" t="s">
        <v>233</v>
      </c>
      <c r="Y178" s="31"/>
    </row>
    <row r="179" spans="1:25" ht="14.1" customHeight="1">
      <c r="A179" s="16">
        <v>35</v>
      </c>
      <c r="B179" s="66"/>
      <c r="C179" s="67"/>
      <c r="D179" s="963" t="s">
        <v>225</v>
      </c>
      <c r="E179" s="963"/>
      <c r="F179" s="963"/>
      <c r="G179" s="963"/>
      <c r="H179" s="67"/>
      <c r="I179" s="534" t="s">
        <v>226</v>
      </c>
      <c r="J179" s="534"/>
      <c r="K179" s="67"/>
      <c r="L179" s="67"/>
      <c r="M179" s="68"/>
      <c r="O179" s="159"/>
      <c r="P179" s="160" t="s">
        <v>93</v>
      </c>
      <c r="Q179" s="136"/>
      <c r="T179" s="160" t="s">
        <v>93</v>
      </c>
      <c r="U179" s="136"/>
      <c r="V179" s="4"/>
      <c r="X179" s="4"/>
      <c r="Y179" s="31"/>
    </row>
    <row r="180" spans="1:25" ht="14.1" customHeight="1" thickBot="1">
      <c r="A180" s="16">
        <v>36</v>
      </c>
      <c r="B180" s="66"/>
      <c r="C180" s="67"/>
      <c r="D180" s="153" t="s">
        <v>227</v>
      </c>
      <c r="E180" s="153" t="s">
        <v>228</v>
      </c>
      <c r="F180" s="153" t="s">
        <v>229</v>
      </c>
      <c r="G180" s="154" t="s">
        <v>230</v>
      </c>
      <c r="H180" s="67"/>
      <c r="I180" s="302" t="s">
        <v>231</v>
      </c>
      <c r="J180" s="141"/>
      <c r="K180" s="67"/>
      <c r="L180" s="67"/>
      <c r="M180" s="68"/>
      <c r="O180" s="159"/>
      <c r="P180" s="160" t="s">
        <v>171</v>
      </c>
      <c r="Q180" s="136"/>
      <c r="R180" s="4"/>
      <c r="S180" s="4"/>
      <c r="T180" s="160" t="s">
        <v>171</v>
      </c>
      <c r="U180" s="136"/>
      <c r="V180" s="4"/>
      <c r="W180" s="4"/>
      <c r="X180" s="4"/>
      <c r="Y180" s="31"/>
    </row>
    <row r="181" spans="1:25" ht="14.1" customHeight="1" thickBot="1">
      <c r="A181" s="16">
        <v>37</v>
      </c>
      <c r="B181" s="66"/>
      <c r="C181" s="67"/>
      <c r="D181" s="176" t="str">
        <f>IF(P175="","",P175)</f>
        <v/>
      </c>
      <c r="E181" s="176" t="str">
        <f>IF(Q175="","",Q175)</f>
        <v/>
      </c>
      <c r="F181" s="176" t="str">
        <f>IF(R175="","",R175)</f>
        <v/>
      </c>
      <c r="G181" s="177" t="str">
        <f>IF(S175="","",S175)</f>
        <v/>
      </c>
      <c r="H181" s="67"/>
      <c r="I181" s="178" t="str">
        <f>IF(U175="","",U175)</f>
        <v/>
      </c>
      <c r="J181" s="362"/>
      <c r="K181" s="160" t="s">
        <v>215</v>
      </c>
      <c r="L181" s="142" t="str">
        <f>IF(X175="","",X175)</f>
        <v/>
      </c>
      <c r="M181" s="68"/>
      <c r="O181" s="159"/>
      <c r="P181" s="160" t="s">
        <v>216</v>
      </c>
      <c r="Q181" s="136"/>
      <c r="R181" s="4"/>
      <c r="S181" s="4"/>
      <c r="T181" s="160" t="s">
        <v>216</v>
      </c>
      <c r="U181" s="136"/>
      <c r="V181" s="4"/>
      <c r="W181" s="4"/>
      <c r="X181" s="4"/>
      <c r="Y181" s="31"/>
    </row>
    <row r="182" spans="1:25" ht="14.1" customHeight="1">
      <c r="A182" s="16">
        <v>38</v>
      </c>
      <c r="B182" s="66"/>
      <c r="C182" s="67"/>
      <c r="D182" s="3" t="s">
        <v>201</v>
      </c>
      <c r="E182" s="100" t="s">
        <v>250</v>
      </c>
      <c r="F182" s="67"/>
      <c r="G182" s="67"/>
      <c r="H182" s="67"/>
      <c r="I182" s="67"/>
      <c r="J182" s="67"/>
      <c r="K182" s="67"/>
      <c r="L182" s="67"/>
      <c r="M182" s="68"/>
      <c r="O182" s="29"/>
      <c r="P182" s="67"/>
      <c r="Q182" s="941" t="s">
        <v>237</v>
      </c>
      <c r="R182" s="941"/>
      <c r="S182" s="941"/>
      <c r="T182" s="4"/>
      <c r="U182" s="941" t="s">
        <v>237</v>
      </c>
      <c r="V182" s="941"/>
      <c r="W182" s="941"/>
      <c r="X182" s="4"/>
      <c r="Y182" s="31"/>
    </row>
    <row r="183" spans="1:25" ht="14.1" customHeight="1" thickBot="1">
      <c r="A183" s="16">
        <v>39</v>
      </c>
      <c r="B183" s="157"/>
      <c r="C183" s="40"/>
      <c r="D183" s="40"/>
      <c r="E183" s="40"/>
      <c r="F183" s="40"/>
      <c r="G183" s="40"/>
      <c r="H183" s="40"/>
      <c r="I183" s="40"/>
      <c r="J183" s="40"/>
      <c r="K183" s="40"/>
      <c r="L183" s="40"/>
      <c r="M183" s="158"/>
      <c r="O183" s="29"/>
      <c r="P183" s="67"/>
      <c r="Q183" s="535" t="s">
        <v>238</v>
      </c>
      <c r="R183" s="535" t="s">
        <v>239</v>
      </c>
      <c r="S183" s="106" t="s">
        <v>240</v>
      </c>
      <c r="T183" s="4"/>
      <c r="U183" s="535" t="s">
        <v>238</v>
      </c>
      <c r="V183" s="535" t="s">
        <v>239</v>
      </c>
      <c r="W183" s="106" t="s">
        <v>240</v>
      </c>
      <c r="X183" s="4"/>
      <c r="Y183" s="31"/>
    </row>
    <row r="184" spans="1:25" ht="14.1" customHeight="1">
      <c r="A184" s="16">
        <v>40</v>
      </c>
      <c r="B184" s="477"/>
      <c r="C184" s="62" t="s">
        <v>233</v>
      </c>
      <c r="D184" s="22"/>
      <c r="E184" s="22"/>
      <c r="F184" s="22"/>
      <c r="G184" s="62"/>
      <c r="H184" s="62" t="s">
        <v>249</v>
      </c>
      <c r="I184" s="22"/>
      <c r="J184" s="22"/>
      <c r="K184" s="22"/>
      <c r="L184" s="22"/>
      <c r="M184" s="457"/>
      <c r="O184" s="159"/>
      <c r="P184" s="160" t="s">
        <v>241</v>
      </c>
      <c r="Q184" s="161"/>
      <c r="R184" s="162"/>
      <c r="S184" s="163"/>
      <c r="T184" s="4"/>
      <c r="U184" s="161"/>
      <c r="V184" s="162"/>
      <c r="W184" s="163"/>
      <c r="X184" s="4"/>
      <c r="Y184" s="31"/>
    </row>
    <row r="185" spans="1:25" ht="14.1" customHeight="1" thickBot="1">
      <c r="A185" s="16">
        <v>41</v>
      </c>
      <c r="B185" s="66"/>
      <c r="C185" s="160" t="s">
        <v>93</v>
      </c>
      <c r="D185" s="106" t="str">
        <f>IF(Q179="","",Q179)</f>
        <v/>
      </c>
      <c r="E185" s="67"/>
      <c r="F185" s="67"/>
      <c r="G185" s="67"/>
      <c r="H185" s="160" t="s">
        <v>93</v>
      </c>
      <c r="I185" s="661" t="str">
        <f>IF(Q179="","",Q179)</f>
        <v/>
      </c>
      <c r="J185" s="67"/>
      <c r="K185" s="160" t="s">
        <v>93</v>
      </c>
      <c r="L185" s="661" t="str">
        <f>IF(U179="","",U179)</f>
        <v/>
      </c>
      <c r="M185" s="68"/>
      <c r="O185" s="159"/>
      <c r="P185" s="160" t="s">
        <v>242</v>
      </c>
      <c r="Q185" s="164"/>
      <c r="R185" s="165"/>
      <c r="S185" s="166"/>
      <c r="T185" s="4"/>
      <c r="U185" s="164"/>
      <c r="V185" s="165"/>
      <c r="W185" s="166"/>
      <c r="X185" s="4"/>
      <c r="Y185" s="31"/>
    </row>
    <row r="186" spans="1:25" ht="14.1" customHeight="1">
      <c r="A186" s="16">
        <v>42</v>
      </c>
      <c r="B186" s="66"/>
      <c r="C186" s="106"/>
      <c r="D186" s="975" t="s">
        <v>237</v>
      </c>
      <c r="E186" s="976"/>
      <c r="F186" s="977"/>
      <c r="G186" s="160"/>
      <c r="H186" s="975" t="s">
        <v>237</v>
      </c>
      <c r="I186" s="976"/>
      <c r="J186" s="977"/>
      <c r="K186" s="975" t="s">
        <v>237</v>
      </c>
      <c r="L186" s="976"/>
      <c r="M186" s="978"/>
      <c r="O186" s="159"/>
      <c r="P186" s="160" t="s">
        <v>243</v>
      </c>
      <c r="Q186" s="164"/>
      <c r="R186" s="165"/>
      <c r="S186" s="166"/>
      <c r="T186" s="4"/>
      <c r="U186" s="164"/>
      <c r="V186" s="165"/>
      <c r="W186" s="166"/>
      <c r="X186" s="4"/>
      <c r="Y186" s="31"/>
    </row>
    <row r="187" spans="1:25" ht="14.1" customHeight="1" thickBot="1">
      <c r="A187" s="16">
        <v>43</v>
      </c>
      <c r="B187" s="66"/>
      <c r="C187" s="325"/>
      <c r="D187" s="330" t="s">
        <v>238</v>
      </c>
      <c r="E187" s="289" t="s">
        <v>239</v>
      </c>
      <c r="F187" s="331" t="s">
        <v>240</v>
      </c>
      <c r="G187" s="106"/>
      <c r="H187" s="330" t="s">
        <v>238</v>
      </c>
      <c r="I187" s="289" t="s">
        <v>239</v>
      </c>
      <c r="J187" s="331" t="s">
        <v>240</v>
      </c>
      <c r="K187" s="330" t="s">
        <v>238</v>
      </c>
      <c r="L187" s="289" t="s">
        <v>239</v>
      </c>
      <c r="M187" s="478" t="s">
        <v>240</v>
      </c>
      <c r="O187" s="159"/>
      <c r="P187" s="160" t="s">
        <v>244</v>
      </c>
      <c r="Q187" s="168"/>
      <c r="R187" s="169"/>
      <c r="S187" s="170"/>
      <c r="T187" s="4"/>
      <c r="U187" s="168"/>
      <c r="V187" s="169"/>
      <c r="W187" s="170"/>
      <c r="Y187" s="31"/>
    </row>
    <row r="188" spans="1:25" ht="14.1" customHeight="1">
      <c r="A188" s="16">
        <v>44</v>
      </c>
      <c r="B188" s="66"/>
      <c r="C188" s="160" t="s">
        <v>241</v>
      </c>
      <c r="D188" s="341" t="str">
        <f>IF(Q184="","",Q184)</f>
        <v/>
      </c>
      <c r="E188" s="303" t="str">
        <f t="shared" ref="E188:F188" si="24">IF(R184="","",R184)</f>
        <v/>
      </c>
      <c r="F188" s="342" t="str">
        <f t="shared" si="24"/>
        <v/>
      </c>
      <c r="G188" s="340" t="s">
        <v>241</v>
      </c>
      <c r="H188" s="332" t="str">
        <f t="shared" ref="H188:J193" si="25">IF(Q196="","",Q196)</f>
        <v/>
      </c>
      <c r="I188" s="329" t="str">
        <f t="shared" si="25"/>
        <v/>
      </c>
      <c r="J188" s="333" t="str">
        <f t="shared" si="25"/>
        <v/>
      </c>
      <c r="K188" s="337" t="str">
        <f t="shared" ref="K188:M193" si="26">IF(U196="","",U196)</f>
        <v/>
      </c>
      <c r="L188" s="328" t="str">
        <f t="shared" si="26"/>
        <v/>
      </c>
      <c r="M188" s="479" t="str">
        <f t="shared" si="26"/>
        <v/>
      </c>
      <c r="O188" s="159"/>
      <c r="P188" s="160" t="s">
        <v>245</v>
      </c>
      <c r="Q188" s="201" t="str">
        <f>IF(OR(Q184="",Q185=""),"",ABS(Q184)+ABS(Q185))</f>
        <v/>
      </c>
      <c r="R188" s="202" t="str">
        <f>IF(OR(R184="",R185=""),"",ABS(R184)+ABS(R185))</f>
        <v/>
      </c>
      <c r="S188" s="174" t="str">
        <f>IF(OR(S184="",S185=""),"",ABS(S184)+ABS(S185))</f>
        <v/>
      </c>
      <c r="U188" s="201" t="str">
        <f>IF(OR(U184="",U185=""),"",ABS(U184)+ABS(U185))</f>
        <v/>
      </c>
      <c r="V188" s="202" t="str">
        <f>IF(OR(V184="",V185=""),"",ABS(V184)+ABS(V185))</f>
        <v/>
      </c>
      <c r="W188" s="174" t="str">
        <f>IF(OR(W184="",W185=""),"",ABS(W184)+ABS(W185))</f>
        <v/>
      </c>
      <c r="Y188" s="31"/>
    </row>
    <row r="189" spans="1:25" ht="14.1" customHeight="1" thickBot="1">
      <c r="A189" s="16">
        <v>45</v>
      </c>
      <c r="B189" s="66"/>
      <c r="C189" s="160" t="s">
        <v>242</v>
      </c>
      <c r="D189" s="341" t="str">
        <f t="shared" ref="D189:F193" si="27">IF(Q185="","",Q185)</f>
        <v/>
      </c>
      <c r="E189" s="303" t="str">
        <f t="shared" si="27"/>
        <v/>
      </c>
      <c r="F189" s="342" t="str">
        <f t="shared" si="27"/>
        <v/>
      </c>
      <c r="G189" s="340" t="s">
        <v>242</v>
      </c>
      <c r="H189" s="332" t="str">
        <f t="shared" si="25"/>
        <v/>
      </c>
      <c r="I189" s="329" t="str">
        <f t="shared" si="25"/>
        <v/>
      </c>
      <c r="J189" s="333" t="str">
        <f t="shared" si="25"/>
        <v/>
      </c>
      <c r="K189" s="337" t="str">
        <f t="shared" si="26"/>
        <v/>
      </c>
      <c r="L189" s="328" t="str">
        <f t="shared" si="26"/>
        <v/>
      </c>
      <c r="M189" s="479" t="str">
        <f t="shared" si="26"/>
        <v/>
      </c>
      <c r="O189" s="159"/>
      <c r="P189" s="160" t="s">
        <v>246</v>
      </c>
      <c r="Q189" s="204" t="str">
        <f>IF(OR(Q186="",Q187=""),"",ABS(Q186)+ABS(Q187))</f>
        <v/>
      </c>
      <c r="R189" s="205" t="str">
        <f>IF(OR(R186="",R187=""),"",ABS(R186)+ABS(R187))</f>
        <v/>
      </c>
      <c r="S189" s="175" t="str">
        <f>IF(OR(S186="",S187=""),"",ABS(S186)+ABS(S187))</f>
        <v/>
      </c>
      <c r="U189" s="204" t="str">
        <f>IF(OR(U186="",U187=""),"",ABS(U186)+ABS(U187))</f>
        <v/>
      </c>
      <c r="V189" s="205" t="str">
        <f>IF(OR(V186="",V187=""),"",ABS(V186)+ABS(V187))</f>
        <v/>
      </c>
      <c r="W189" s="175" t="str">
        <f>IF(OR(W186="",W187=""),"",ABS(W186)+ABS(W187))</f>
        <v/>
      </c>
      <c r="Y189" s="31"/>
    </row>
    <row r="190" spans="1:25" ht="14.1" customHeight="1">
      <c r="A190" s="16">
        <v>46</v>
      </c>
      <c r="B190" s="66"/>
      <c r="C190" s="160" t="s">
        <v>243</v>
      </c>
      <c r="D190" s="341" t="str">
        <f t="shared" si="27"/>
        <v/>
      </c>
      <c r="E190" s="303" t="str">
        <f t="shared" si="27"/>
        <v/>
      </c>
      <c r="F190" s="342" t="str">
        <f t="shared" si="27"/>
        <v/>
      </c>
      <c r="G190" s="340" t="s">
        <v>243</v>
      </c>
      <c r="H190" s="332" t="str">
        <f t="shared" si="25"/>
        <v/>
      </c>
      <c r="I190" s="329" t="str">
        <f t="shared" si="25"/>
        <v/>
      </c>
      <c r="J190" s="333" t="str">
        <f t="shared" si="25"/>
        <v/>
      </c>
      <c r="K190" s="337" t="str">
        <f t="shared" si="26"/>
        <v/>
      </c>
      <c r="L190" s="328" t="str">
        <f t="shared" si="26"/>
        <v/>
      </c>
      <c r="M190" s="479" t="str">
        <f t="shared" si="26"/>
        <v/>
      </c>
      <c r="O190" s="29"/>
      <c r="P190" s="112" t="s">
        <v>201</v>
      </c>
      <c r="Q190" s="26" t="s">
        <v>620</v>
      </c>
      <c r="R190" s="4"/>
      <c r="X190" s="4"/>
      <c r="Y190" s="31"/>
    </row>
    <row r="191" spans="1:25" ht="14.1" customHeight="1" thickBot="1">
      <c r="A191" s="16">
        <v>47</v>
      </c>
      <c r="B191" s="66"/>
      <c r="C191" s="160" t="s">
        <v>244</v>
      </c>
      <c r="D191" s="343" t="str">
        <f t="shared" si="27"/>
        <v/>
      </c>
      <c r="E191" s="344" t="str">
        <f t="shared" si="27"/>
        <v/>
      </c>
      <c r="F191" s="345" t="str">
        <f t="shared" si="27"/>
        <v/>
      </c>
      <c r="G191" s="340" t="s">
        <v>244</v>
      </c>
      <c r="H191" s="334" t="str">
        <f t="shared" si="25"/>
        <v/>
      </c>
      <c r="I191" s="335" t="str">
        <f t="shared" si="25"/>
        <v/>
      </c>
      <c r="J191" s="336" t="str">
        <f t="shared" si="25"/>
        <v/>
      </c>
      <c r="K191" s="338" t="str">
        <f t="shared" si="26"/>
        <v/>
      </c>
      <c r="L191" s="339" t="str">
        <f t="shared" si="26"/>
        <v/>
      </c>
      <c r="M191" s="480" t="str">
        <f t="shared" si="26"/>
        <v/>
      </c>
      <c r="O191" s="29"/>
      <c r="P191" s="26"/>
      <c r="Q191" s="26" t="s">
        <v>621</v>
      </c>
      <c r="R191" s="4"/>
      <c r="S191" s="4"/>
      <c r="T191" s="4"/>
      <c r="U191" s="4"/>
      <c r="V191" s="4"/>
      <c r="W191" s="4"/>
      <c r="X191" s="4"/>
      <c r="Y191" s="31"/>
    </row>
    <row r="192" spans="1:25" ht="14.1" customHeight="1">
      <c r="A192" s="16">
        <v>48</v>
      </c>
      <c r="B192" s="66"/>
      <c r="C192" s="160" t="s">
        <v>245</v>
      </c>
      <c r="D192" s="351" t="str">
        <f t="shared" si="27"/>
        <v/>
      </c>
      <c r="E192" s="352" t="str">
        <f t="shared" si="27"/>
        <v/>
      </c>
      <c r="F192" s="353" t="str">
        <f t="shared" si="27"/>
        <v/>
      </c>
      <c r="G192" s="340" t="s">
        <v>254</v>
      </c>
      <c r="H192" s="357" t="str">
        <f t="shared" si="25"/>
        <v/>
      </c>
      <c r="I192" s="358" t="str">
        <f t="shared" si="25"/>
        <v/>
      </c>
      <c r="J192" s="359" t="str">
        <f t="shared" si="25"/>
        <v/>
      </c>
      <c r="K192" s="354" t="str">
        <f t="shared" si="26"/>
        <v/>
      </c>
      <c r="L192" s="355" t="str">
        <f t="shared" si="26"/>
        <v/>
      </c>
      <c r="M192" s="481" t="str">
        <f t="shared" si="26"/>
        <v/>
      </c>
      <c r="O192" s="29"/>
      <c r="P192" s="4"/>
      <c r="Q192" s="4"/>
      <c r="R192" s="4"/>
      <c r="S192" s="4"/>
      <c r="T192" s="4"/>
      <c r="U192" s="4"/>
      <c r="V192" s="4"/>
      <c r="W192" s="4"/>
      <c r="Y192" s="31"/>
    </row>
    <row r="193" spans="1:29" ht="14.1" customHeight="1" thickBot="1">
      <c r="A193" s="16">
        <v>49</v>
      </c>
      <c r="B193" s="66"/>
      <c r="C193" s="160" t="s">
        <v>246</v>
      </c>
      <c r="D193" s="343" t="str">
        <f t="shared" si="27"/>
        <v/>
      </c>
      <c r="E193" s="344" t="str">
        <f t="shared" si="27"/>
        <v/>
      </c>
      <c r="F193" s="345" t="str">
        <f t="shared" si="27"/>
        <v/>
      </c>
      <c r="G193" s="340" t="s">
        <v>255</v>
      </c>
      <c r="H193" s="334" t="str">
        <f t="shared" si="25"/>
        <v/>
      </c>
      <c r="I193" s="335" t="str">
        <f t="shared" si="25"/>
        <v/>
      </c>
      <c r="J193" s="336" t="str">
        <f t="shared" si="25"/>
        <v/>
      </c>
      <c r="K193" s="338" t="str">
        <f t="shared" si="26"/>
        <v/>
      </c>
      <c r="L193" s="339" t="str">
        <f t="shared" si="26"/>
        <v/>
      </c>
      <c r="M193" s="480" t="str">
        <f t="shared" si="26"/>
        <v/>
      </c>
      <c r="O193" s="137" t="s">
        <v>249</v>
      </c>
      <c r="Y193" s="31"/>
    </row>
    <row r="194" spans="1:29" ht="14.1" customHeight="1" thickBot="1">
      <c r="A194" s="16">
        <v>50</v>
      </c>
      <c r="B194" s="66"/>
      <c r="C194" s="160" t="s">
        <v>93</v>
      </c>
      <c r="D194" s="106" t="str">
        <f>IF(U179="","",U179)</f>
        <v/>
      </c>
      <c r="E194" s="67"/>
      <c r="F194" s="67"/>
      <c r="G194" s="67"/>
      <c r="H194" s="327" t="str">
        <f>IF(D192="","",IF(MAX(D192:F193,D199:F200)&gt;13,"Fail","Pass"))</f>
        <v/>
      </c>
      <c r="I194" s="67" t="s">
        <v>516</v>
      </c>
      <c r="J194" s="67"/>
      <c r="K194" s="67"/>
      <c r="L194" s="67"/>
      <c r="M194" s="68"/>
      <c r="O194" s="159"/>
      <c r="P194" s="67"/>
      <c r="Q194" s="941" t="s">
        <v>237</v>
      </c>
      <c r="R194" s="941"/>
      <c r="S194" s="941"/>
      <c r="T194" s="4"/>
      <c r="U194" s="941" t="s">
        <v>237</v>
      </c>
      <c r="V194" s="941"/>
      <c r="W194" s="941"/>
      <c r="X194" s="4"/>
      <c r="Y194" s="31"/>
    </row>
    <row r="195" spans="1:29" ht="14.1" customHeight="1" thickBot="1">
      <c r="A195" s="16">
        <v>51</v>
      </c>
      <c r="B195" s="66"/>
      <c r="C195" s="160" t="s">
        <v>241</v>
      </c>
      <c r="D195" s="346" t="str">
        <f>IF(U184="","",U184)</f>
        <v/>
      </c>
      <c r="E195" s="347" t="str">
        <f t="shared" ref="E195:F200" si="28">IF(V184="","",V184)</f>
        <v/>
      </c>
      <c r="F195" s="348" t="str">
        <f t="shared" si="28"/>
        <v/>
      </c>
      <c r="G195" s="67"/>
      <c r="H195" s="327" t="str">
        <f>IF(OR(H188="",K188=""),"",IF(MAX(H188:M191)&gt;13,"Fail","Pass"))</f>
        <v/>
      </c>
      <c r="I195" s="67" t="s">
        <v>517</v>
      </c>
      <c r="J195" s="67"/>
      <c r="K195" s="67"/>
      <c r="L195" s="67"/>
      <c r="M195" s="68"/>
      <c r="O195" s="159"/>
      <c r="P195" s="67"/>
      <c r="Q195" s="681" t="s">
        <v>238</v>
      </c>
      <c r="R195" s="681" t="s">
        <v>239</v>
      </c>
      <c r="S195" s="661" t="s">
        <v>240</v>
      </c>
      <c r="T195" s="4"/>
      <c r="U195" s="681" t="s">
        <v>238</v>
      </c>
      <c r="V195" s="681" t="s">
        <v>239</v>
      </c>
      <c r="W195" s="661" t="s">
        <v>240</v>
      </c>
      <c r="X195" s="4"/>
      <c r="Y195" s="31"/>
    </row>
    <row r="196" spans="1:29" ht="14.1" customHeight="1">
      <c r="A196" s="16">
        <v>52</v>
      </c>
      <c r="B196" s="66"/>
      <c r="C196" s="160" t="s">
        <v>242</v>
      </c>
      <c r="D196" s="337" t="str">
        <f t="shared" ref="D196:D200" si="29">IF(U185="","",U185)</f>
        <v/>
      </c>
      <c r="E196" s="328" t="str">
        <f t="shared" si="28"/>
        <v/>
      </c>
      <c r="F196" s="349" t="str">
        <f t="shared" si="28"/>
        <v/>
      </c>
      <c r="G196" s="67"/>
      <c r="H196" s="327" t="str">
        <f>IF(OR(H192="",K192=""),"",IF(OR(MAX(H192:M192)&gt;6.5,MAX(H193:M193)&gt;5),"Fail","Pass"))</f>
        <v/>
      </c>
      <c r="I196" s="67" t="s">
        <v>518</v>
      </c>
      <c r="J196" s="67"/>
      <c r="K196" s="67"/>
      <c r="L196" s="67"/>
      <c r="M196" s="68"/>
      <c r="O196" s="159"/>
      <c r="P196" s="160" t="s">
        <v>241</v>
      </c>
      <c r="Q196" s="161"/>
      <c r="R196" s="162"/>
      <c r="S196" s="163"/>
      <c r="T196" s="4"/>
      <c r="U196" s="161"/>
      <c r="V196" s="162"/>
      <c r="W196" s="163"/>
      <c r="X196" s="4"/>
      <c r="Y196" s="31"/>
    </row>
    <row r="197" spans="1:29" ht="14.1" customHeight="1">
      <c r="A197" s="16">
        <v>53</v>
      </c>
      <c r="B197" s="66"/>
      <c r="C197" s="160" t="s">
        <v>243</v>
      </c>
      <c r="D197" s="337" t="str">
        <f t="shared" si="29"/>
        <v/>
      </c>
      <c r="E197" s="328" t="str">
        <f t="shared" si="28"/>
        <v/>
      </c>
      <c r="F197" s="349" t="str">
        <f t="shared" si="28"/>
        <v/>
      </c>
      <c r="G197" s="3" t="s">
        <v>201</v>
      </c>
      <c r="H197" s="190" t="s">
        <v>247</v>
      </c>
      <c r="M197" s="68"/>
      <c r="O197" s="29"/>
      <c r="P197" s="160" t="s">
        <v>242</v>
      </c>
      <c r="Q197" s="164"/>
      <c r="R197" s="165"/>
      <c r="S197" s="166"/>
      <c r="T197" s="4"/>
      <c r="U197" s="164"/>
      <c r="V197" s="165"/>
      <c r="W197" s="166"/>
      <c r="X197" s="4"/>
      <c r="Y197" s="31"/>
    </row>
    <row r="198" spans="1:29" ht="14.1" customHeight="1" thickBot="1">
      <c r="A198" s="16">
        <v>54</v>
      </c>
      <c r="B198" s="66"/>
      <c r="C198" s="160" t="s">
        <v>244</v>
      </c>
      <c r="D198" s="338" t="str">
        <f t="shared" si="29"/>
        <v/>
      </c>
      <c r="E198" s="339" t="str">
        <f t="shared" si="28"/>
        <v/>
      </c>
      <c r="F198" s="350" t="str">
        <f t="shared" si="28"/>
        <v/>
      </c>
      <c r="H198" s="190" t="s">
        <v>248</v>
      </c>
      <c r="M198" s="68"/>
      <c r="O198" s="29"/>
      <c r="P198" s="160" t="s">
        <v>243</v>
      </c>
      <c r="Q198" s="164"/>
      <c r="R198" s="165"/>
      <c r="S198" s="166"/>
      <c r="T198" s="4"/>
      <c r="U198" s="164"/>
      <c r="V198" s="165"/>
      <c r="W198" s="166"/>
      <c r="X198" s="4"/>
      <c r="Y198" s="31"/>
    </row>
    <row r="199" spans="1:29" ht="14.1" customHeight="1" thickBot="1">
      <c r="A199" s="16">
        <v>55</v>
      </c>
      <c r="B199" s="66"/>
      <c r="C199" s="160" t="s">
        <v>245</v>
      </c>
      <c r="D199" s="354" t="str">
        <f t="shared" si="29"/>
        <v/>
      </c>
      <c r="E199" s="355" t="str">
        <f t="shared" si="28"/>
        <v/>
      </c>
      <c r="F199" s="356" t="str">
        <f t="shared" si="28"/>
        <v/>
      </c>
      <c r="G199" s="363"/>
      <c r="H199" s="190" t="s">
        <v>256</v>
      </c>
      <c r="I199" s="67"/>
      <c r="J199" s="67"/>
      <c r="K199" s="67"/>
      <c r="L199" s="67"/>
      <c r="M199" s="68"/>
      <c r="O199" s="159"/>
      <c r="P199" s="160" t="s">
        <v>244</v>
      </c>
      <c r="Q199" s="168"/>
      <c r="R199" s="169"/>
      <c r="S199" s="170"/>
      <c r="T199" s="4"/>
      <c r="U199" s="168"/>
      <c r="V199" s="169"/>
      <c r="W199" s="170"/>
      <c r="X199" s="4"/>
      <c r="Y199" s="31"/>
    </row>
    <row r="200" spans="1:29" ht="14.1" customHeight="1" thickBot="1">
      <c r="A200" s="16">
        <v>56</v>
      </c>
      <c r="B200" s="66"/>
      <c r="C200" s="160" t="s">
        <v>246</v>
      </c>
      <c r="D200" s="338" t="str">
        <f t="shared" si="29"/>
        <v/>
      </c>
      <c r="E200" s="339" t="str">
        <f t="shared" si="28"/>
        <v/>
      </c>
      <c r="F200" s="350" t="str">
        <f t="shared" si="28"/>
        <v/>
      </c>
      <c r="G200" s="3"/>
      <c r="H200" s="190" t="s">
        <v>257</v>
      </c>
      <c r="I200" s="67"/>
      <c r="J200" s="67"/>
      <c r="K200" s="67"/>
      <c r="L200" s="67"/>
      <c r="M200" s="68"/>
      <c r="O200" s="159"/>
      <c r="P200" s="160" t="s">
        <v>253</v>
      </c>
      <c r="Q200" s="161"/>
      <c r="R200" s="162"/>
      <c r="S200" s="163"/>
      <c r="U200" s="161"/>
      <c r="V200" s="162"/>
      <c r="W200" s="163"/>
      <c r="X200" s="4"/>
      <c r="Y200" s="31"/>
    </row>
    <row r="201" spans="1:29" ht="14.1" customHeight="1" thickBot="1">
      <c r="A201" s="16">
        <v>57</v>
      </c>
      <c r="B201" s="66"/>
      <c r="C201" s="67"/>
      <c r="D201" s="67"/>
      <c r="E201" s="190"/>
      <c r="F201" s="67"/>
      <c r="H201" s="26" t="s">
        <v>624</v>
      </c>
      <c r="I201" s="67"/>
      <c r="J201" s="67"/>
      <c r="K201" s="67"/>
      <c r="L201" s="67"/>
      <c r="M201" s="68"/>
      <c r="O201" s="159"/>
      <c r="P201" s="160" t="s">
        <v>255</v>
      </c>
      <c r="Q201" s="185"/>
      <c r="R201" s="186"/>
      <c r="S201" s="187"/>
      <c r="U201" s="185"/>
      <c r="V201" s="186"/>
      <c r="W201" s="187"/>
      <c r="X201" s="67"/>
      <c r="Y201" s="31"/>
    </row>
    <row r="202" spans="1:29" ht="14.1" customHeight="1" thickBot="1">
      <c r="A202" s="16">
        <v>58</v>
      </c>
      <c r="B202" s="364"/>
      <c r="C202" s="365"/>
      <c r="D202" s="365"/>
      <c r="E202" s="365"/>
      <c r="F202" s="365"/>
      <c r="G202" s="360"/>
      <c r="H202" s="864" t="s">
        <v>778</v>
      </c>
      <c r="I202" s="365"/>
      <c r="J202" s="365"/>
      <c r="K202" s="365"/>
      <c r="L202" s="365"/>
      <c r="M202" s="366"/>
      <c r="O202" s="159"/>
      <c r="P202" s="112" t="s">
        <v>201</v>
      </c>
      <c r="Q202" s="26" t="s">
        <v>624</v>
      </c>
      <c r="R202" s="4"/>
      <c r="X202" s="67"/>
      <c r="Y202" s="31"/>
    </row>
    <row r="203" spans="1:29" ht="14.1" customHeight="1" thickBot="1">
      <c r="A203" s="16">
        <v>59</v>
      </c>
      <c r="B203" s="66"/>
      <c r="C203" s="144" t="s">
        <v>258</v>
      </c>
      <c r="D203" s="67"/>
      <c r="E203" s="67"/>
      <c r="F203" s="67"/>
      <c r="G203" s="67"/>
      <c r="H203" s="67"/>
      <c r="I203" s="67"/>
      <c r="J203" s="67"/>
      <c r="K203" s="67"/>
      <c r="L203" s="67"/>
      <c r="M203" s="68"/>
      <c r="O203" s="159"/>
      <c r="P203" s="26"/>
      <c r="Q203" s="26" t="s">
        <v>622</v>
      </c>
      <c r="R203" s="4"/>
      <c r="Y203" s="31"/>
    </row>
    <row r="204" spans="1:29" ht="14.1" customHeight="1" thickBot="1">
      <c r="A204" s="16">
        <v>60</v>
      </c>
      <c r="B204" s="66"/>
      <c r="C204" s="160" t="s">
        <v>50</v>
      </c>
      <c r="D204" s="381" t="str">
        <f t="shared" ref="D204:E207" si="30">IF(Q207="","",Q207)</f>
        <v/>
      </c>
      <c r="E204" s="382" t="str">
        <f t="shared" si="30"/>
        <v/>
      </c>
      <c r="F204" s="67"/>
      <c r="G204" s="67"/>
      <c r="H204" s="67"/>
      <c r="I204" s="67"/>
      <c r="J204" s="67"/>
      <c r="K204" s="67"/>
      <c r="L204" s="67"/>
      <c r="M204" s="68"/>
      <c r="O204" s="159"/>
      <c r="P204" s="4"/>
      <c r="Q204" s="26" t="s">
        <v>257</v>
      </c>
      <c r="R204" s="4"/>
      <c r="Y204" s="31"/>
    </row>
    <row r="205" spans="1:29" ht="14.1" customHeight="1" thickBot="1">
      <c r="A205" s="16">
        <v>61</v>
      </c>
      <c r="B205" s="66"/>
      <c r="C205" s="160" t="s">
        <v>171</v>
      </c>
      <c r="D205" s="383" t="str">
        <f t="shared" si="30"/>
        <v/>
      </c>
      <c r="E205" s="384" t="str">
        <f t="shared" si="30"/>
        <v/>
      </c>
      <c r="F205" s="67"/>
      <c r="G205" s="160" t="s">
        <v>215</v>
      </c>
      <c r="H205" s="142" t="str">
        <f>IF(AND(Q211="",R211=""),"",IF(OR(Q211="Fail",R211="Fail"),"Fail","Pass"))</f>
        <v/>
      </c>
      <c r="I205" s="67"/>
      <c r="J205" s="67"/>
      <c r="K205" s="67"/>
      <c r="L205" s="67"/>
      <c r="M205" s="68"/>
      <c r="O205" s="39"/>
      <c r="P205" s="189"/>
      <c r="Q205" s="189"/>
      <c r="R205" s="40"/>
      <c r="S205" s="40"/>
      <c r="T205" s="40"/>
      <c r="U205" s="40"/>
      <c r="V205" s="40"/>
      <c r="W205" s="40"/>
      <c r="X205" s="40"/>
      <c r="Y205" s="41"/>
    </row>
    <row r="206" spans="1:29" ht="14.1" customHeight="1">
      <c r="A206" s="16">
        <v>62</v>
      </c>
      <c r="B206" s="66"/>
      <c r="C206" s="160" t="s">
        <v>216</v>
      </c>
      <c r="D206" s="383" t="str">
        <f t="shared" si="30"/>
        <v/>
      </c>
      <c r="E206" s="384" t="str">
        <f t="shared" si="30"/>
        <v/>
      </c>
      <c r="F206" s="67"/>
      <c r="G206" s="3"/>
      <c r="H206" s="190"/>
      <c r="I206" s="67"/>
      <c r="J206" s="67"/>
      <c r="K206" s="67"/>
      <c r="L206" s="67"/>
      <c r="M206" s="68"/>
      <c r="O206" s="137" t="s">
        <v>258</v>
      </c>
      <c r="Y206" s="31"/>
    </row>
    <row r="207" spans="1:29" ht="14.1" customHeight="1" thickBot="1">
      <c r="A207" s="16">
        <v>63</v>
      </c>
      <c r="B207" s="66"/>
      <c r="C207" s="160" t="s">
        <v>260</v>
      </c>
      <c r="D207" s="385" t="str">
        <f t="shared" si="30"/>
        <v/>
      </c>
      <c r="E207" s="386" t="str">
        <f t="shared" si="30"/>
        <v/>
      </c>
      <c r="F207" s="67"/>
      <c r="G207" s="67"/>
      <c r="H207" s="67"/>
      <c r="I207" s="67"/>
      <c r="J207" s="67"/>
      <c r="K207" s="67"/>
      <c r="L207" s="67"/>
      <c r="M207" s="68"/>
      <c r="O207" s="29"/>
      <c r="P207" s="34" t="s">
        <v>93</v>
      </c>
      <c r="Q207" s="143"/>
      <c r="R207" s="143"/>
      <c r="Y207" s="31"/>
    </row>
    <row r="208" spans="1:29" ht="14.1" customHeight="1">
      <c r="A208" s="16">
        <v>64</v>
      </c>
      <c r="B208" s="66"/>
      <c r="C208" s="3" t="s">
        <v>201</v>
      </c>
      <c r="D208" s="190" t="str">
        <f>Q212</f>
        <v>Limiting system resolution must be 6 lp/mm or higher</v>
      </c>
      <c r="E208" s="67"/>
      <c r="F208" s="67"/>
      <c r="G208" s="67"/>
      <c r="H208" s="67"/>
      <c r="I208" s="67"/>
      <c r="J208" s="67"/>
      <c r="K208" s="67"/>
      <c r="L208" s="67"/>
      <c r="M208" s="68"/>
      <c r="O208" s="29"/>
      <c r="P208" s="34" t="s">
        <v>171</v>
      </c>
      <c r="Q208" s="143"/>
      <c r="R208" s="143"/>
      <c r="Y208" s="31"/>
      <c r="AA208" s="535"/>
      <c r="AB208" s="535"/>
      <c r="AC208" s="535"/>
    </row>
    <row r="209" spans="1:29" ht="14.1" customHeight="1">
      <c r="A209" s="16">
        <v>65</v>
      </c>
      <c r="B209" s="66"/>
      <c r="C209" s="67"/>
      <c r="D209" s="67"/>
      <c r="E209" s="67"/>
      <c r="F209" s="67"/>
      <c r="G209" s="67"/>
      <c r="H209" s="67"/>
      <c r="I209" s="67"/>
      <c r="J209" s="67"/>
      <c r="K209" s="67"/>
      <c r="L209" s="67"/>
      <c r="M209" s="68"/>
      <c r="O209" s="29"/>
      <c r="P209" s="34" t="s">
        <v>216</v>
      </c>
      <c r="Q209" s="143"/>
      <c r="R209" s="143"/>
      <c r="Y209" s="31"/>
      <c r="AA209" s="535"/>
      <c r="AB209" s="535"/>
      <c r="AC209" s="535"/>
    </row>
    <row r="210" spans="1:29" ht="14.1" customHeight="1">
      <c r="A210" s="16">
        <v>66</v>
      </c>
      <c r="B210" s="66"/>
      <c r="C210" s="67"/>
      <c r="D210" s="67"/>
      <c r="E210" s="67"/>
      <c r="F210" s="67"/>
      <c r="G210" s="67"/>
      <c r="H210" s="67"/>
      <c r="I210" s="67"/>
      <c r="J210" s="67"/>
      <c r="K210" s="67"/>
      <c r="L210" s="67"/>
      <c r="M210" s="68"/>
      <c r="O210" s="29"/>
      <c r="P210" s="34" t="s">
        <v>260</v>
      </c>
      <c r="Q210" s="143"/>
      <c r="R210" s="143"/>
      <c r="Y210" s="31"/>
      <c r="AA210" s="535"/>
      <c r="AB210" s="535"/>
      <c r="AC210" s="535"/>
    </row>
    <row r="211" spans="1:29" ht="14.1" customHeight="1">
      <c r="A211" s="16">
        <v>67</v>
      </c>
      <c r="B211" s="66"/>
      <c r="C211" s="67"/>
      <c r="D211" s="67"/>
      <c r="E211" s="67"/>
      <c r="F211" s="67"/>
      <c r="G211" s="67"/>
      <c r="H211" s="67"/>
      <c r="I211" s="67"/>
      <c r="J211" s="67"/>
      <c r="K211" s="67"/>
      <c r="L211" s="67"/>
      <c r="M211" s="68"/>
      <c r="O211" s="29"/>
      <c r="P211" s="34" t="s">
        <v>215</v>
      </c>
      <c r="Q211" s="10" t="str">
        <f>IF(Q210="","",IF(Q210&gt;=7,"Pass","Fail"))</f>
        <v/>
      </c>
      <c r="R211" s="10" t="str">
        <f>IF(R210="","",IF(R210&gt;=7,"Pass","Fail"))</f>
        <v/>
      </c>
      <c r="Y211" s="31"/>
      <c r="AA211" s="535"/>
      <c r="AB211" s="535"/>
      <c r="AC211" s="535"/>
    </row>
    <row r="212" spans="1:29" ht="14.1" customHeight="1">
      <c r="A212" s="16">
        <v>68</v>
      </c>
      <c r="B212" s="66"/>
      <c r="C212" s="67"/>
      <c r="D212" s="67"/>
      <c r="E212" s="67"/>
      <c r="F212" s="67"/>
      <c r="G212" s="67"/>
      <c r="H212" s="67"/>
      <c r="I212" s="67"/>
      <c r="J212" s="67"/>
      <c r="K212" s="67"/>
      <c r="L212" s="67"/>
      <c r="M212" s="68"/>
      <c r="O212" s="29"/>
      <c r="P212" s="3" t="s">
        <v>201</v>
      </c>
      <c r="Q212" s="190" t="s">
        <v>261</v>
      </c>
      <c r="R212" s="67"/>
      <c r="S212" s="67"/>
      <c r="T212" s="67"/>
      <c r="U212" s="67"/>
      <c r="V212" s="67"/>
      <c r="W212" s="67"/>
      <c r="X212" s="67"/>
      <c r="Y212" s="31"/>
      <c r="AA212" s="535"/>
      <c r="AB212" s="535"/>
      <c r="AC212" s="535"/>
    </row>
    <row r="213" spans="1:29" ht="14.1" customHeight="1" thickBot="1">
      <c r="A213" s="16">
        <v>69</v>
      </c>
      <c r="B213" s="66"/>
      <c r="C213" s="67"/>
      <c r="D213" s="67"/>
      <c r="E213" s="67"/>
      <c r="F213" s="67"/>
      <c r="G213" s="67"/>
      <c r="H213" s="67"/>
      <c r="I213" s="67"/>
      <c r="J213" s="67"/>
      <c r="K213" s="67"/>
      <c r="L213" s="67"/>
      <c r="M213" s="68"/>
      <c r="O213" s="39"/>
      <c r="P213" s="40"/>
      <c r="Q213" s="40"/>
      <c r="R213" s="40"/>
      <c r="S213" s="40"/>
      <c r="T213" s="40"/>
      <c r="U213" s="40"/>
      <c r="V213" s="40"/>
      <c r="W213" s="40"/>
      <c r="X213" s="40"/>
      <c r="Y213" s="41"/>
      <c r="AA213" s="535"/>
      <c r="AB213" s="535"/>
      <c r="AC213" s="535"/>
    </row>
    <row r="214" spans="1:29" ht="14.1" customHeight="1" thickBot="1">
      <c r="A214" s="16">
        <v>70</v>
      </c>
      <c r="B214" s="79"/>
      <c r="C214" s="80"/>
      <c r="D214" s="80"/>
      <c r="E214" s="80"/>
      <c r="F214" s="80"/>
      <c r="G214" s="80"/>
      <c r="H214" s="80"/>
      <c r="I214" s="80"/>
      <c r="J214" s="80"/>
      <c r="K214" s="80"/>
      <c r="L214" s="80"/>
      <c r="M214" s="81"/>
      <c r="O214" s="137" t="s">
        <v>262</v>
      </c>
      <c r="Y214" s="31"/>
      <c r="AA214" s="535"/>
      <c r="AB214" s="535"/>
      <c r="AC214" s="535"/>
    </row>
    <row r="215" spans="1:29" ht="14.1" customHeight="1" thickTop="1">
      <c r="A215" s="16">
        <v>71</v>
      </c>
      <c r="C215" s="108" t="s">
        <v>10</v>
      </c>
      <c r="D215" s="367" t="str">
        <f>IF($P$7="","",$P$7)</f>
        <v/>
      </c>
      <c r="E215" s="26"/>
      <c r="F215" s="26"/>
      <c r="G215" s="26"/>
      <c r="H215" s="26"/>
      <c r="I215" s="26"/>
      <c r="J215" s="26"/>
      <c r="K215" s="26"/>
      <c r="L215" s="108" t="s">
        <v>11</v>
      </c>
      <c r="M215" s="368" t="str">
        <f>IF($X$7="","",$X$7)</f>
        <v>Eugene Mah</v>
      </c>
      <c r="O215" s="29" t="s">
        <v>263</v>
      </c>
      <c r="P215" s="136"/>
      <c r="R215" s="34" t="s">
        <v>264</v>
      </c>
      <c r="S215" s="136"/>
      <c r="U215" s="20" t="s">
        <v>93</v>
      </c>
      <c r="V215" s="136" t="s">
        <v>235</v>
      </c>
      <c r="Y215" s="31"/>
      <c r="AA215" s="535"/>
      <c r="AB215" s="535"/>
      <c r="AC215" s="535"/>
    </row>
    <row r="216" spans="1:29" ht="14.1" customHeight="1">
      <c r="A216" s="16">
        <v>72</v>
      </c>
      <c r="C216" s="108" t="s">
        <v>119</v>
      </c>
      <c r="D216" s="368" t="str">
        <f>IF($R$14="","",$R$14)</f>
        <v/>
      </c>
      <c r="E216" s="26"/>
      <c r="F216" s="26"/>
      <c r="G216" s="26"/>
      <c r="H216" s="26"/>
      <c r="I216" s="26"/>
      <c r="J216" s="26"/>
      <c r="K216" s="26"/>
      <c r="L216" s="108" t="s">
        <v>36</v>
      </c>
      <c r="M216" s="368" t="str">
        <f>IF($R$13="","",$R$13)</f>
        <v/>
      </c>
      <c r="O216" s="29"/>
      <c r="P216" s="684" t="s">
        <v>68</v>
      </c>
      <c r="U216" s="684"/>
      <c r="W216" s="4"/>
      <c r="Y216" s="31"/>
      <c r="AA216" s="535"/>
      <c r="AB216" s="535"/>
      <c r="AC216" s="535"/>
    </row>
    <row r="217" spans="1:29" ht="14.1" customHeight="1" thickBot="1">
      <c r="A217" s="16">
        <v>1</v>
      </c>
      <c r="M217" s="111" t="str">
        <f>$H$2</f>
        <v>Medical University of South Carolina</v>
      </c>
      <c r="O217" s="29"/>
      <c r="P217" s="684" t="s">
        <v>265</v>
      </c>
      <c r="Q217" s="684" t="s">
        <v>490</v>
      </c>
      <c r="R217" s="684" t="s">
        <v>266</v>
      </c>
      <c r="S217" s="684" t="s">
        <v>70</v>
      </c>
      <c r="T217" s="684" t="s">
        <v>267</v>
      </c>
      <c r="U217" s="684" t="s">
        <v>268</v>
      </c>
      <c r="V217" s="4"/>
      <c r="W217" s="4"/>
      <c r="Y217" s="31"/>
    </row>
    <row r="218" spans="1:29" ht="14.1" customHeight="1" thickBot="1">
      <c r="A218" s="16">
        <v>2</v>
      </c>
      <c r="H218" s="50" t="s">
        <v>71</v>
      </c>
      <c r="M218" s="112" t="str">
        <f>$H$5</f>
        <v>Mammography System Compliance Inspection</v>
      </c>
      <c r="O218" s="29"/>
      <c r="P218" s="191">
        <v>2</v>
      </c>
      <c r="Q218" s="192"/>
      <c r="R218" s="193"/>
      <c r="S218" s="193"/>
      <c r="T218" s="193"/>
      <c r="U218" s="181" t="str">
        <f>IF(OR(T218="",$X$218=""),"",ABS(T218-$X$218)/$X$218)</f>
        <v/>
      </c>
      <c r="V218" s="4"/>
      <c r="W218" s="34" t="s">
        <v>269</v>
      </c>
      <c r="X218" s="194" t="str">
        <f>IF(T218="","",AVERAGE(T218:T220))</f>
        <v/>
      </c>
      <c r="Y218" s="31"/>
    </row>
    <row r="219" spans="1:29" ht="14.1" customHeight="1" thickTop="1" thickBot="1">
      <c r="A219" s="16">
        <v>3</v>
      </c>
      <c r="B219" s="57"/>
      <c r="C219" s="59" t="s">
        <v>262</v>
      </c>
      <c r="D219" s="58"/>
      <c r="E219" s="58"/>
      <c r="F219" s="58"/>
      <c r="G219" s="58"/>
      <c r="H219" s="58"/>
      <c r="I219" s="58"/>
      <c r="J219" s="58"/>
      <c r="K219" s="58"/>
      <c r="L219" s="58"/>
      <c r="M219" s="60"/>
      <c r="O219" s="29"/>
      <c r="P219" s="195">
        <v>4</v>
      </c>
      <c r="Q219" s="196"/>
      <c r="R219" s="143"/>
      <c r="S219" s="143"/>
      <c r="T219" s="143"/>
      <c r="U219" s="180" t="str">
        <f>IF(OR(T219="",$X$218=""),"",ABS(T219-$X$218)/$X$218)</f>
        <v/>
      </c>
      <c r="V219" s="4"/>
      <c r="W219" s="34" t="s">
        <v>270</v>
      </c>
      <c r="X219" s="194" t="str">
        <f>IF(T218="","",_xlfn.STDEV.S(T218:T220))</f>
        <v/>
      </c>
      <c r="Y219" s="31"/>
    </row>
    <row r="220" spans="1:29" ht="14.1" customHeight="1" thickBot="1">
      <c r="A220" s="16">
        <v>4</v>
      </c>
      <c r="B220" s="66"/>
      <c r="C220" s="160" t="s">
        <v>263</v>
      </c>
      <c r="D220" s="138" t="str">
        <f>IF(P215="","",P215)</f>
        <v/>
      </c>
      <c r="E220" s="67"/>
      <c r="F220" s="160" t="s">
        <v>264</v>
      </c>
      <c r="G220" s="138" t="str">
        <f>IF(S215="","",S215)</f>
        <v/>
      </c>
      <c r="H220" s="67"/>
      <c r="I220" s="67" t="s">
        <v>93</v>
      </c>
      <c r="J220" s="138" t="str">
        <f>IF(V215="","",V215)</f>
        <v>W/Rh</v>
      </c>
      <c r="K220" s="67"/>
      <c r="L220" s="67"/>
      <c r="M220" s="68"/>
      <c r="O220" s="29"/>
      <c r="P220" s="198">
        <v>6</v>
      </c>
      <c r="Q220" s="199"/>
      <c r="R220" s="200"/>
      <c r="S220" s="200"/>
      <c r="T220" s="200"/>
      <c r="U220" s="183" t="str">
        <f>IF(OR(T220="",$X$218=""),"",ABS(T220-$X$218)/$X$218)</f>
        <v/>
      </c>
      <c r="V220" s="4"/>
      <c r="W220" s="34" t="s">
        <v>271</v>
      </c>
      <c r="X220" s="197" t="str">
        <f>IF(OR(X218="",X219=""),"",X219/X218)</f>
        <v/>
      </c>
      <c r="Y220" s="31"/>
    </row>
    <row r="221" spans="1:29" ht="14.1" customHeight="1" thickBot="1">
      <c r="A221" s="16">
        <v>5</v>
      </c>
      <c r="B221" s="66"/>
      <c r="C221" s="106" t="s">
        <v>68</v>
      </c>
      <c r="D221" s="67"/>
      <c r="E221" s="67"/>
      <c r="F221" s="67"/>
      <c r="G221" s="67"/>
      <c r="H221" s="106"/>
      <c r="I221" s="67"/>
      <c r="J221" s="325"/>
      <c r="K221" s="67"/>
      <c r="L221" s="67"/>
      <c r="M221" s="68"/>
      <c r="O221" s="29"/>
      <c r="P221" s="112" t="s">
        <v>201</v>
      </c>
      <c r="Q221" s="26" t="s">
        <v>274</v>
      </c>
      <c r="R221"/>
      <c r="S221"/>
      <c r="T221"/>
      <c r="U221"/>
      <c r="V221" s="4"/>
      <c r="W221" s="67" t="s">
        <v>215</v>
      </c>
      <c r="X221" s="369" t="str">
        <f>IF(U218="","",IF(AND(ABS(U218)&lt;0.1,ABS(U219)&lt;0.1,ABS(U220)&lt;0.1,X220&lt;0.05),"Pass","Fail"))</f>
        <v/>
      </c>
      <c r="Y221" s="31"/>
    </row>
    <row r="222" spans="1:29" ht="14.1" customHeight="1" thickBot="1">
      <c r="A222" s="16">
        <v>6</v>
      </c>
      <c r="B222" s="66"/>
      <c r="C222" s="106" t="s">
        <v>265</v>
      </c>
      <c r="D222" s="106" t="s">
        <v>490</v>
      </c>
      <c r="E222" s="106" t="s">
        <v>266</v>
      </c>
      <c r="F222" s="106" t="s">
        <v>70</v>
      </c>
      <c r="G222" s="106" t="s">
        <v>267</v>
      </c>
      <c r="H222" s="106" t="s">
        <v>268</v>
      </c>
      <c r="I222" s="106"/>
      <c r="J222" s="325"/>
      <c r="K222" s="67"/>
      <c r="L222" s="67"/>
      <c r="M222" s="68"/>
      <c r="O222" s="29"/>
      <c r="P222" s="4"/>
      <c r="Q222" s="26" t="s">
        <v>275</v>
      </c>
      <c r="S222" s="4"/>
      <c r="T222" s="4"/>
      <c r="W222" s="4"/>
      <c r="Y222" s="31"/>
    </row>
    <row r="223" spans="1:29" ht="14.1" customHeight="1">
      <c r="A223" s="16">
        <v>7</v>
      </c>
      <c r="B223" s="66"/>
      <c r="C223" s="381">
        <f t="shared" ref="C223:H225" si="31">IF(P218="","",P218)</f>
        <v>2</v>
      </c>
      <c r="D223" s="387" t="str">
        <f t="shared" si="31"/>
        <v/>
      </c>
      <c r="E223" s="387" t="str">
        <f t="shared" si="31"/>
        <v/>
      </c>
      <c r="F223" s="387" t="str">
        <f t="shared" si="31"/>
        <v/>
      </c>
      <c r="G223" s="387" t="str">
        <f t="shared" si="31"/>
        <v/>
      </c>
      <c r="H223" s="388" t="str">
        <f t="shared" si="31"/>
        <v/>
      </c>
      <c r="I223" s="326"/>
      <c r="J223" s="160" t="s">
        <v>269</v>
      </c>
      <c r="K223" s="296" t="str">
        <f>IF(X218="","",X218)</f>
        <v/>
      </c>
      <c r="L223" s="67"/>
      <c r="M223" s="68"/>
      <c r="O223" s="29"/>
      <c r="S223" s="4"/>
      <c r="T223" s="4"/>
      <c r="W223" s="4"/>
      <c r="Y223" s="31"/>
    </row>
    <row r="224" spans="1:29" ht="14.1" customHeight="1">
      <c r="A224" s="16">
        <v>8</v>
      </c>
      <c r="B224" s="66"/>
      <c r="C224" s="383">
        <f t="shared" si="31"/>
        <v>4</v>
      </c>
      <c r="D224" s="10" t="str">
        <f t="shared" si="31"/>
        <v/>
      </c>
      <c r="E224" s="10" t="str">
        <f t="shared" si="31"/>
        <v/>
      </c>
      <c r="F224" s="10" t="str">
        <f t="shared" si="31"/>
        <v/>
      </c>
      <c r="G224" s="10" t="str">
        <f t="shared" si="31"/>
        <v/>
      </c>
      <c r="H224" s="389" t="str">
        <f t="shared" si="31"/>
        <v/>
      </c>
      <c r="I224" s="326"/>
      <c r="J224" s="160" t="s">
        <v>270</v>
      </c>
      <c r="K224" s="296" t="str">
        <f>IF(X219="","",X219)</f>
        <v/>
      </c>
      <c r="L224" s="67"/>
      <c r="M224" s="68"/>
      <c r="O224" s="95"/>
      <c r="P224" s="20" t="s">
        <v>276</v>
      </c>
      <c r="Q224" s="4"/>
      <c r="R224" s="4"/>
      <c r="S224" s="4"/>
      <c r="T224" s="4"/>
      <c r="U224" s="4"/>
      <c r="V224" s="4"/>
      <c r="W224" s="4"/>
      <c r="Y224" s="31"/>
    </row>
    <row r="225" spans="1:27" ht="14.1" customHeight="1" thickBot="1">
      <c r="A225" s="16">
        <v>9</v>
      </c>
      <c r="B225" s="66"/>
      <c r="C225" s="385">
        <f t="shared" si="31"/>
        <v>6</v>
      </c>
      <c r="D225" s="390" t="str">
        <f t="shared" si="31"/>
        <v/>
      </c>
      <c r="E225" s="674" t="str">
        <f t="shared" si="31"/>
        <v/>
      </c>
      <c r="F225" s="674" t="str">
        <f t="shared" si="31"/>
        <v/>
      </c>
      <c r="G225" s="674" t="str">
        <f t="shared" si="31"/>
        <v/>
      </c>
      <c r="H225" s="675" t="str">
        <f t="shared" si="31"/>
        <v/>
      </c>
      <c r="I225" s="326"/>
      <c r="J225" s="160" t="s">
        <v>271</v>
      </c>
      <c r="K225" s="391" t="str">
        <f>IF(X220="","",X220)</f>
        <v/>
      </c>
      <c r="L225" s="67"/>
      <c r="M225" s="68"/>
      <c r="O225" s="95"/>
      <c r="P225" s="20" t="s">
        <v>277</v>
      </c>
      <c r="Q225" s="4"/>
      <c r="R225" s="4"/>
      <c r="S225" s="4"/>
      <c r="T225" s="4"/>
      <c r="U225" s="4"/>
      <c r="V225" s="4" t="str">
        <f>IF(OR(T225="",$X$218=""),"",(T225-$X$218)/$X$218)</f>
        <v/>
      </c>
      <c r="W225" s="4"/>
      <c r="Y225" s="31"/>
    </row>
    <row r="226" spans="1:27" ht="14.1" customHeight="1" thickBot="1">
      <c r="A226" s="16">
        <v>10</v>
      </c>
      <c r="B226" s="66"/>
      <c r="C226" s="3" t="s">
        <v>201</v>
      </c>
      <c r="D226" s="190" t="s">
        <v>274</v>
      </c>
      <c r="E226" s="361"/>
      <c r="F226" s="361"/>
      <c r="G226" s="361"/>
      <c r="H226" s="676"/>
      <c r="I226" s="326"/>
      <c r="J226" s="67" t="s">
        <v>215</v>
      </c>
      <c r="K226" s="369" t="str">
        <f>IF(X221="","",X221)</f>
        <v/>
      </c>
      <c r="L226" s="67"/>
      <c r="M226" s="68"/>
      <c r="O226" s="29"/>
      <c r="P226" s="4"/>
      <c r="Q226" s="4"/>
      <c r="R226" s="4"/>
      <c r="S226" s="4"/>
      <c r="T226" s="4"/>
      <c r="U226" s="4"/>
      <c r="V226" s="4"/>
      <c r="W226" s="4"/>
      <c r="Y226" s="31"/>
    </row>
    <row r="227" spans="1:27" ht="14.1" customHeight="1">
      <c r="A227" s="16">
        <v>11</v>
      </c>
      <c r="B227" s="66"/>
      <c r="C227" s="106"/>
      <c r="D227" s="190" t="s">
        <v>275</v>
      </c>
      <c r="E227" s="106"/>
      <c r="F227" s="106"/>
      <c r="G227" s="106"/>
      <c r="H227" s="106"/>
      <c r="I227" s="326"/>
      <c r="J227" s="325"/>
      <c r="K227" s="67"/>
      <c r="L227" s="67"/>
      <c r="M227" s="68"/>
      <c r="O227" s="137" t="s">
        <v>278</v>
      </c>
      <c r="P227" s="4"/>
      <c r="Q227" s="4"/>
      <c r="R227" s="4"/>
      <c r="S227" s="4"/>
      <c r="T227" s="4"/>
      <c r="U227" s="4"/>
      <c r="V227" s="4"/>
      <c r="Y227" s="31"/>
    </row>
    <row r="228" spans="1:27" ht="14.1" customHeight="1" thickBot="1">
      <c r="A228" s="16">
        <v>12</v>
      </c>
      <c r="B228" s="66"/>
      <c r="E228" s="106"/>
      <c r="F228" s="106"/>
      <c r="G228" s="106"/>
      <c r="H228" s="106"/>
      <c r="I228" s="326"/>
      <c r="J228" s="325"/>
      <c r="K228" s="67"/>
      <c r="L228" s="67"/>
      <c r="M228" s="68"/>
      <c r="O228" s="29" t="s">
        <v>263</v>
      </c>
      <c r="P228" s="136"/>
      <c r="R228" s="20" t="s">
        <v>93</v>
      </c>
      <c r="S228" s="136" t="s">
        <v>235</v>
      </c>
      <c r="T228" s="160" t="s">
        <v>171</v>
      </c>
      <c r="U228" s="136">
        <v>28</v>
      </c>
      <c r="Y228" s="31"/>
    </row>
    <row r="229" spans="1:27" ht="14.1" customHeight="1" thickBot="1">
      <c r="A229" s="16">
        <v>13</v>
      </c>
      <c r="B229" s="66"/>
      <c r="C229" s="369" t="str">
        <f>IF(O224="","TBD",IF(O224=1,"YES",IF(O224=2,"NO",IF(O224=3,"NA",""))))</f>
        <v>TBD</v>
      </c>
      <c r="D229" s="67" t="s">
        <v>276</v>
      </c>
      <c r="E229" s="106"/>
      <c r="F229" s="106"/>
      <c r="G229" s="106"/>
      <c r="H229" s="106"/>
      <c r="I229" s="106"/>
      <c r="J229" s="326"/>
      <c r="K229" s="325"/>
      <c r="L229" s="67"/>
      <c r="M229" s="68"/>
      <c r="O229" s="29"/>
      <c r="Y229" s="31"/>
    </row>
    <row r="230" spans="1:27" ht="14.1" customHeight="1" thickBot="1">
      <c r="A230" s="16">
        <v>14</v>
      </c>
      <c r="B230" s="66"/>
      <c r="C230" s="369" t="str">
        <f>IF(O225="","TBD",IF(O225=1,"YES",IF(O225=2,"NO",IF(O225=3,"NA",""))))</f>
        <v>TBD</v>
      </c>
      <c r="D230" s="67" t="s">
        <v>277</v>
      </c>
      <c r="E230" s="106"/>
      <c r="F230" s="106"/>
      <c r="G230" s="106"/>
      <c r="H230" s="106"/>
      <c r="I230" s="106"/>
      <c r="J230" s="326"/>
      <c r="K230" s="325"/>
      <c r="L230" s="67"/>
      <c r="M230" s="68"/>
      <c r="O230" s="29"/>
      <c r="P230" s="686"/>
      <c r="R230" s="34"/>
      <c r="S230" s="686"/>
      <c r="T230" s="684"/>
      <c r="U230" s="4"/>
      <c r="V230" s="684" t="s">
        <v>279</v>
      </c>
      <c r="Y230" s="31"/>
    </row>
    <row r="231" spans="1:27" ht="14.1" customHeight="1" thickBot="1">
      <c r="A231" s="16">
        <v>15</v>
      </c>
      <c r="B231" s="364"/>
      <c r="C231" s="365"/>
      <c r="D231" s="365"/>
      <c r="E231" s="365"/>
      <c r="F231" s="365"/>
      <c r="G231" s="421"/>
      <c r="H231" s="422"/>
      <c r="I231" s="365"/>
      <c r="J231" s="365"/>
      <c r="K231" s="423"/>
      <c r="L231" s="365"/>
      <c r="M231" s="366"/>
      <c r="O231" s="29"/>
      <c r="P231" s="684" t="s">
        <v>70</v>
      </c>
      <c r="Q231" s="684" t="s">
        <v>280</v>
      </c>
      <c r="R231" s="684" t="s">
        <v>281</v>
      </c>
      <c r="S231" s="684" t="s">
        <v>282</v>
      </c>
      <c r="T231" s="684" t="s">
        <v>283</v>
      </c>
      <c r="U231" s="684" t="s">
        <v>284</v>
      </c>
      <c r="V231" s="20" t="s">
        <v>26</v>
      </c>
      <c r="X231" s="684" t="s">
        <v>285</v>
      </c>
      <c r="Y231" s="206" t="s">
        <v>286</v>
      </c>
    </row>
    <row r="232" spans="1:27" ht="14.1" customHeight="1">
      <c r="A232" s="16">
        <v>16</v>
      </c>
      <c r="B232" s="66"/>
      <c r="C232" s="144" t="s">
        <v>278</v>
      </c>
      <c r="D232" s="67"/>
      <c r="E232" s="67"/>
      <c r="F232" s="67"/>
      <c r="G232" s="67"/>
      <c r="H232" s="67"/>
      <c r="I232" s="67"/>
      <c r="J232" s="67"/>
      <c r="K232" s="67"/>
      <c r="L232" s="67"/>
      <c r="M232" s="68"/>
      <c r="O232" s="29"/>
      <c r="P232" s="161"/>
      <c r="Q232" s="162"/>
      <c r="R232" s="162"/>
      <c r="S232" s="162"/>
      <c r="T232" s="207" t="str">
        <f>IF(OR(R232="",S232=""),"",(R232-50)/S232)</f>
        <v/>
      </c>
      <c r="U232" s="208" t="str">
        <f>IF(OR(Q232="",R232="",S232=""),"",(R232-Q232)/S232)</f>
        <v/>
      </c>
      <c r="V232" s="655" t="str">
        <f>IF($S$399="","",$S$399*P232)</f>
        <v/>
      </c>
      <c r="X232" s="209" t="str">
        <f>IF(OR(Q232="",$Q$237=""),"",ABS(Q232-$Q$237)/$Q$237)</f>
        <v/>
      </c>
      <c r="Y232" s="210" t="str">
        <f>IF(OR(T232="",$T$237=""),"",ABS(T232-$T$237)/$T$237)</f>
        <v/>
      </c>
      <c r="AA232" s="233"/>
    </row>
    <row r="233" spans="1:27" ht="14.1" customHeight="1">
      <c r="A233" s="16">
        <v>17</v>
      </c>
      <c r="B233" s="66"/>
      <c r="C233" s="160" t="s">
        <v>263</v>
      </c>
      <c r="D233" s="138" t="str">
        <f>IF(P228="","",P228)</f>
        <v/>
      </c>
      <c r="E233" s="67"/>
      <c r="F233" s="67" t="s">
        <v>93</v>
      </c>
      <c r="G233" s="138" t="str">
        <f>IF(S228="","",S228)</f>
        <v>W/Rh</v>
      </c>
      <c r="H233" s="160" t="s">
        <v>171</v>
      </c>
      <c r="I233" s="138">
        <f>IF(U228="","",U228)</f>
        <v>28</v>
      </c>
      <c r="J233" s="67"/>
      <c r="K233" s="67"/>
      <c r="L233" s="67"/>
      <c r="M233" s="68"/>
      <c r="O233" s="29"/>
      <c r="P233" s="164"/>
      <c r="Q233" s="165"/>
      <c r="R233" s="165"/>
      <c r="S233" s="165"/>
      <c r="T233" s="69" t="str">
        <f>IF(OR(R233="",S233=""),"",(R233-50)/S233)</f>
        <v/>
      </c>
      <c r="U233" s="70" t="str">
        <f>IF(OR(Q233="",R233="",S233=""),"",(R233-Q233)/S233)</f>
        <v/>
      </c>
      <c r="V233" s="656" t="str">
        <f t="shared" ref="V233:V236" si="32">IF($S$399="","",$S$399*P233)</f>
        <v/>
      </c>
      <c r="X233" s="209" t="str">
        <f>IF(OR(Q233="",$Q$237=""),"",ABS(Q233-$Q$237)/$Q$237)</f>
        <v/>
      </c>
      <c r="Y233" s="210" t="str">
        <f>IF(OR(T233="",$T$237=""),"",ABS(T233-$T$237)/$T$237)</f>
        <v/>
      </c>
      <c r="AA233" s="233"/>
    </row>
    <row r="234" spans="1:27" ht="14.1" customHeight="1">
      <c r="A234" s="16">
        <v>18</v>
      </c>
      <c r="B234" s="66"/>
      <c r="C234" s="67"/>
      <c r="D234" s="67"/>
      <c r="E234" s="67"/>
      <c r="F234" s="67"/>
      <c r="G234" s="67"/>
      <c r="H234" s="67"/>
      <c r="I234" s="106"/>
      <c r="J234" s="67"/>
      <c r="K234" s="67"/>
      <c r="L234" s="67"/>
      <c r="M234" s="68"/>
      <c r="O234" s="29"/>
      <c r="P234" s="164"/>
      <c r="Q234" s="165"/>
      <c r="R234" s="165"/>
      <c r="S234" s="165"/>
      <c r="T234" s="69" t="str">
        <f>IF(OR(R234="",S234=""),"",(R234-50)/S234)</f>
        <v/>
      </c>
      <c r="U234" s="70" t="str">
        <f>IF(OR(Q234="",R234="",S234=""),"",(R234-Q234)/S234)</f>
        <v/>
      </c>
      <c r="V234" s="656" t="str">
        <f t="shared" si="32"/>
        <v/>
      </c>
      <c r="X234" s="209" t="str">
        <f>IF(OR(Q234="",$Q$237=""),"",ABS(Q234-$Q$237)/$Q$237)</f>
        <v/>
      </c>
      <c r="Y234" s="210" t="str">
        <f>IF(OR(T234="",$T$237=""),"",ABS(T234-$T$237)/$T$237)</f>
        <v/>
      </c>
      <c r="AA234" s="233"/>
    </row>
    <row r="235" spans="1:27" ht="14.1" customHeight="1" thickBot="1">
      <c r="A235" s="16">
        <v>19</v>
      </c>
      <c r="B235" s="66"/>
      <c r="C235" s="67"/>
      <c r="D235" s="534"/>
      <c r="E235" s="67"/>
      <c r="F235" s="160"/>
      <c r="G235" s="534"/>
      <c r="H235" s="106"/>
      <c r="I235" s="325"/>
      <c r="J235" s="67" t="s">
        <v>279</v>
      </c>
      <c r="K235" s="67"/>
      <c r="L235" s="67"/>
      <c r="M235" s="68"/>
      <c r="O235" s="29"/>
      <c r="P235" s="164"/>
      <c r="Q235" s="165"/>
      <c r="R235" s="165"/>
      <c r="S235" s="165"/>
      <c r="T235" s="69" t="str">
        <f>IF(OR(R235="",S235=""),"",(R235-50)/S235)</f>
        <v/>
      </c>
      <c r="U235" s="70" t="str">
        <f>IF(OR(Q235="",R235="",S235=""),"",(R235-Q235)/S235)</f>
        <v/>
      </c>
      <c r="V235" s="656" t="str">
        <f t="shared" si="32"/>
        <v/>
      </c>
      <c r="X235" s="209" t="str">
        <f>IF(OR(Q235="",$Q$237=""),"",ABS(Q235-$Q$237)/$Q$237)</f>
        <v/>
      </c>
      <c r="Y235" s="210" t="str">
        <f>IF(OR(T235="",$T$237=""),"",ABS(T235-$T$237)/$T$237)</f>
        <v/>
      </c>
      <c r="AA235" s="233"/>
    </row>
    <row r="236" spans="1:27" ht="14.1" customHeight="1" thickBot="1">
      <c r="A236" s="16">
        <v>20</v>
      </c>
      <c r="B236" s="66"/>
      <c r="C236" s="67"/>
      <c r="D236" s="435" t="s">
        <v>70</v>
      </c>
      <c r="E236" s="419" t="s">
        <v>280</v>
      </c>
      <c r="F236" s="419" t="s">
        <v>281</v>
      </c>
      <c r="G236" s="419" t="s">
        <v>282</v>
      </c>
      <c r="H236" s="419" t="s">
        <v>283</v>
      </c>
      <c r="I236" s="419" t="s">
        <v>284</v>
      </c>
      <c r="J236" s="420" t="s">
        <v>26</v>
      </c>
      <c r="K236" s="378" t="s">
        <v>285</v>
      </c>
      <c r="L236" s="393" t="s">
        <v>286</v>
      </c>
      <c r="M236" s="68"/>
      <c r="O236" s="29"/>
      <c r="P236" s="211"/>
      <c r="Q236" s="212"/>
      <c r="R236" s="212"/>
      <c r="S236" s="212"/>
      <c r="T236" s="213" t="str">
        <f>IF(OR(R236="",S236=""),"",(R236-50)/S236)</f>
        <v/>
      </c>
      <c r="U236" s="214" t="str">
        <f>IF(OR(Q236="",R236="",S236=""),"",(R236-Q236)/S236)</f>
        <v/>
      </c>
      <c r="V236" s="657" t="str">
        <f t="shared" si="32"/>
        <v/>
      </c>
      <c r="X236" s="209" t="str">
        <f>IF(OR(Q236="",$Q$237=""),"",ABS(Q236-$Q$237)/$Q$237)</f>
        <v/>
      </c>
      <c r="Y236" s="210" t="str">
        <f>IF(OR(T236="",$T$237=""),"",ABS(T236-$T$237)/$T$237)</f>
        <v/>
      </c>
      <c r="AA236" s="233"/>
    </row>
    <row r="237" spans="1:27" ht="14.1" customHeight="1" thickBot="1">
      <c r="A237" s="16">
        <v>21</v>
      </c>
      <c r="B237" s="66"/>
      <c r="C237" s="67"/>
      <c r="D237" s="416" t="str">
        <f t="shared" ref="D237:J244" si="33">IF(P232="","",P232)</f>
        <v/>
      </c>
      <c r="E237" s="417" t="str">
        <f t="shared" si="33"/>
        <v/>
      </c>
      <c r="F237" s="417" t="str">
        <f t="shared" si="33"/>
        <v/>
      </c>
      <c r="G237" s="417" t="str">
        <f t="shared" si="33"/>
        <v/>
      </c>
      <c r="H237" s="417" t="str">
        <f t="shared" si="33"/>
        <v/>
      </c>
      <c r="I237" s="417" t="str">
        <f t="shared" si="33"/>
        <v/>
      </c>
      <c r="J237" s="418" t="str">
        <f t="shared" si="33"/>
        <v/>
      </c>
      <c r="K237" s="407" t="str">
        <f t="shared" ref="K237:L243" si="34">IF(X232="","",X232)</f>
        <v/>
      </c>
      <c r="L237" s="412" t="str">
        <f t="shared" si="34"/>
        <v/>
      </c>
      <c r="M237" s="68"/>
      <c r="O237" s="159" t="s">
        <v>269</v>
      </c>
      <c r="P237" s="216" t="str">
        <f t="shared" ref="P237:V237" si="35">IF(P232="","",AVERAGE(P232:P236))</f>
        <v/>
      </c>
      <c r="Q237" s="207" t="str">
        <f t="shared" si="35"/>
        <v/>
      </c>
      <c r="R237" s="207" t="str">
        <f t="shared" si="35"/>
        <v/>
      </c>
      <c r="S237" s="207" t="str">
        <f t="shared" si="35"/>
        <v/>
      </c>
      <c r="T237" s="207" t="str">
        <f t="shared" si="35"/>
        <v/>
      </c>
      <c r="U237" s="208" t="str">
        <f t="shared" si="35"/>
        <v/>
      </c>
      <c r="V237" s="217" t="str">
        <f t="shared" si="35"/>
        <v/>
      </c>
      <c r="W237" s="34" t="s">
        <v>289</v>
      </c>
      <c r="X237" s="197" t="str">
        <f>IF(X232="","",MAX(X232:X236))</f>
        <v/>
      </c>
      <c r="Y237" s="197" t="str">
        <f>IF(Y232="","",MAX(Y232:Y236))</f>
        <v/>
      </c>
      <c r="AA237" s="233"/>
    </row>
    <row r="238" spans="1:27" ht="14.1" customHeight="1" thickBot="1">
      <c r="A238" s="16">
        <v>22</v>
      </c>
      <c r="B238" s="66"/>
      <c r="C238" s="67"/>
      <c r="D238" s="394" t="str">
        <f t="shared" si="33"/>
        <v/>
      </c>
      <c r="E238" s="392" t="str">
        <f t="shared" si="33"/>
        <v/>
      </c>
      <c r="F238" s="392" t="str">
        <f t="shared" si="33"/>
        <v/>
      </c>
      <c r="G238" s="392" t="str">
        <f t="shared" si="33"/>
        <v/>
      </c>
      <c r="H238" s="392" t="str">
        <f t="shared" si="33"/>
        <v/>
      </c>
      <c r="I238" s="392" t="str">
        <f t="shared" si="33"/>
        <v/>
      </c>
      <c r="J238" s="395" t="str">
        <f t="shared" si="33"/>
        <v/>
      </c>
      <c r="K238" s="407" t="str">
        <f t="shared" si="34"/>
        <v/>
      </c>
      <c r="L238" s="412" t="str">
        <f t="shared" si="34"/>
        <v/>
      </c>
      <c r="M238" s="68"/>
      <c r="O238" s="159" t="s">
        <v>270</v>
      </c>
      <c r="P238" s="219" t="str">
        <f>IF(P232="","",STDEV(P232:P236))</f>
        <v/>
      </c>
      <c r="Q238" s="69" t="str">
        <f t="shared" ref="Q238:V238" si="36">IF(Q232="","",STDEV(Q232:Q236))</f>
        <v/>
      </c>
      <c r="R238" s="69" t="str">
        <f t="shared" si="36"/>
        <v/>
      </c>
      <c r="S238" s="69" t="str">
        <f t="shared" si="36"/>
        <v/>
      </c>
      <c r="T238" s="69" t="str">
        <f t="shared" si="36"/>
        <v/>
      </c>
      <c r="U238" s="70" t="str">
        <f t="shared" si="36"/>
        <v/>
      </c>
      <c r="V238" s="220" t="str">
        <f t="shared" si="36"/>
        <v/>
      </c>
      <c r="X238" s="142" t="str">
        <f>IF(X237="","",IF(X237&lt;=0.15,"Pass","Fail"))</f>
        <v/>
      </c>
      <c r="Y238" s="142" t="str">
        <f>IF(Y237="","",IF(Y237&lt;=0.15,"Pass","Fail"))</f>
        <v/>
      </c>
      <c r="AA238" s="233"/>
    </row>
    <row r="239" spans="1:27" ht="14.1" customHeight="1" thickBot="1">
      <c r="A239" s="16">
        <v>23</v>
      </c>
      <c r="B239" s="66"/>
      <c r="C239" s="67"/>
      <c r="D239" s="394" t="str">
        <f t="shared" si="33"/>
        <v/>
      </c>
      <c r="E239" s="392" t="str">
        <f t="shared" si="33"/>
        <v/>
      </c>
      <c r="F239" s="392" t="str">
        <f t="shared" si="33"/>
        <v/>
      </c>
      <c r="G239" s="392" t="str">
        <f t="shared" si="33"/>
        <v/>
      </c>
      <c r="H239" s="392" t="str">
        <f t="shared" si="33"/>
        <v/>
      </c>
      <c r="I239" s="392" t="str">
        <f t="shared" si="33"/>
        <v/>
      </c>
      <c r="J239" s="395" t="str">
        <f t="shared" si="33"/>
        <v/>
      </c>
      <c r="K239" s="407" t="str">
        <f t="shared" si="34"/>
        <v/>
      </c>
      <c r="L239" s="412" t="str">
        <f t="shared" si="34"/>
        <v/>
      </c>
      <c r="M239" s="68"/>
      <c r="O239" s="159" t="s">
        <v>271</v>
      </c>
      <c r="P239" s="221" t="str">
        <f t="shared" ref="P239:V239" si="37">IF(OR(P237="",P238=""),"",P238/P237)</f>
        <v/>
      </c>
      <c r="Q239" s="222" t="str">
        <f t="shared" si="37"/>
        <v/>
      </c>
      <c r="R239" s="222" t="str">
        <f t="shared" si="37"/>
        <v/>
      </c>
      <c r="S239" s="222" t="str">
        <f t="shared" si="37"/>
        <v/>
      </c>
      <c r="T239" s="222" t="str">
        <f t="shared" si="37"/>
        <v/>
      </c>
      <c r="U239" s="222" t="str">
        <f t="shared" si="37"/>
        <v/>
      </c>
      <c r="V239" s="223" t="str">
        <f t="shared" si="37"/>
        <v/>
      </c>
      <c r="X239" s="684"/>
      <c r="Y239" s="206"/>
      <c r="AA239" s="233"/>
    </row>
    <row r="240" spans="1:27" ht="14.1" customHeight="1" thickBot="1">
      <c r="A240" s="16">
        <v>24</v>
      </c>
      <c r="B240" s="66"/>
      <c r="C240" s="67"/>
      <c r="D240" s="394" t="str">
        <f t="shared" si="33"/>
        <v/>
      </c>
      <c r="E240" s="392" t="str">
        <f t="shared" si="33"/>
        <v/>
      </c>
      <c r="F240" s="392" t="str">
        <f t="shared" si="33"/>
        <v/>
      </c>
      <c r="G240" s="392" t="str">
        <f t="shared" si="33"/>
        <v/>
      </c>
      <c r="H240" s="392" t="str">
        <f t="shared" si="33"/>
        <v/>
      </c>
      <c r="I240" s="392" t="str">
        <f t="shared" si="33"/>
        <v/>
      </c>
      <c r="J240" s="395" t="str">
        <f t="shared" si="33"/>
        <v/>
      </c>
      <c r="K240" s="407" t="str">
        <f t="shared" si="34"/>
        <v/>
      </c>
      <c r="L240" s="412" t="str">
        <f t="shared" si="34"/>
        <v/>
      </c>
      <c r="M240" s="68"/>
      <c r="O240" s="29"/>
      <c r="P240" s="142" t="str">
        <f>IF(P239="","",IF(P239&lt;=0.05,"Pass","Fail"))</f>
        <v/>
      </c>
      <c r="Q240" s="4"/>
      <c r="R240" s="4"/>
      <c r="S240" s="4"/>
      <c r="T240" s="4"/>
      <c r="U240" s="4"/>
      <c r="V240" s="142" t="str">
        <f>IF(V239="","",IF(V239&lt;=0.05,"Pass","Fail"))</f>
        <v/>
      </c>
      <c r="Y240" s="31"/>
      <c r="AA240" s="233"/>
    </row>
    <row r="241" spans="1:27" ht="14.1" customHeight="1" thickBot="1">
      <c r="A241" s="16">
        <v>25</v>
      </c>
      <c r="B241" s="66"/>
      <c r="C241" s="67"/>
      <c r="D241" s="396" t="str">
        <f t="shared" si="33"/>
        <v/>
      </c>
      <c r="E241" s="397" t="str">
        <f t="shared" si="33"/>
        <v/>
      </c>
      <c r="F241" s="397" t="str">
        <f t="shared" si="33"/>
        <v/>
      </c>
      <c r="G241" s="397" t="str">
        <f t="shared" si="33"/>
        <v/>
      </c>
      <c r="H241" s="397" t="str">
        <f t="shared" si="33"/>
        <v/>
      </c>
      <c r="I241" s="397" t="str">
        <f t="shared" si="33"/>
        <v/>
      </c>
      <c r="J241" s="398" t="str">
        <f t="shared" si="33"/>
        <v/>
      </c>
      <c r="K241" s="408" t="str">
        <f t="shared" si="34"/>
        <v/>
      </c>
      <c r="L241" s="424" t="str">
        <f t="shared" si="34"/>
        <v/>
      </c>
      <c r="M241" s="68"/>
      <c r="O241" s="29"/>
      <c r="P241" s="3" t="s">
        <v>201</v>
      </c>
      <c r="Q241" s="190" t="s">
        <v>290</v>
      </c>
      <c r="R241" s="67"/>
      <c r="S241" s="67"/>
      <c r="T241" s="67"/>
      <c r="U241" s="67"/>
      <c r="V241" s="67"/>
      <c r="W241" s="67"/>
      <c r="X241" s="67"/>
      <c r="Y241" s="31"/>
    </row>
    <row r="242" spans="1:27" ht="14.1" customHeight="1" thickBot="1">
      <c r="A242" s="16">
        <v>26</v>
      </c>
      <c r="B242" s="66"/>
      <c r="C242" s="436" t="s">
        <v>269</v>
      </c>
      <c r="D242" s="399" t="str">
        <f t="shared" si="33"/>
        <v/>
      </c>
      <c r="E242" s="400" t="str">
        <f t="shared" si="33"/>
        <v/>
      </c>
      <c r="F242" s="400" t="str">
        <f t="shared" si="33"/>
        <v/>
      </c>
      <c r="G242" s="400" t="str">
        <f t="shared" si="33"/>
        <v/>
      </c>
      <c r="H242" s="400" t="str">
        <f t="shared" si="33"/>
        <v/>
      </c>
      <c r="I242" s="400" t="str">
        <f t="shared" si="33"/>
        <v/>
      </c>
      <c r="J242" s="401" t="str">
        <f t="shared" si="33"/>
        <v/>
      </c>
      <c r="K242" s="409" t="str">
        <f t="shared" si="34"/>
        <v/>
      </c>
      <c r="L242" s="409" t="str">
        <f t="shared" si="34"/>
        <v/>
      </c>
      <c r="M242" s="68"/>
      <c r="O242" s="29"/>
      <c r="P242" s="67"/>
      <c r="Q242" s="190" t="s">
        <v>291</v>
      </c>
      <c r="R242" s="67"/>
      <c r="S242" s="67"/>
      <c r="T242" s="67"/>
      <c r="U242" s="67"/>
      <c r="V242" s="67"/>
      <c r="W242" s="67"/>
      <c r="X242" s="67"/>
      <c r="Y242" s="31"/>
    </row>
    <row r="243" spans="1:27" ht="14.1" customHeight="1" thickBot="1">
      <c r="A243" s="16">
        <v>27</v>
      </c>
      <c r="B243" s="66"/>
      <c r="C243" s="436" t="s">
        <v>270</v>
      </c>
      <c r="D243" s="394" t="str">
        <f t="shared" si="33"/>
        <v/>
      </c>
      <c r="E243" s="392" t="str">
        <f t="shared" si="33"/>
        <v/>
      </c>
      <c r="F243" s="392" t="str">
        <f t="shared" si="33"/>
        <v/>
      </c>
      <c r="G243" s="392" t="str">
        <f t="shared" si="33"/>
        <v/>
      </c>
      <c r="H243" s="392" t="str">
        <f t="shared" si="33"/>
        <v/>
      </c>
      <c r="I243" s="392" t="str">
        <f t="shared" si="33"/>
        <v/>
      </c>
      <c r="J243" s="395" t="str">
        <f t="shared" si="33"/>
        <v/>
      </c>
      <c r="K243" s="409" t="str">
        <f t="shared" si="34"/>
        <v/>
      </c>
      <c r="L243" s="409" t="str">
        <f t="shared" si="34"/>
        <v/>
      </c>
      <c r="M243" s="68"/>
      <c r="O243" s="224"/>
      <c r="P243" s="189"/>
      <c r="Q243" s="189"/>
      <c r="R243" s="189"/>
      <c r="S243" s="189"/>
      <c r="T243" s="189"/>
      <c r="U243" s="189"/>
      <c r="V243" s="189"/>
      <c r="W243" s="189"/>
      <c r="X243" s="189"/>
      <c r="Y243" s="225"/>
    </row>
    <row r="244" spans="1:27" ht="14.1" customHeight="1" thickBot="1">
      <c r="A244" s="16">
        <v>28</v>
      </c>
      <c r="B244" s="66"/>
      <c r="C244" s="159" t="s">
        <v>271</v>
      </c>
      <c r="D244" s="402" t="str">
        <f t="shared" si="33"/>
        <v/>
      </c>
      <c r="E244" s="403" t="str">
        <f t="shared" si="33"/>
        <v/>
      </c>
      <c r="F244" s="403" t="str">
        <f t="shared" si="33"/>
        <v/>
      </c>
      <c r="G244" s="403" t="str">
        <f t="shared" si="33"/>
        <v/>
      </c>
      <c r="H244" s="403" t="str">
        <f t="shared" si="33"/>
        <v/>
      </c>
      <c r="I244" s="403" t="str">
        <f t="shared" si="33"/>
        <v/>
      </c>
      <c r="J244" s="404" t="str">
        <f t="shared" si="33"/>
        <v/>
      </c>
      <c r="K244" s="67"/>
      <c r="L244" s="67"/>
      <c r="M244" s="68"/>
      <c r="O244" s="135" t="s">
        <v>292</v>
      </c>
      <c r="P244" s="226"/>
      <c r="Q244" s="226"/>
      <c r="R244" s="226"/>
      <c r="S244" s="226"/>
      <c r="T244" s="226"/>
      <c r="U244" s="226"/>
      <c r="V244" s="226"/>
      <c r="W244" s="226"/>
      <c r="X244" s="226"/>
      <c r="Y244" s="227"/>
    </row>
    <row r="245" spans="1:27" ht="14.1" customHeight="1" thickBot="1">
      <c r="A245" s="16">
        <v>29</v>
      </c>
      <c r="B245" s="66"/>
      <c r="C245" s="67"/>
      <c r="D245" s="405" t="str">
        <f>IF(P240="","",P240)</f>
        <v/>
      </c>
      <c r="E245" s="107"/>
      <c r="F245" s="107"/>
      <c r="G245" s="107"/>
      <c r="H245" s="107"/>
      <c r="I245" s="107"/>
      <c r="J245" s="405" t="str">
        <f>IF(V240="","",V240)</f>
        <v/>
      </c>
      <c r="K245" s="67"/>
      <c r="L245" s="67"/>
      <c r="M245" s="68"/>
      <c r="O245" s="184"/>
      <c r="P245" s="229" t="s">
        <v>69</v>
      </c>
      <c r="Q245" s="230" t="str">
        <f>Q160&amp;"/"&amp;Q161</f>
        <v>/</v>
      </c>
      <c r="R245" s="230" t="str">
        <f t="shared" ref="R245:S245" si="38">R160&amp;"/"&amp;R161</f>
        <v>/</v>
      </c>
      <c r="S245" s="230" t="str">
        <f t="shared" si="38"/>
        <v>/</v>
      </c>
      <c r="T245" s="4"/>
      <c r="U245" s="941" t="s">
        <v>293</v>
      </c>
      <c r="V245" s="941"/>
      <c r="W245" s="941"/>
      <c r="X245" s="4"/>
      <c r="Y245" s="231"/>
      <c r="Z245" s="535"/>
      <c r="AA245" s="4"/>
    </row>
    <row r="246" spans="1:27" ht="14.1" customHeight="1">
      <c r="A246" s="16">
        <v>30</v>
      </c>
      <c r="B246" s="66"/>
      <c r="C246" s="3" t="s">
        <v>201</v>
      </c>
      <c r="D246" s="190" t="s">
        <v>290</v>
      </c>
      <c r="E246" s="67"/>
      <c r="F246" s="67"/>
      <c r="G246" s="67"/>
      <c r="H246" s="67"/>
      <c r="I246" s="67"/>
      <c r="J246" s="67"/>
      <c r="K246" s="67"/>
      <c r="L246" s="67"/>
      <c r="M246" s="68"/>
      <c r="O246" s="184"/>
      <c r="P246" s="232" t="s">
        <v>266</v>
      </c>
      <c r="Q246" s="10" t="str">
        <f>IF(Q162="","",Q162)</f>
        <v/>
      </c>
      <c r="R246" s="10" t="str">
        <f t="shared" ref="R246:S246" si="39">IF(R162="","",R162)</f>
        <v/>
      </c>
      <c r="S246" s="10" t="str">
        <f t="shared" si="39"/>
        <v/>
      </c>
      <c r="T246" s="4"/>
      <c r="U246" s="230" t="str">
        <f>IF(Q245="","",Q245)</f>
        <v>/</v>
      </c>
      <c r="V246" s="230" t="str">
        <f t="shared" ref="V246:W246" si="40">IF(R245="","",R245)</f>
        <v>/</v>
      </c>
      <c r="W246" s="230" t="str">
        <f t="shared" si="40"/>
        <v>/</v>
      </c>
      <c r="X246" s="4"/>
      <c r="Y246" s="231"/>
      <c r="Z246" s="535"/>
      <c r="AA246" s="4"/>
    </row>
    <row r="247" spans="1:27" ht="14.1" customHeight="1">
      <c r="A247" s="16">
        <v>31</v>
      </c>
      <c r="B247" s="66"/>
      <c r="C247" s="67"/>
      <c r="D247" s="190" t="s">
        <v>291</v>
      </c>
      <c r="E247" s="67"/>
      <c r="F247" s="67"/>
      <c r="G247" s="67"/>
      <c r="H247" s="67"/>
      <c r="I247" s="67"/>
      <c r="J247" s="67"/>
      <c r="K247" s="67"/>
      <c r="L247" s="67"/>
      <c r="M247" s="68"/>
      <c r="O247" s="184"/>
      <c r="P247" s="232" t="s">
        <v>70</v>
      </c>
      <c r="Q247" s="526" t="str">
        <f>IF(Q163="","",Q163)</f>
        <v/>
      </c>
      <c r="R247" s="526" t="str">
        <f t="shared" ref="R247:S247" si="41">IF(R163="","",R163)</f>
        <v/>
      </c>
      <c r="S247" s="526" t="str">
        <f t="shared" si="41"/>
        <v/>
      </c>
      <c r="T247" s="4"/>
      <c r="U247" s="179" t="str">
        <f>IF(Q248="","",ABS(Q248-Q$253)/Q$253)</f>
        <v/>
      </c>
      <c r="V247" s="179" t="str">
        <f>IF(R248="","",ABS(R248-R$253)/R$253)</f>
        <v/>
      </c>
      <c r="W247" s="179" t="str">
        <f>IF(S248="","",ABS(S248-S$253)/S$253)</f>
        <v/>
      </c>
      <c r="X247" s="4"/>
      <c r="Y247" s="231"/>
      <c r="Z247" s="535"/>
      <c r="AA247" s="26"/>
    </row>
    <row r="248" spans="1:27" ht="14.1" customHeight="1" thickBot="1">
      <c r="A248" s="16">
        <v>32</v>
      </c>
      <c r="B248" s="157"/>
      <c r="C248" s="40"/>
      <c r="D248" s="40"/>
      <c r="E248" s="40"/>
      <c r="F248" s="40"/>
      <c r="G248" s="40"/>
      <c r="H248" s="40"/>
      <c r="I248" s="40"/>
      <c r="J248" s="40"/>
      <c r="K248" s="40"/>
      <c r="L248" s="40"/>
      <c r="M248" s="158"/>
      <c r="O248" s="184"/>
      <c r="P248" s="229" t="s">
        <v>294</v>
      </c>
      <c r="Q248" s="664"/>
      <c r="R248" s="664"/>
      <c r="S248" s="664"/>
      <c r="T248" s="4"/>
      <c r="U248" s="179" t="str">
        <f t="shared" ref="U248:U251" si="42">IF(Q249="","",ABS(Q249-Q$253)/Q$253)</f>
        <v/>
      </c>
      <c r="V248" s="179" t="str">
        <f t="shared" ref="V248:V251" si="43">IF(R249="","",ABS(R249-R$253)/R$253)</f>
        <v/>
      </c>
      <c r="W248" s="179" t="str">
        <f t="shared" ref="W248:W251" si="44">IF(S249="","",ABS(S249-S$253)/S$253)</f>
        <v/>
      </c>
      <c r="X248" s="4"/>
      <c r="Y248" s="231"/>
    </row>
    <row r="249" spans="1:27" ht="14.1" customHeight="1" thickBot="1">
      <c r="A249" s="16">
        <v>33</v>
      </c>
      <c r="B249" s="66"/>
      <c r="C249" s="144" t="s">
        <v>292</v>
      </c>
      <c r="D249" s="67"/>
      <c r="E249" s="67"/>
      <c r="F249" s="67"/>
      <c r="G249" s="67"/>
      <c r="H249" s="67"/>
      <c r="I249" s="67"/>
      <c r="J249" s="67"/>
      <c r="K249" s="67"/>
      <c r="L249" s="67"/>
      <c r="M249" s="68"/>
      <c r="O249" s="184"/>
      <c r="P249" s="232" t="s">
        <v>296</v>
      </c>
      <c r="Q249" s="665"/>
      <c r="R249" s="665"/>
      <c r="S249" s="665"/>
      <c r="T249" s="4"/>
      <c r="U249" s="179" t="str">
        <f t="shared" si="42"/>
        <v/>
      </c>
      <c r="V249" s="179" t="str">
        <f t="shared" si="43"/>
        <v/>
      </c>
      <c r="W249" s="179" t="str">
        <f t="shared" si="44"/>
        <v/>
      </c>
      <c r="X249" s="4"/>
      <c r="Y249" s="231"/>
    </row>
    <row r="250" spans="1:27" ht="14.1" customHeight="1">
      <c r="A250" s="16">
        <v>34</v>
      </c>
      <c r="B250" s="66"/>
      <c r="C250" s="413" t="s">
        <v>69</v>
      </c>
      <c r="D250" s="410" t="str">
        <f t="shared" ref="D250:D251" si="45">IF(Q245="","",Q245)</f>
        <v>/</v>
      </c>
      <c r="E250" s="410" t="str">
        <f t="shared" ref="E250:E251" si="46">IF(R245="","",R245)</f>
        <v>/</v>
      </c>
      <c r="F250" s="411" t="str">
        <f t="shared" ref="F250:F251" si="47">IF(S245="","",S245)</f>
        <v>/</v>
      </c>
      <c r="G250" s="67"/>
      <c r="H250" s="975" t="s">
        <v>293</v>
      </c>
      <c r="I250" s="976"/>
      <c r="J250" s="977"/>
      <c r="K250" s="67"/>
      <c r="L250" s="67"/>
      <c r="M250" s="68"/>
      <c r="O250" s="184"/>
      <c r="P250" s="232" t="s">
        <v>297</v>
      </c>
      <c r="Q250" s="665"/>
      <c r="R250" s="665"/>
      <c r="S250" s="665"/>
      <c r="T250" s="4"/>
      <c r="U250" s="179" t="str">
        <f t="shared" si="42"/>
        <v/>
      </c>
      <c r="V250" s="179" t="str">
        <f t="shared" si="43"/>
        <v/>
      </c>
      <c r="W250" s="179" t="str">
        <f t="shared" si="44"/>
        <v/>
      </c>
      <c r="X250" s="4"/>
      <c r="Y250" s="231"/>
    </row>
    <row r="251" spans="1:27" ht="14.1" customHeight="1">
      <c r="A251" s="16">
        <v>35</v>
      </c>
      <c r="B251" s="66"/>
      <c r="C251" s="414" t="s">
        <v>266</v>
      </c>
      <c r="D251" s="289" t="str">
        <f t="shared" si="45"/>
        <v/>
      </c>
      <c r="E251" s="289" t="str">
        <f t="shared" si="46"/>
        <v/>
      </c>
      <c r="F251" s="331" t="str">
        <f t="shared" si="47"/>
        <v/>
      </c>
      <c r="G251" s="67"/>
      <c r="H251" s="330" t="str">
        <f t="shared" ref="H251" si="48">IF(U246="","",U246)</f>
        <v>/</v>
      </c>
      <c r="I251" s="289" t="str">
        <f t="shared" ref="I251" si="49">IF(V246="","",V246)</f>
        <v>/</v>
      </c>
      <c r="J251" s="331" t="str">
        <f t="shared" ref="J251" si="50">IF(W246="","",W246)</f>
        <v>/</v>
      </c>
      <c r="K251" s="67"/>
      <c r="L251" s="67"/>
      <c r="M251" s="68"/>
      <c r="O251" s="184"/>
      <c r="P251" s="232" t="s">
        <v>299</v>
      </c>
      <c r="Q251" s="665"/>
      <c r="R251" s="665"/>
      <c r="S251" s="665"/>
      <c r="T251" s="4"/>
      <c r="U251" s="179" t="str">
        <f t="shared" si="42"/>
        <v/>
      </c>
      <c r="V251" s="179" t="str">
        <f t="shared" si="43"/>
        <v/>
      </c>
      <c r="W251" s="179" t="str">
        <f t="shared" si="44"/>
        <v/>
      </c>
      <c r="X251" s="4"/>
      <c r="Y251" s="231"/>
    </row>
    <row r="252" spans="1:27" ht="14.1" customHeight="1">
      <c r="A252" s="16">
        <v>36</v>
      </c>
      <c r="B252" s="66"/>
      <c r="C252" s="414" t="s">
        <v>70</v>
      </c>
      <c r="D252" s="289" t="str">
        <f t="shared" ref="D252:D260" si="51">IF(Q247="","",Q247)</f>
        <v/>
      </c>
      <c r="E252" s="289" t="str">
        <f t="shared" ref="E252:E260" si="52">IF(R247="","",R247)</f>
        <v/>
      </c>
      <c r="F252" s="331" t="str">
        <f t="shared" ref="F252:F260" si="53">IF(S247="","",S247)</f>
        <v/>
      </c>
      <c r="G252" s="67"/>
      <c r="H252" s="781" t="str">
        <f t="shared" ref="H252:J256" si="54">IF(U247="","",U247)</f>
        <v/>
      </c>
      <c r="I252" s="782" t="str">
        <f t="shared" si="54"/>
        <v/>
      </c>
      <c r="J252" s="783" t="str">
        <f t="shared" si="54"/>
        <v/>
      </c>
      <c r="K252" s="67"/>
      <c r="L252" s="67"/>
      <c r="M252" s="68"/>
      <c r="O252" s="184"/>
      <c r="P252" s="232" t="s">
        <v>303</v>
      </c>
      <c r="Q252" s="665"/>
      <c r="R252" s="665"/>
      <c r="S252" s="665"/>
      <c r="T252" s="4"/>
      <c r="U252" s="4"/>
      <c r="V252" s="4"/>
      <c r="W252" s="4"/>
      <c r="X252" s="4"/>
      <c r="Y252" s="231"/>
    </row>
    <row r="253" spans="1:27" ht="14.1" customHeight="1">
      <c r="A253" s="16">
        <v>37</v>
      </c>
      <c r="B253" s="66"/>
      <c r="C253" s="414" t="s">
        <v>294</v>
      </c>
      <c r="D253" s="392" t="str">
        <f t="shared" si="51"/>
        <v/>
      </c>
      <c r="E253" s="289" t="str">
        <f t="shared" si="52"/>
        <v/>
      </c>
      <c r="F253" s="331" t="str">
        <f t="shared" si="53"/>
        <v/>
      </c>
      <c r="G253" s="67"/>
      <c r="H253" s="781" t="str">
        <f t="shared" si="54"/>
        <v/>
      </c>
      <c r="I253" s="782" t="str">
        <f t="shared" si="54"/>
        <v/>
      </c>
      <c r="J253" s="783" t="str">
        <f t="shared" si="54"/>
        <v/>
      </c>
      <c r="K253" s="67"/>
      <c r="L253" s="67"/>
      <c r="M253" s="68"/>
      <c r="O253" s="184"/>
      <c r="P253" s="232" t="s">
        <v>305</v>
      </c>
      <c r="Q253" s="105" t="str">
        <f>IF(Q248="","",AVERAGE(Q248:Q252))</f>
        <v/>
      </c>
      <c r="R253" s="105" t="str">
        <f>IF(R248="","",AVERAGE(R248:R252))</f>
        <v/>
      </c>
      <c r="S253" s="105" t="str">
        <f>IF(S248="","",AVERAGE(S248:S252))</f>
        <v/>
      </c>
      <c r="T253" s="4"/>
      <c r="U253" s="4"/>
      <c r="V253" s="4"/>
      <c r="W253" s="4"/>
      <c r="X253" s="4"/>
      <c r="Y253" s="231"/>
    </row>
    <row r="254" spans="1:27" ht="14.1" customHeight="1">
      <c r="A254" s="16">
        <v>38</v>
      </c>
      <c r="B254" s="66"/>
      <c r="C254" s="414" t="s">
        <v>296</v>
      </c>
      <c r="D254" s="392" t="str">
        <f t="shared" si="51"/>
        <v/>
      </c>
      <c r="E254" s="289" t="str">
        <f t="shared" si="52"/>
        <v/>
      </c>
      <c r="F254" s="331" t="str">
        <f t="shared" si="53"/>
        <v/>
      </c>
      <c r="G254" s="67"/>
      <c r="H254" s="781" t="str">
        <f t="shared" si="54"/>
        <v/>
      </c>
      <c r="I254" s="782" t="str">
        <f t="shared" si="54"/>
        <v/>
      </c>
      <c r="J254" s="783" t="str">
        <f t="shared" si="54"/>
        <v/>
      </c>
      <c r="K254" s="67"/>
      <c r="L254" s="67"/>
      <c r="M254" s="68"/>
      <c r="O254" s="184"/>
      <c r="P254" s="232" t="s">
        <v>307</v>
      </c>
      <c r="Q254" s="794" t="str">
        <f>IF(U247="","",MAX(U247:U251))</f>
        <v/>
      </c>
      <c r="R254" s="794" t="str">
        <f t="shared" ref="R254:S254" si="55">IF(V247="","",MAX(V247:V251))</f>
        <v/>
      </c>
      <c r="S254" s="794" t="str">
        <f t="shared" si="55"/>
        <v/>
      </c>
      <c r="T254" s="4"/>
      <c r="U254" s="4"/>
      <c r="V254" s="4"/>
      <c r="W254" s="4"/>
      <c r="X254" s="4"/>
      <c r="Y254" s="231"/>
    </row>
    <row r="255" spans="1:27" ht="14.1" customHeight="1">
      <c r="A255" s="16">
        <v>39</v>
      </c>
      <c r="B255" s="66"/>
      <c r="C255" s="414" t="s">
        <v>297</v>
      </c>
      <c r="D255" s="392" t="str">
        <f t="shared" si="51"/>
        <v/>
      </c>
      <c r="E255" s="289" t="str">
        <f t="shared" si="52"/>
        <v/>
      </c>
      <c r="F255" s="331" t="str">
        <f t="shared" si="53"/>
        <v/>
      </c>
      <c r="G255" s="67"/>
      <c r="H255" s="781" t="str">
        <f t="shared" si="54"/>
        <v/>
      </c>
      <c r="I255" s="782" t="str">
        <f t="shared" si="54"/>
        <v/>
      </c>
      <c r="J255" s="783" t="str">
        <f t="shared" si="54"/>
        <v/>
      </c>
      <c r="K255" s="67"/>
      <c r="L255" s="67"/>
      <c r="M255" s="68"/>
      <c r="O255" s="184"/>
      <c r="Q255" s="2" t="str">
        <f>IF(Q254="","",IF(Q254&lt;=0.07,"Pass","Fail"))</f>
        <v/>
      </c>
      <c r="R255" s="2" t="str">
        <f t="shared" ref="R255:S255" si="56">IF(R254="","",IF(R254&lt;=0.07,"Pass","Fail"))</f>
        <v/>
      </c>
      <c r="S255" s="2" t="str">
        <f t="shared" si="56"/>
        <v/>
      </c>
      <c r="T255" s="4"/>
      <c r="U255" s="4"/>
      <c r="V255" s="4"/>
      <c r="W255" s="4"/>
      <c r="X255" s="4"/>
      <c r="Y255" s="231"/>
    </row>
    <row r="256" spans="1:27" ht="14.1" customHeight="1" thickBot="1">
      <c r="A256" s="16">
        <v>40</v>
      </c>
      <c r="B256" s="66"/>
      <c r="C256" s="414" t="s">
        <v>299</v>
      </c>
      <c r="D256" s="392" t="str">
        <f t="shared" si="51"/>
        <v/>
      </c>
      <c r="E256" s="289" t="str">
        <f t="shared" si="52"/>
        <v/>
      </c>
      <c r="F256" s="331" t="str">
        <f t="shared" si="53"/>
        <v/>
      </c>
      <c r="G256" s="67"/>
      <c r="H256" s="784" t="str">
        <f t="shared" si="54"/>
        <v/>
      </c>
      <c r="I256" s="785" t="str">
        <f t="shared" si="54"/>
        <v/>
      </c>
      <c r="J256" s="786" t="str">
        <f t="shared" si="54"/>
        <v/>
      </c>
      <c r="K256" s="67"/>
      <c r="L256" s="67"/>
      <c r="M256" s="68"/>
      <c r="O256" s="184"/>
      <c r="P256" s="3" t="s">
        <v>201</v>
      </c>
      <c r="Q256" s="26" t="s">
        <v>310</v>
      </c>
      <c r="T256" s="4"/>
      <c r="U256" s="4"/>
      <c r="V256" s="4"/>
      <c r="W256" s="4"/>
      <c r="X256" s="4"/>
      <c r="Y256" s="231"/>
    </row>
    <row r="257" spans="1:37" ht="14.1" customHeight="1" thickBot="1">
      <c r="A257" s="16">
        <v>41</v>
      </c>
      <c r="B257" s="66"/>
      <c r="C257" s="414" t="s">
        <v>303</v>
      </c>
      <c r="D257" s="392" t="str">
        <f t="shared" si="51"/>
        <v/>
      </c>
      <c r="E257" s="289" t="str">
        <f t="shared" si="52"/>
        <v/>
      </c>
      <c r="F257" s="331" t="str">
        <f t="shared" si="53"/>
        <v/>
      </c>
      <c r="G257" s="67"/>
      <c r="H257" s="67"/>
      <c r="I257" s="67"/>
      <c r="J257" s="67"/>
      <c r="K257" s="67"/>
      <c r="L257" s="67"/>
      <c r="M257" s="68"/>
      <c r="O257" s="224"/>
      <c r="P257" s="189"/>
      <c r="Q257" s="189"/>
      <c r="R257" s="189"/>
      <c r="S257" s="189"/>
      <c r="T257" s="189"/>
      <c r="U257" s="189"/>
      <c r="V257" s="189"/>
      <c r="W257" s="189"/>
      <c r="X257" s="189"/>
      <c r="Y257" s="225"/>
    </row>
    <row r="258" spans="1:37" ht="14.1" customHeight="1">
      <c r="A258" s="16">
        <v>42</v>
      </c>
      <c r="B258" s="66"/>
      <c r="C258" s="414" t="s">
        <v>305</v>
      </c>
      <c r="D258" s="392" t="str">
        <f t="shared" si="51"/>
        <v/>
      </c>
      <c r="E258" s="289" t="str">
        <f t="shared" si="52"/>
        <v/>
      </c>
      <c r="F258" s="331" t="str">
        <f t="shared" si="53"/>
        <v/>
      </c>
      <c r="G258" s="67"/>
      <c r="H258" s="67"/>
      <c r="I258" s="67"/>
      <c r="J258" s="67"/>
      <c r="K258" s="67"/>
      <c r="L258" s="67"/>
      <c r="M258" s="68"/>
      <c r="O258" s="135" t="s">
        <v>548</v>
      </c>
      <c r="P258" s="22"/>
      <c r="Q258" s="22"/>
      <c r="R258" s="22"/>
      <c r="S258" s="22"/>
      <c r="T258" s="22"/>
      <c r="U258" s="22"/>
      <c r="V258" s="22"/>
      <c r="W258" s="22"/>
      <c r="X258" s="22"/>
      <c r="Y258" s="23"/>
    </row>
    <row r="259" spans="1:37" ht="14.1" customHeight="1" thickBot="1">
      <c r="A259" s="16">
        <v>43</v>
      </c>
      <c r="B259" s="66"/>
      <c r="C259" s="415" t="s">
        <v>307</v>
      </c>
      <c r="D259" s="403" t="str">
        <f t="shared" si="51"/>
        <v/>
      </c>
      <c r="E259" s="403" t="str">
        <f t="shared" si="52"/>
        <v/>
      </c>
      <c r="F259" s="404" t="str">
        <f t="shared" si="53"/>
        <v/>
      </c>
      <c r="G259" s="67"/>
      <c r="H259" s="67"/>
      <c r="I259" s="67"/>
      <c r="J259" s="67"/>
      <c r="K259" s="67"/>
      <c r="L259" s="67"/>
      <c r="M259" s="68"/>
      <c r="O259" s="29"/>
      <c r="P259" s="160" t="s">
        <v>295</v>
      </c>
      <c r="Q259" s="1" t="s">
        <v>768</v>
      </c>
      <c r="R259" s="67"/>
      <c r="S259" s="160" t="s">
        <v>171</v>
      </c>
      <c r="T259" s="136">
        <v>28</v>
      </c>
      <c r="U259" s="67"/>
      <c r="V259" s="325"/>
      <c r="W259" s="325"/>
      <c r="X259" s="67"/>
      <c r="Y259" s="31"/>
      <c r="AA259" s="4"/>
    </row>
    <row r="260" spans="1:37" ht="14.1" customHeight="1" thickBot="1">
      <c r="A260" s="16">
        <v>44</v>
      </c>
      <c r="B260" s="66"/>
      <c r="C260" s="67"/>
      <c r="D260" s="369" t="str">
        <f t="shared" si="51"/>
        <v/>
      </c>
      <c r="E260" s="369" t="str">
        <f t="shared" si="52"/>
        <v/>
      </c>
      <c r="F260" s="369" t="str">
        <f t="shared" si="53"/>
        <v/>
      </c>
      <c r="G260" s="67"/>
      <c r="H260" s="67"/>
      <c r="I260" s="67"/>
      <c r="J260" s="67"/>
      <c r="K260" s="67"/>
      <c r="L260" s="67"/>
      <c r="M260" s="68"/>
      <c r="O260" s="29"/>
      <c r="P260" s="160" t="s">
        <v>93</v>
      </c>
      <c r="Q260" s="136" t="s">
        <v>235</v>
      </c>
      <c r="R260" s="67"/>
      <c r="S260" s="160" t="s">
        <v>174</v>
      </c>
      <c r="T260" s="136">
        <v>100</v>
      </c>
      <c r="U260" s="67"/>
      <c r="V260" s="67"/>
      <c r="W260" s="67"/>
      <c r="X260" s="67"/>
      <c r="Y260" s="31"/>
      <c r="AA260" s="4"/>
      <c r="AD260" s="535"/>
      <c r="AE260" s="535"/>
      <c r="AF260" s="535"/>
      <c r="AG260" s="535"/>
      <c r="AH260" s="535"/>
    </row>
    <row r="261" spans="1:37" ht="14.1" customHeight="1">
      <c r="A261" s="16">
        <v>45</v>
      </c>
      <c r="B261" s="66"/>
      <c r="C261" s="3" t="s">
        <v>201</v>
      </c>
      <c r="D261" s="190" t="s">
        <v>310</v>
      </c>
      <c r="E261" s="67"/>
      <c r="F261" s="67"/>
      <c r="G261" s="67"/>
      <c r="H261" s="67"/>
      <c r="I261" s="67"/>
      <c r="J261" s="67"/>
      <c r="K261" s="67"/>
      <c r="L261" s="67"/>
      <c r="M261" s="68"/>
      <c r="O261" s="29"/>
      <c r="P261" s="67"/>
      <c r="Q261" s="67"/>
      <c r="R261" s="67"/>
      <c r="S261" s="661" t="s">
        <v>272</v>
      </c>
      <c r="T261" s="67"/>
      <c r="U261" s="67" t="s">
        <v>298</v>
      </c>
      <c r="V261" s="67"/>
      <c r="W261" s="67"/>
      <c r="X261" s="67"/>
      <c r="Y261" s="31"/>
      <c r="AA261" s="4"/>
    </row>
    <row r="262" spans="1:37" ht="14.1" customHeight="1" thickBot="1">
      <c r="A262" s="16">
        <v>46</v>
      </c>
      <c r="B262" s="157"/>
      <c r="C262" s="40"/>
      <c r="D262" s="40"/>
      <c r="E262" s="40"/>
      <c r="F262" s="40"/>
      <c r="G262" s="40"/>
      <c r="H262" s="40"/>
      <c r="I262" s="40"/>
      <c r="J262" s="40"/>
      <c r="K262" s="40"/>
      <c r="L262" s="40"/>
      <c r="M262" s="158"/>
      <c r="O262" s="184"/>
      <c r="P262" s="67"/>
      <c r="Q262" s="661" t="s">
        <v>70</v>
      </c>
      <c r="R262" s="661" t="s">
        <v>281</v>
      </c>
      <c r="S262" s="661" t="s">
        <v>273</v>
      </c>
      <c r="T262" s="661" t="s">
        <v>300</v>
      </c>
      <c r="U262" s="661" t="s">
        <v>301</v>
      </c>
      <c r="V262" s="67"/>
      <c r="W262" s="160" t="s">
        <v>302</v>
      </c>
      <c r="X262" s="266" t="e">
        <f>IF($T$259="","",$T$259*HLOOKUP($Q$260,Tables!$D$83:$F$85,2,FALSE)+HLOOKUP(Sheet1!$Q$260,Tables!$D$83:$F$85,3,FALSE))</f>
        <v>#N/A</v>
      </c>
      <c r="Y262" s="31"/>
      <c r="AA262" s="4"/>
    </row>
    <row r="263" spans="1:37" ht="14.1" customHeight="1">
      <c r="A263" s="16">
        <v>47</v>
      </c>
      <c r="B263" s="66"/>
      <c r="C263" s="144" t="str">
        <f>O258</f>
        <v>Mean Glandular Dose - 2D</v>
      </c>
      <c r="D263" s="67"/>
      <c r="E263" s="67"/>
      <c r="F263" s="67"/>
      <c r="G263" s="67"/>
      <c r="H263" s="67"/>
      <c r="I263" s="67"/>
      <c r="J263" s="67"/>
      <c r="K263" s="67"/>
      <c r="L263" s="67"/>
      <c r="M263" s="68"/>
      <c r="O263" s="184"/>
      <c r="P263" s="67"/>
      <c r="Q263" s="165">
        <f>P232</f>
        <v>0</v>
      </c>
      <c r="R263" s="165">
        <f>R232</f>
        <v>0</v>
      </c>
      <c r="S263" s="143"/>
      <c r="T263" s="294">
        <f>IF(Q263="","",Q263/$T$260)</f>
        <v>0</v>
      </c>
      <c r="U263" s="296" t="e">
        <f>IF(Q263="","",($T$259*HLOOKUP($Q$260,Tables!$D$70:$F$72,2)+HLOOKUP(Sheet1!$Q$260,Tables!$D$70:$F$72,3))*Q263)</f>
        <v>#DIV/0!</v>
      </c>
      <c r="V263" s="67"/>
      <c r="W263" s="160" t="s">
        <v>304</v>
      </c>
      <c r="X263" s="266" t="e">
        <f>IF(U267="","",U267)</f>
        <v>#DIV/0!</v>
      </c>
      <c r="Y263" s="31"/>
      <c r="AA263" s="4"/>
    </row>
    <row r="264" spans="1:37" ht="14.1" customHeight="1">
      <c r="A264" s="16">
        <v>48</v>
      </c>
      <c r="B264" s="66"/>
      <c r="C264" s="160" t="s">
        <v>295</v>
      </c>
      <c r="D264" s="680" t="str">
        <f>IF(Q259="","",Q259)</f>
        <v>800004-1204146</v>
      </c>
      <c r="E264" s="67"/>
      <c r="F264" s="160" t="s">
        <v>171</v>
      </c>
      <c r="G264" s="138">
        <f>IF(T259="","",T259)</f>
        <v>28</v>
      </c>
      <c r="H264" s="67"/>
      <c r="I264" s="67"/>
      <c r="J264" s="67"/>
      <c r="K264" s="67"/>
      <c r="L264" s="67"/>
      <c r="M264" s="68"/>
      <c r="O264" s="184"/>
      <c r="P264" s="67"/>
      <c r="Q264" s="165">
        <f t="shared" ref="Q264:Q266" si="57">P233</f>
        <v>0</v>
      </c>
      <c r="R264" s="165">
        <f t="shared" ref="R264:R266" si="58">R233</f>
        <v>0</v>
      </c>
      <c r="S264" s="143"/>
      <c r="T264" s="294">
        <f>IF(Q264="","",Q264/$T$260)</f>
        <v>0</v>
      </c>
      <c r="U264" s="296" t="e">
        <f>IF(Q264="","",($T$259*HLOOKUP($Q$260,Tables!$D$70:$F$72,2)+HLOOKUP(Sheet1!$Q$260,Tables!$D$70:$F$72,3))*Q264)</f>
        <v>#DIV/0!</v>
      </c>
      <c r="V264" s="67"/>
      <c r="W264" s="160" t="s">
        <v>306</v>
      </c>
      <c r="X264" s="249" t="e">
        <f>IF($Q$260="","",HLOOKUP($Q$260,Tables!$A$88:$F$89,2))</f>
        <v>#N/A</v>
      </c>
      <c r="Y264" s="31"/>
      <c r="AA264" s="4"/>
    </row>
    <row r="265" spans="1:37" ht="14.1" customHeight="1">
      <c r="A265" s="16">
        <v>49</v>
      </c>
      <c r="B265" s="66"/>
      <c r="C265" s="160" t="s">
        <v>93</v>
      </c>
      <c r="D265" s="138" t="str">
        <f>IF(Q260="","",Q260)</f>
        <v>W/Rh</v>
      </c>
      <c r="E265" s="67"/>
      <c r="F265" s="160" t="s">
        <v>174</v>
      </c>
      <c r="G265" s="138">
        <f>IF(T260="","",T260)</f>
        <v>100</v>
      </c>
      <c r="H265" s="67"/>
      <c r="I265" s="67"/>
      <c r="J265" s="67"/>
      <c r="K265" s="67"/>
      <c r="L265" s="67"/>
      <c r="M265" s="68"/>
      <c r="O265" s="184"/>
      <c r="P265" s="67"/>
      <c r="Q265" s="165">
        <f t="shared" si="57"/>
        <v>0</v>
      </c>
      <c r="R265" s="165">
        <f t="shared" si="58"/>
        <v>0</v>
      </c>
      <c r="S265" s="143"/>
      <c r="T265" s="294">
        <f>IF(Q265="","",Q265/$T$260)</f>
        <v>0</v>
      </c>
      <c r="U265" s="296" t="e">
        <f>IF(Q265="","",($T$259*HLOOKUP($Q$260,Tables!$D$70:$F$72,2)+HLOOKUP(Sheet1!$Q$260,Tables!$D$70:$F$72,3))*Q265)</f>
        <v>#DIV/0!</v>
      </c>
      <c r="V265" s="67"/>
      <c r="W265" s="160" t="s">
        <v>308</v>
      </c>
      <c r="X265" s="250" t="e">
        <f>IF(ESE="","",ESE*Tables!$D$89)</f>
        <v>#DIV/0!</v>
      </c>
      <c r="Y265" s="31"/>
      <c r="AA265" s="4"/>
    </row>
    <row r="266" spans="1:37" ht="14.1" customHeight="1">
      <c r="A266" s="16">
        <v>50</v>
      </c>
      <c r="B266" s="66"/>
      <c r="C266" s="67"/>
      <c r="D266" s="67"/>
      <c r="E266" s="67"/>
      <c r="F266" s="106" t="s">
        <v>272</v>
      </c>
      <c r="G266" s="67"/>
      <c r="H266" s="67" t="s">
        <v>298</v>
      </c>
      <c r="I266" s="67"/>
      <c r="J266" s="67"/>
      <c r="K266" s="67"/>
      <c r="L266" s="67"/>
      <c r="M266" s="68"/>
      <c r="O266" s="184"/>
      <c r="P266" s="67"/>
      <c r="Q266" s="165">
        <f t="shared" si="57"/>
        <v>0</v>
      </c>
      <c r="R266" s="165">
        <f t="shared" si="58"/>
        <v>0</v>
      </c>
      <c r="S266" s="143"/>
      <c r="T266" s="294">
        <f>IF(Q266="","",Q266/$T$260)</f>
        <v>0</v>
      </c>
      <c r="U266" s="296" t="e">
        <f>IF(Q266="","",($T$259*HLOOKUP($Q$260,Tables!$D$70:$F$72,2)+HLOOKUP(Sheet1!$Q$260,Tables!$D$70:$F$72,3))*Q266)</f>
        <v>#DIV/0!</v>
      </c>
      <c r="V266" s="67"/>
      <c r="W266" s="160" t="s">
        <v>309</v>
      </c>
      <c r="X266" s="251" t="str">
        <f>IF(AB85="","",AB85)</f>
        <v/>
      </c>
      <c r="Y266" s="31"/>
      <c r="AA266" s="4"/>
    </row>
    <row r="267" spans="1:37" ht="14.1" customHeight="1" thickBot="1">
      <c r="A267" s="16">
        <v>51</v>
      </c>
      <c r="B267" s="66"/>
      <c r="C267" s="106"/>
      <c r="D267" s="106" t="s">
        <v>70</v>
      </c>
      <c r="E267" s="106" t="s">
        <v>281</v>
      </c>
      <c r="F267" s="106" t="s">
        <v>273</v>
      </c>
      <c r="G267" s="106" t="s">
        <v>300</v>
      </c>
      <c r="H267" s="106" t="s">
        <v>301</v>
      </c>
      <c r="I267" s="67"/>
      <c r="J267" s="160" t="s">
        <v>302</v>
      </c>
      <c r="K267" s="139" t="e">
        <f t="shared" ref="K267:K272" si="59">IF(X262="","",X262)</f>
        <v>#N/A</v>
      </c>
      <c r="L267" s="67"/>
      <c r="M267" s="68"/>
      <c r="O267" s="184"/>
      <c r="P267" s="160" t="s">
        <v>269</v>
      </c>
      <c r="Q267" s="69">
        <f>IF(OR(Q263="",Q264="",Q265="",Q266=""),"",AVERAGE(Q263:Q266))</f>
        <v>0</v>
      </c>
      <c r="R267" s="252">
        <f>IF(OR(R263="",R264="",R265="",R266=""),"",AVERAGE(R263:R266))</f>
        <v>0</v>
      </c>
      <c r="S267" s="70" t="str">
        <f>IF(OR(S263="",S264="",S265="",S266=""),"",AVERAGE(S263:S266))</f>
        <v/>
      </c>
      <c r="T267" s="253">
        <f>IF(OR(T263="",T264="",T265="",T266=""),"",AVERAGE(T263:T266))</f>
        <v>0</v>
      </c>
      <c r="U267" s="295" t="e">
        <f>IF(OR(U263="",U264="",U265="",U266=""),"",AVERAGE(U263:U266))</f>
        <v>#DIV/0!</v>
      </c>
      <c r="V267" s="67"/>
      <c r="W267" s="160" t="s">
        <v>311</v>
      </c>
      <c r="X267" s="254" t="e">
        <f>IF(OR(X265="",X266=""),"",(X265-X266)/X266)</f>
        <v>#DIV/0!</v>
      </c>
      <c r="Y267" s="31"/>
    </row>
    <row r="268" spans="1:37" ht="14.1" customHeight="1">
      <c r="A268" s="16">
        <v>52</v>
      </c>
      <c r="B268" s="66"/>
      <c r="C268" s="67"/>
      <c r="D268" s="234">
        <f t="shared" ref="D268:H273" si="60">IF(Q263="","",Q263)</f>
        <v>0</v>
      </c>
      <c r="E268" s="528">
        <f t="shared" si="60"/>
        <v>0</v>
      </c>
      <c r="F268" s="202" t="str">
        <f t="shared" si="60"/>
        <v/>
      </c>
      <c r="G268" s="235">
        <f t="shared" si="60"/>
        <v>0</v>
      </c>
      <c r="H268" s="236" t="e">
        <f t="shared" si="60"/>
        <v>#DIV/0!</v>
      </c>
      <c r="I268" s="67"/>
      <c r="J268" s="160" t="s">
        <v>304</v>
      </c>
      <c r="K268" s="140" t="e">
        <f t="shared" si="59"/>
        <v>#DIV/0!</v>
      </c>
      <c r="L268" s="67"/>
      <c r="M268" s="68"/>
      <c r="O268" s="184"/>
      <c r="P268" s="160" t="s">
        <v>271</v>
      </c>
      <c r="Q268" s="247" t="e">
        <f>IF(Q267="","",_xlfn.STDEV.S(Q263:Q266)/Q267)</f>
        <v>#DIV/0!</v>
      </c>
      <c r="R268" s="247" t="e">
        <f>IF(R267="","",_xlfn.STDEV.S(R263:R266)/R267)</f>
        <v>#DIV/0!</v>
      </c>
      <c r="S268" s="247" t="str">
        <f>IF(S267="","",_xlfn.STDEV.S(S263:S266)/S267)</f>
        <v/>
      </c>
      <c r="T268" s="247" t="e">
        <f>IF(T267="","",_xlfn.STDEV.S(T263:T266)/T267)</f>
        <v>#DIV/0!</v>
      </c>
      <c r="U268" s="247" t="e">
        <f>IF(U267="","",_xlfn.STDEV.S(U263:U266)/U267)</f>
        <v>#DIV/0!</v>
      </c>
      <c r="V268" s="67"/>
      <c r="W268" s="325"/>
      <c r="X268" s="325"/>
      <c r="Y268" s="31"/>
    </row>
    <row r="269" spans="1:37" ht="14.1" customHeight="1">
      <c r="A269" s="16">
        <v>53</v>
      </c>
      <c r="B269" s="66"/>
      <c r="C269" s="67"/>
      <c r="D269" s="237">
        <f t="shared" si="60"/>
        <v>0</v>
      </c>
      <c r="E269" s="105">
        <f t="shared" si="60"/>
        <v>0</v>
      </c>
      <c r="F269" s="10" t="str">
        <f t="shared" si="60"/>
        <v/>
      </c>
      <c r="G269" s="12">
        <f t="shared" si="60"/>
        <v>0</v>
      </c>
      <c r="H269" s="238" t="e">
        <f t="shared" si="60"/>
        <v>#DIV/0!</v>
      </c>
      <c r="I269" s="67"/>
      <c r="J269" s="160" t="s">
        <v>306</v>
      </c>
      <c r="K269" s="239" t="e">
        <f t="shared" si="59"/>
        <v>#N/A</v>
      </c>
      <c r="L269" s="67"/>
      <c r="M269" s="68"/>
      <c r="O269" s="29"/>
      <c r="P269" s="3" t="s">
        <v>201</v>
      </c>
      <c r="Q269" s="190" t="s">
        <v>773</v>
      </c>
      <c r="R269" s="67"/>
      <c r="S269" s="67"/>
      <c r="T269" s="67"/>
      <c r="U269" s="67"/>
      <c r="V269" s="67"/>
      <c r="W269" s="160" t="s">
        <v>313</v>
      </c>
      <c r="X269" s="244" t="e">
        <f>IF(X265="","",(X265-S267)/S267)</f>
        <v>#DIV/0!</v>
      </c>
      <c r="Y269" s="31"/>
    </row>
    <row r="270" spans="1:37" ht="14.1" customHeight="1">
      <c r="A270" s="16">
        <v>54</v>
      </c>
      <c r="B270" s="66"/>
      <c r="C270" s="67"/>
      <c r="D270" s="237">
        <f t="shared" si="60"/>
        <v>0</v>
      </c>
      <c r="E270" s="105">
        <f t="shared" si="60"/>
        <v>0</v>
      </c>
      <c r="F270" s="10" t="str">
        <f t="shared" si="60"/>
        <v/>
      </c>
      <c r="G270" s="12">
        <f t="shared" si="60"/>
        <v>0</v>
      </c>
      <c r="H270" s="238" t="e">
        <f t="shared" si="60"/>
        <v>#DIV/0!</v>
      </c>
      <c r="I270" s="67"/>
      <c r="J270" s="160" t="s">
        <v>308</v>
      </c>
      <c r="K270" s="140" t="e">
        <f t="shared" si="59"/>
        <v>#DIV/0!</v>
      </c>
      <c r="L270" s="67"/>
      <c r="M270" s="68"/>
      <c r="O270" s="29"/>
      <c r="P270" s="190"/>
      <c r="Q270" s="190" t="s">
        <v>493</v>
      </c>
      <c r="R270" s="67"/>
      <c r="S270" s="67"/>
      <c r="T270" s="67"/>
      <c r="U270" s="67"/>
      <c r="V270" s="67"/>
      <c r="W270" s="160" t="s">
        <v>315</v>
      </c>
      <c r="X270" s="245" t="e">
        <f>IF(OR(X265="",Q267=""),"",3/(X265/Q267))</f>
        <v>#DIV/0!</v>
      </c>
      <c r="Y270" s="31"/>
    </row>
    <row r="271" spans="1:37" ht="14.1" customHeight="1" thickBot="1">
      <c r="A271" s="16">
        <v>55</v>
      </c>
      <c r="B271" s="66"/>
      <c r="C271" s="67"/>
      <c r="D271" s="240">
        <f t="shared" si="60"/>
        <v>0</v>
      </c>
      <c r="E271" s="529">
        <f t="shared" si="60"/>
        <v>0</v>
      </c>
      <c r="F271" s="205" t="str">
        <f t="shared" si="60"/>
        <v/>
      </c>
      <c r="G271" s="241">
        <f t="shared" si="60"/>
        <v>0</v>
      </c>
      <c r="H271" s="242" t="e">
        <f t="shared" si="60"/>
        <v>#DIV/0!</v>
      </c>
      <c r="I271" s="67"/>
      <c r="J271" s="160" t="s">
        <v>309</v>
      </c>
      <c r="K271" s="140" t="str">
        <f t="shared" si="59"/>
        <v/>
      </c>
      <c r="L271" s="67"/>
      <c r="M271" s="68"/>
      <c r="O271" s="29"/>
      <c r="Y271" s="31"/>
      <c r="Z271"/>
      <c r="AA271"/>
      <c r="AB271"/>
      <c r="AC271"/>
      <c r="AD271"/>
      <c r="AE271"/>
      <c r="AF271"/>
      <c r="AG271"/>
      <c r="AH271"/>
      <c r="AI271"/>
      <c r="AJ271"/>
      <c r="AK271"/>
    </row>
    <row r="272" spans="1:37" ht="14.1" customHeight="1" thickBot="1">
      <c r="A272" s="16">
        <v>56</v>
      </c>
      <c r="B272" s="66"/>
      <c r="C272" s="160" t="s">
        <v>269</v>
      </c>
      <c r="D272" s="237">
        <f t="shared" si="60"/>
        <v>0</v>
      </c>
      <c r="E272" s="105">
        <f t="shared" si="60"/>
        <v>0</v>
      </c>
      <c r="F272" s="11" t="str">
        <f t="shared" si="60"/>
        <v/>
      </c>
      <c r="G272" s="12">
        <f t="shared" si="60"/>
        <v>0</v>
      </c>
      <c r="H272" s="238" t="e">
        <f t="shared" si="60"/>
        <v>#DIV/0!</v>
      </c>
      <c r="I272" s="67"/>
      <c r="J272" s="160" t="s">
        <v>311</v>
      </c>
      <c r="K272" s="243" t="e">
        <f t="shared" si="59"/>
        <v>#DIV/0!</v>
      </c>
      <c r="L272" s="67"/>
      <c r="M272" s="68"/>
      <c r="O272" s="137" t="s">
        <v>627</v>
      </c>
      <c r="P272" s="67"/>
      <c r="Q272" s="67"/>
      <c r="R272" s="67"/>
      <c r="S272" s="67"/>
      <c r="T272" s="67"/>
      <c r="U272" s="67"/>
      <c r="V272" s="67"/>
      <c r="W272" s="67"/>
      <c r="X272" s="67"/>
      <c r="Y272" s="31"/>
      <c r="Z272"/>
      <c r="AA272"/>
      <c r="AB272"/>
      <c r="AC272"/>
      <c r="AD272"/>
      <c r="AE272"/>
      <c r="AF272"/>
      <c r="AG272"/>
      <c r="AH272"/>
      <c r="AI272"/>
      <c r="AJ272"/>
      <c r="AK272"/>
    </row>
    <row r="273" spans="1:37" ht="14.1" customHeight="1" thickBot="1">
      <c r="A273" s="16">
        <v>57</v>
      </c>
      <c r="B273" s="66"/>
      <c r="C273" s="160" t="s">
        <v>271</v>
      </c>
      <c r="D273" s="188" t="e">
        <f t="shared" si="60"/>
        <v>#DIV/0!</v>
      </c>
      <c r="E273" s="182" t="e">
        <f t="shared" si="60"/>
        <v>#DIV/0!</v>
      </c>
      <c r="F273" s="182" t="str">
        <f t="shared" si="60"/>
        <v/>
      </c>
      <c r="G273" s="182" t="e">
        <f t="shared" si="60"/>
        <v>#DIV/0!</v>
      </c>
      <c r="H273" s="183" t="e">
        <f t="shared" si="60"/>
        <v>#DIV/0!</v>
      </c>
      <c r="I273" s="67"/>
      <c r="J273" s="67"/>
      <c r="K273" s="67"/>
      <c r="L273" s="67"/>
      <c r="M273" s="68"/>
      <c r="O273" s="29"/>
      <c r="P273" s="658" t="s">
        <v>549</v>
      </c>
      <c r="Q273" s="659" t="s">
        <v>266</v>
      </c>
      <c r="R273" s="659" t="s">
        <v>70</v>
      </c>
      <c r="S273" s="659" t="s">
        <v>273</v>
      </c>
      <c r="T273" s="616" t="s">
        <v>588</v>
      </c>
      <c r="U273" s="659" t="s">
        <v>550</v>
      </c>
      <c r="V273" s="660" t="s">
        <v>288</v>
      </c>
      <c r="W273" s="67"/>
      <c r="X273" s="67"/>
      <c r="Y273" s="31"/>
      <c r="Z273"/>
      <c r="AA273"/>
      <c r="AB273"/>
      <c r="AC273"/>
      <c r="AD273"/>
      <c r="AE273"/>
      <c r="AF273"/>
      <c r="AG273"/>
      <c r="AH273"/>
      <c r="AI273"/>
      <c r="AJ273"/>
      <c r="AK273"/>
    </row>
    <row r="274" spans="1:37" ht="14.1" customHeight="1">
      <c r="A274" s="16">
        <v>58</v>
      </c>
      <c r="B274" s="66"/>
      <c r="C274" s="3" t="s">
        <v>201</v>
      </c>
      <c r="D274" s="190" t="s">
        <v>773</v>
      </c>
      <c r="E274" s="67"/>
      <c r="F274" s="67"/>
      <c r="G274" s="67"/>
      <c r="H274" s="67"/>
      <c r="I274" s="67"/>
      <c r="J274" s="160" t="s">
        <v>313</v>
      </c>
      <c r="K274" s="244" t="e">
        <f>IF(X269="","",X269)</f>
        <v>#DIV/0!</v>
      </c>
      <c r="L274" s="67"/>
      <c r="M274" s="68"/>
      <c r="O274" s="29"/>
      <c r="P274" s="330">
        <v>20</v>
      </c>
      <c r="Q274" s="289">
        <v>26</v>
      </c>
      <c r="R274" s="625"/>
      <c r="S274" s="625"/>
      <c r="T274" s="777" t="str">
        <f>IF(AB124="","",AB124)</f>
        <v/>
      </c>
      <c r="U274" s="392">
        <v>1.1000000000000001</v>
      </c>
      <c r="V274" s="331" t="str">
        <f>IF(S274="","",IF(S274&lt;=U274, "Pass","Fail"))</f>
        <v/>
      </c>
      <c r="W274" s="67"/>
      <c r="X274" s="67"/>
      <c r="Y274" s="31"/>
      <c r="Z274"/>
      <c r="AA274"/>
      <c r="AB274"/>
      <c r="AC274"/>
      <c r="AD274"/>
      <c r="AE274"/>
      <c r="AF274"/>
      <c r="AG274"/>
      <c r="AH274"/>
      <c r="AI274"/>
      <c r="AJ274"/>
      <c r="AK274"/>
    </row>
    <row r="275" spans="1:37" ht="14.1" customHeight="1">
      <c r="A275" s="16">
        <v>59</v>
      </c>
      <c r="B275" s="66"/>
      <c r="C275" s="67"/>
      <c r="D275" s="190" t="s">
        <v>314</v>
      </c>
      <c r="E275" s="67"/>
      <c r="F275" s="67"/>
      <c r="G275" s="67"/>
      <c r="H275" s="67"/>
      <c r="I275" s="67"/>
      <c r="J275" s="160" t="s">
        <v>315</v>
      </c>
      <c r="K275" s="245" t="e">
        <f>IF(X270="","",X270)</f>
        <v>#DIV/0!</v>
      </c>
      <c r="L275" s="67"/>
      <c r="M275" s="68"/>
      <c r="O275" s="29"/>
      <c r="P275" s="330">
        <v>40</v>
      </c>
      <c r="Q275" s="289">
        <v>28</v>
      </c>
      <c r="R275" s="625"/>
      <c r="S275" s="625"/>
      <c r="T275" s="777" t="str">
        <f>IF(AB125="","",AB125)</f>
        <v/>
      </c>
      <c r="U275" s="392">
        <v>2.2000000000000002</v>
      </c>
      <c r="V275" s="331" t="str">
        <f>IF(S275="","",IF(S275&lt;=U275, "Pass","Fail"))</f>
        <v/>
      </c>
      <c r="W275" s="67"/>
      <c r="X275" s="67"/>
      <c r="Y275" s="31"/>
      <c r="Z275"/>
      <c r="AA275"/>
      <c r="AB275"/>
      <c r="AC275"/>
      <c r="AD275"/>
      <c r="AE275"/>
      <c r="AF275"/>
      <c r="AG275"/>
      <c r="AH275"/>
      <c r="AI275"/>
      <c r="AJ275"/>
      <c r="AK275"/>
    </row>
    <row r="276" spans="1:37" ht="14.1" customHeight="1" thickBot="1">
      <c r="A276" s="16">
        <v>60</v>
      </c>
      <c r="B276" s="66"/>
      <c r="C276" s="67"/>
      <c r="D276" s="67"/>
      <c r="E276" s="67"/>
      <c r="F276" s="67"/>
      <c r="G276" s="67"/>
      <c r="H276" s="67"/>
      <c r="I276" s="67"/>
      <c r="J276" s="67"/>
      <c r="K276" s="67"/>
      <c r="L276" s="67"/>
      <c r="M276" s="68"/>
      <c r="O276" s="29"/>
      <c r="P276" s="379">
        <v>60</v>
      </c>
      <c r="Q276" s="429">
        <v>30</v>
      </c>
      <c r="R276" s="626"/>
      <c r="S276" s="626"/>
      <c r="T276" s="778" t="str">
        <f>IF(AB126="","",AB126)</f>
        <v/>
      </c>
      <c r="U276" s="618">
        <v>4.7</v>
      </c>
      <c r="V276" s="380" t="str">
        <f>IF(S276="","",IF(S276&lt;=U276, "Pass","Fail"))</f>
        <v/>
      </c>
      <c r="W276" s="67"/>
      <c r="X276" s="67"/>
      <c r="Y276" s="31"/>
      <c r="Z276"/>
      <c r="AA276"/>
      <c r="AB276"/>
      <c r="AC276"/>
      <c r="AD276"/>
      <c r="AE276"/>
      <c r="AF276"/>
      <c r="AG276"/>
      <c r="AH276"/>
      <c r="AI276"/>
      <c r="AJ276"/>
      <c r="AK276"/>
    </row>
    <row r="277" spans="1:37" ht="14.1" customHeight="1" thickBot="1">
      <c r="A277" s="16">
        <v>61</v>
      </c>
      <c r="B277" s="66"/>
      <c r="C277" s="144" t="str">
        <f>O272</f>
        <v>Mean Glandular Dose - Tomo</v>
      </c>
      <c r="D277" s="67"/>
      <c r="E277" s="67"/>
      <c r="F277" s="67"/>
      <c r="G277" s="67"/>
      <c r="H277" s="67"/>
      <c r="I277" s="67"/>
      <c r="J277" s="144" t="str">
        <f>O279</f>
        <v>Mean Glandular Dose - 2D + Tomo</v>
      </c>
      <c r="K277" s="67"/>
      <c r="L277" s="67"/>
      <c r="M277" s="68"/>
      <c r="O277" s="29"/>
      <c r="P277" s="3" t="s">
        <v>201</v>
      </c>
      <c r="Q277" s="190" t="s">
        <v>551</v>
      </c>
      <c r="R277" s="67"/>
      <c r="S277" s="67"/>
      <c r="T277" s="67"/>
      <c r="U277" s="67"/>
      <c r="V277" s="67"/>
      <c r="W277" s="67"/>
      <c r="X277" s="67"/>
      <c r="Y277" s="31"/>
      <c r="Z277"/>
      <c r="AA277"/>
      <c r="AB277"/>
      <c r="AC277"/>
      <c r="AD277"/>
      <c r="AE277"/>
      <c r="AF277"/>
      <c r="AG277"/>
      <c r="AH277"/>
      <c r="AI277"/>
      <c r="AJ277"/>
      <c r="AK277"/>
    </row>
    <row r="278" spans="1:37" ht="14.1" customHeight="1">
      <c r="A278" s="16">
        <v>62</v>
      </c>
      <c r="B278" s="66"/>
      <c r="C278" s="627" t="s">
        <v>549</v>
      </c>
      <c r="D278" s="628" t="s">
        <v>266</v>
      </c>
      <c r="E278" s="628" t="s">
        <v>70</v>
      </c>
      <c r="F278" s="628" t="s">
        <v>273</v>
      </c>
      <c r="G278" s="628" t="s">
        <v>550</v>
      </c>
      <c r="H278" s="629" t="s">
        <v>288</v>
      </c>
      <c r="I278" s="67"/>
      <c r="J278" s="160"/>
      <c r="K278" s="661"/>
      <c r="L278" s="67"/>
      <c r="M278" s="68" t="s">
        <v>713</v>
      </c>
      <c r="O278" s="447"/>
      <c r="P278" s="67"/>
      <c r="Q278" s="67"/>
      <c r="R278" s="67"/>
      <c r="S278" s="67"/>
      <c r="T278" s="67"/>
      <c r="U278" s="67"/>
      <c r="V278" s="67"/>
      <c r="W278" s="67"/>
      <c r="X278" s="67"/>
      <c r="Y278" s="700"/>
      <c r="Z278"/>
      <c r="AA278"/>
      <c r="AB278"/>
      <c r="AC278"/>
      <c r="AD278"/>
      <c r="AE278"/>
      <c r="AF278"/>
      <c r="AG278"/>
      <c r="AH278"/>
      <c r="AI278"/>
      <c r="AJ278"/>
      <c r="AK278"/>
    </row>
    <row r="279" spans="1:37" ht="14.1" customHeight="1" thickBot="1">
      <c r="A279" s="16">
        <v>63</v>
      </c>
      <c r="B279" s="66"/>
      <c r="C279" s="330">
        <v>20</v>
      </c>
      <c r="D279" s="289">
        <v>26</v>
      </c>
      <c r="E279" s="289" t="str">
        <f t="shared" ref="E279:F281" si="61">IF(R274="","",R274)</f>
        <v/>
      </c>
      <c r="F279" s="289" t="str">
        <f t="shared" si="61"/>
        <v/>
      </c>
      <c r="G279" s="392">
        <f>IF(U274="","",U274)</f>
        <v>1.1000000000000001</v>
      </c>
      <c r="H279" s="331" t="str">
        <f>IF(V274="","",V274)</f>
        <v/>
      </c>
      <c r="I279" s="67"/>
      <c r="J279" s="67"/>
      <c r="K279" s="661" t="s">
        <v>266</v>
      </c>
      <c r="L279" s="661" t="s">
        <v>70</v>
      </c>
      <c r="M279" s="256" t="s">
        <v>613</v>
      </c>
      <c r="O279" s="701" t="s">
        <v>628</v>
      </c>
      <c r="P279" s="160"/>
      <c r="Q279" s="661"/>
      <c r="R279" s="67"/>
      <c r="S279" s="67"/>
      <c r="T279" s="67"/>
      <c r="U279" s="67"/>
      <c r="V279" s="67"/>
      <c r="W279" s="67"/>
      <c r="X279" s="67"/>
      <c r="Y279" s="700"/>
      <c r="Z279"/>
      <c r="AA279"/>
      <c r="AB279"/>
      <c r="AC279"/>
      <c r="AD279"/>
      <c r="AE279"/>
      <c r="AF279"/>
      <c r="AG279"/>
      <c r="AH279"/>
      <c r="AI279"/>
      <c r="AJ279"/>
      <c r="AK279"/>
    </row>
    <row r="280" spans="1:37" ht="14.1" customHeight="1">
      <c r="A280" s="16">
        <v>64</v>
      </c>
      <c r="B280" s="66"/>
      <c r="C280" s="330">
        <v>40</v>
      </c>
      <c r="D280" s="289">
        <v>28</v>
      </c>
      <c r="E280" s="289" t="str">
        <f t="shared" si="61"/>
        <v/>
      </c>
      <c r="F280" s="289" t="str">
        <f t="shared" si="61"/>
        <v/>
      </c>
      <c r="G280" s="392">
        <f t="shared" ref="G280:G281" si="62">IF(U275="","",U275)</f>
        <v>2.2000000000000002</v>
      </c>
      <c r="H280" s="331" t="str">
        <f>IF(V275="","",V275)</f>
        <v/>
      </c>
      <c r="I280" s="67"/>
      <c r="J280" s="160" t="s">
        <v>610</v>
      </c>
      <c r="K280" s="658">
        <f>IF(Q304="","",Q304)</f>
        <v>28</v>
      </c>
      <c r="L280" s="659" t="str">
        <f>IF(R304="","",R304)</f>
        <v/>
      </c>
      <c r="M280" s="459" t="str">
        <f>IF(T304="","",T304)</f>
        <v/>
      </c>
      <c r="O280" s="447"/>
      <c r="P280" s="144" t="s">
        <v>616</v>
      </c>
      <c r="Q280" s="67"/>
      <c r="R280" s="67"/>
      <c r="S280" s="661" t="s">
        <v>272</v>
      </c>
      <c r="T280" s="67"/>
      <c r="U280" s="67" t="s">
        <v>298</v>
      </c>
      <c r="V280" s="661"/>
      <c r="W280" s="67"/>
      <c r="X280" s="67"/>
      <c r="Y280" s="700"/>
      <c r="Z280"/>
      <c r="AA280"/>
      <c r="AB280"/>
      <c r="AC280"/>
      <c r="AD280"/>
      <c r="AE280"/>
      <c r="AF280"/>
      <c r="AG280"/>
      <c r="AH280"/>
      <c r="AI280"/>
      <c r="AJ280"/>
      <c r="AK280"/>
    </row>
    <row r="281" spans="1:37" ht="14.1" customHeight="1" thickBot="1">
      <c r="A281" s="16">
        <v>65</v>
      </c>
      <c r="B281" s="66"/>
      <c r="C281" s="379">
        <v>60</v>
      </c>
      <c r="D281" s="429">
        <v>30</v>
      </c>
      <c r="E281" s="429" t="str">
        <f t="shared" si="61"/>
        <v/>
      </c>
      <c r="F281" s="429" t="str">
        <f t="shared" si="61"/>
        <v/>
      </c>
      <c r="G281" s="618">
        <f t="shared" si="62"/>
        <v>4.7</v>
      </c>
      <c r="H281" s="380" t="str">
        <f>IF(V276="","",V276)</f>
        <v/>
      </c>
      <c r="I281" s="67"/>
      <c r="J281" s="160" t="s">
        <v>611</v>
      </c>
      <c r="K281" s="379">
        <f>IF(Q305="","",Q305)</f>
        <v>28</v>
      </c>
      <c r="L281" s="429" t="str">
        <f>IF(R305="","",R305)</f>
        <v/>
      </c>
      <c r="M281" s="461" t="str">
        <f>IF(T305="","",T305)</f>
        <v/>
      </c>
      <c r="O281" s="447"/>
      <c r="P281" s="67"/>
      <c r="Q281" s="661" t="s">
        <v>70</v>
      </c>
      <c r="R281" s="661" t="s">
        <v>281</v>
      </c>
      <c r="S281" s="661" t="s">
        <v>273</v>
      </c>
      <c r="T281" s="661" t="s">
        <v>300</v>
      </c>
      <c r="U281" s="661" t="s">
        <v>301</v>
      </c>
      <c r="V281" s="661"/>
      <c r="W281" s="160" t="s">
        <v>302</v>
      </c>
      <c r="X281" s="266" t="e">
        <f>IF($T$259="","",$T$259*HLOOKUP($Q$260,Tables!$D$83:$F$85,2,FALSE)+HLOOKUP(Sheet1!$Q$260,Tables!$D$83:$F$85,3,FALSE))</f>
        <v>#N/A</v>
      </c>
      <c r="Y281" s="700"/>
      <c r="Z281"/>
      <c r="AA281"/>
      <c r="AB281"/>
      <c r="AC281"/>
      <c r="AD281"/>
      <c r="AE281"/>
      <c r="AF281"/>
      <c r="AG281"/>
      <c r="AH281"/>
      <c r="AI281"/>
      <c r="AJ281"/>
      <c r="AK281"/>
    </row>
    <row r="282" spans="1:37" ht="14.1" customHeight="1" thickBot="1">
      <c r="A282" s="16">
        <v>66</v>
      </c>
      <c r="B282" s="66"/>
      <c r="C282" s="3" t="s">
        <v>201</v>
      </c>
      <c r="D282" s="190" t="s">
        <v>551</v>
      </c>
      <c r="E282" s="67"/>
      <c r="F282" s="67"/>
      <c r="G282" s="67"/>
      <c r="H282" s="67"/>
      <c r="I282" s="67"/>
      <c r="J282" s="67"/>
      <c r="K282" s="67"/>
      <c r="L282" s="160" t="s">
        <v>614</v>
      </c>
      <c r="M282" s="709" t="str">
        <f>IF(T306="","",T306)</f>
        <v/>
      </c>
      <c r="O282" s="447"/>
      <c r="P282" s="67"/>
      <c r="Q282" s="143"/>
      <c r="R282" s="143"/>
      <c r="S282" s="143"/>
      <c r="T282" s="294" t="str">
        <f>IF(Q282="","",Q282/$T$260)</f>
        <v/>
      </c>
      <c r="U282" s="296" t="str">
        <f>IF(Q282="","",($T$259*HLOOKUP($Q$260,Tables!$D$70:$F$72,2)+HLOOKUP(Sheet1!$Q$260,Tables!$D$70:$F$72,3))*Q282)</f>
        <v/>
      </c>
      <c r="V282" s="67"/>
      <c r="W282" s="160" t="s">
        <v>304</v>
      </c>
      <c r="X282" s="266" t="str">
        <f>IF(U286="","",U286)</f>
        <v/>
      </c>
      <c r="Y282" s="700"/>
      <c r="Z282"/>
      <c r="AA282"/>
      <c r="AB282"/>
      <c r="AC282"/>
      <c r="AD282"/>
      <c r="AE282"/>
      <c r="AF282"/>
      <c r="AG282"/>
      <c r="AH282"/>
      <c r="AI282"/>
      <c r="AJ282"/>
      <c r="AK282"/>
    </row>
    <row r="283" spans="1:37" ht="14.1" customHeight="1" thickBot="1">
      <c r="A283" s="16">
        <v>67</v>
      </c>
      <c r="B283" s="66"/>
      <c r="I283" s="67"/>
      <c r="J283" s="67"/>
      <c r="K283" s="67"/>
      <c r="L283" s="160" t="s">
        <v>215</v>
      </c>
      <c r="M283" s="464" t="str">
        <f>IF(V304="","",V304)</f>
        <v/>
      </c>
      <c r="O283" s="447"/>
      <c r="P283" s="67"/>
      <c r="Q283" s="143"/>
      <c r="R283" s="143"/>
      <c r="S283" s="143"/>
      <c r="T283" s="294" t="str">
        <f>IF(Q283="","",Q283/$T$260)</f>
        <v/>
      </c>
      <c r="U283" s="296" t="str">
        <f>IF(Q283="","",($T$259*HLOOKUP($Q$260,Tables!$D$70:$F$72,2)+HLOOKUP(Sheet1!$Q$260,Tables!$D$70:$F$72,3))*Q283)</f>
        <v/>
      </c>
      <c r="V283" s="67"/>
      <c r="W283" s="160" t="s">
        <v>306</v>
      </c>
      <c r="X283" s="249" t="e">
        <f>IF($Q$260="","",HLOOKUP($Q$260,Tables!$A$88:$F$89,2))</f>
        <v>#N/A</v>
      </c>
      <c r="Y283" s="700"/>
      <c r="Z283"/>
      <c r="AA283"/>
      <c r="AB283"/>
      <c r="AC283"/>
      <c r="AD283"/>
      <c r="AE283"/>
      <c r="AF283"/>
      <c r="AG283"/>
      <c r="AH283"/>
      <c r="AI283"/>
      <c r="AJ283"/>
      <c r="AK283"/>
    </row>
    <row r="284" spans="1:37" ht="14.1" customHeight="1">
      <c r="A284" s="16">
        <v>68</v>
      </c>
      <c r="B284" s="66"/>
      <c r="I284" s="67"/>
      <c r="M284" s="68"/>
      <c r="O284" s="447"/>
      <c r="P284" s="67"/>
      <c r="Q284" s="143"/>
      <c r="R284" s="143"/>
      <c r="S284" s="143"/>
      <c r="T284" s="294" t="str">
        <f>IF(Q284="","",Q284/$T$260)</f>
        <v/>
      </c>
      <c r="U284" s="296" t="str">
        <f>IF(Q284="","",($T$259*HLOOKUP($Q$260,Tables!$D$70:$F$72,2)+HLOOKUP(Sheet1!$Q$260,Tables!$D$70:$F$72,3))*Q284)</f>
        <v/>
      </c>
      <c r="V284" s="67"/>
      <c r="W284" s="160" t="s">
        <v>308</v>
      </c>
      <c r="X284" s="250" t="str">
        <f>IF(X282="","",X282*Tables!$D$89)</f>
        <v/>
      </c>
      <c r="Y284" s="700"/>
      <c r="Z284"/>
      <c r="AA284"/>
      <c r="AB284"/>
      <c r="AC284"/>
      <c r="AD284"/>
      <c r="AE284"/>
      <c r="AF284"/>
      <c r="AG284"/>
      <c r="AH284"/>
      <c r="AI284"/>
      <c r="AJ284"/>
      <c r="AK284"/>
    </row>
    <row r="285" spans="1:37" ht="14.1" customHeight="1">
      <c r="A285" s="16">
        <v>69</v>
      </c>
      <c r="B285" s="66"/>
      <c r="C285" s="67"/>
      <c r="D285" s="67"/>
      <c r="E285" s="67"/>
      <c r="F285" s="67"/>
      <c r="G285" s="67"/>
      <c r="H285" s="67"/>
      <c r="I285" s="67"/>
      <c r="J285" s="67"/>
      <c r="K285" s="67"/>
      <c r="L285" s="67"/>
      <c r="M285" s="68"/>
      <c r="O285" s="447"/>
      <c r="P285" s="67"/>
      <c r="Q285" s="143"/>
      <c r="R285" s="143"/>
      <c r="S285" s="143"/>
      <c r="T285" s="294" t="str">
        <f>IF(Q285="","",Q285/$T$260)</f>
        <v/>
      </c>
      <c r="U285" s="296" t="str">
        <f>IF(Q285="","",($T$259*HLOOKUP($Q$260,Tables!$D$70:$F$72,2)+HLOOKUP(Sheet1!$Q$260,Tables!$D$70:$F$72,3))*Q285)</f>
        <v/>
      </c>
      <c r="V285" s="67"/>
      <c r="W285" s="160" t="s">
        <v>309</v>
      </c>
      <c r="X285" s="251" t="str">
        <f>IF(AB86="","",AB86)</f>
        <v/>
      </c>
      <c r="Y285" s="700"/>
      <c r="Z285"/>
      <c r="AA285"/>
      <c r="AB285"/>
      <c r="AC285"/>
      <c r="AD285"/>
      <c r="AE285"/>
      <c r="AF285"/>
      <c r="AG285"/>
      <c r="AH285"/>
      <c r="AI285"/>
      <c r="AJ285"/>
      <c r="AK285"/>
    </row>
    <row r="286" spans="1:37" ht="14.1" customHeight="1" thickBot="1">
      <c r="A286" s="16">
        <v>70</v>
      </c>
      <c r="B286" s="79"/>
      <c r="C286" s="80"/>
      <c r="D286" s="80"/>
      <c r="E286" s="80"/>
      <c r="F286" s="80"/>
      <c r="G286" s="80"/>
      <c r="H286" s="80"/>
      <c r="I286" s="80"/>
      <c r="J286" s="80"/>
      <c r="K286" s="80"/>
      <c r="L286" s="80"/>
      <c r="M286" s="81"/>
      <c r="O286" s="447"/>
      <c r="P286" s="160" t="s">
        <v>269</v>
      </c>
      <c r="Q286" s="69" t="str">
        <f t="shared" ref="Q286:U286" si="63">IF(OR(Q282="",Q283="",Q284="",Q285=""),"",AVERAGE(Q282:Q285))</f>
        <v/>
      </c>
      <c r="R286" s="252" t="str">
        <f t="shared" si="63"/>
        <v/>
      </c>
      <c r="S286" s="70" t="str">
        <f t="shared" si="63"/>
        <v/>
      </c>
      <c r="T286" s="253" t="str">
        <f t="shared" si="63"/>
        <v/>
      </c>
      <c r="U286" s="295" t="str">
        <f t="shared" si="63"/>
        <v/>
      </c>
      <c r="V286" s="693"/>
      <c r="W286" s="160" t="s">
        <v>311</v>
      </c>
      <c r="X286" s="254" t="str">
        <f>IF(OR(X284="",X285=""),"",(X284-X285)/X285)</f>
        <v/>
      </c>
      <c r="Y286" s="700"/>
      <c r="Z286"/>
      <c r="AA286"/>
      <c r="AB286"/>
      <c r="AC286"/>
      <c r="AD286"/>
      <c r="AE286"/>
      <c r="AF286"/>
      <c r="AG286"/>
      <c r="AH286"/>
      <c r="AI286"/>
      <c r="AJ286"/>
      <c r="AK286"/>
    </row>
    <row r="287" spans="1:37" ht="14.1" customHeight="1" thickTop="1">
      <c r="A287" s="16">
        <v>71</v>
      </c>
      <c r="C287" s="108" t="s">
        <v>10</v>
      </c>
      <c r="D287" s="367" t="str">
        <f>IF($P$7="","",$P$7)</f>
        <v/>
      </c>
      <c r="E287" s="26"/>
      <c r="F287" s="26"/>
      <c r="G287" s="26"/>
      <c r="H287" s="26"/>
      <c r="I287" s="26"/>
      <c r="J287" s="26"/>
      <c r="K287" s="26"/>
      <c r="L287" s="108" t="s">
        <v>11</v>
      </c>
      <c r="M287" s="368" t="str">
        <f>IF($X$7="","",$X$7)</f>
        <v>Eugene Mah</v>
      </c>
      <c r="O287" s="447"/>
      <c r="P287" s="160" t="s">
        <v>271</v>
      </c>
      <c r="Q287" s="247" t="str">
        <f t="shared" ref="Q287:U287" si="64">IF(Q286="","",_xlfn.STDEV.S(Q282:Q285)/Q286)</f>
        <v/>
      </c>
      <c r="R287" s="247" t="str">
        <f t="shared" si="64"/>
        <v/>
      </c>
      <c r="S287" s="247" t="str">
        <f t="shared" si="64"/>
        <v/>
      </c>
      <c r="T287" s="247" t="str">
        <f t="shared" si="64"/>
        <v/>
      </c>
      <c r="U287" s="247" t="str">
        <f t="shared" si="64"/>
        <v/>
      </c>
      <c r="V287" s="694"/>
      <c r="W287" s="325"/>
      <c r="X287" s="325"/>
      <c r="Y287" s="700"/>
      <c r="Z287"/>
      <c r="AA287"/>
      <c r="AB287"/>
      <c r="AC287"/>
      <c r="AD287"/>
      <c r="AE287"/>
      <c r="AF287"/>
      <c r="AG287"/>
      <c r="AH287"/>
      <c r="AI287"/>
      <c r="AJ287"/>
      <c r="AK287"/>
    </row>
    <row r="288" spans="1:37" ht="14.1" customHeight="1">
      <c r="A288" s="16">
        <v>72</v>
      </c>
      <c r="C288" s="108" t="s">
        <v>119</v>
      </c>
      <c r="D288" s="368" t="str">
        <f>IF($R$14="","",$R$14)</f>
        <v/>
      </c>
      <c r="E288" s="26"/>
      <c r="F288" s="26"/>
      <c r="G288" s="26"/>
      <c r="H288" s="26"/>
      <c r="I288" s="26"/>
      <c r="J288" s="26"/>
      <c r="K288" s="26"/>
      <c r="L288" s="108" t="s">
        <v>36</v>
      </c>
      <c r="M288" s="368" t="str">
        <f>IF($R$13="","",$R$13)</f>
        <v/>
      </c>
      <c r="O288" s="447"/>
      <c r="P288" s="3" t="s">
        <v>201</v>
      </c>
      <c r="Q288" s="190" t="s">
        <v>312</v>
      </c>
      <c r="R288" s="67"/>
      <c r="S288" s="67"/>
      <c r="T288" s="67"/>
      <c r="U288" s="67"/>
      <c r="V288" s="67"/>
      <c r="W288" s="160" t="s">
        <v>313</v>
      </c>
      <c r="X288" s="244" t="str">
        <f>IF(X284="","",(X284-S286)/S286)</f>
        <v/>
      </c>
      <c r="Y288" s="700"/>
      <c r="Z288"/>
      <c r="AA288"/>
      <c r="AB288"/>
      <c r="AC288"/>
      <c r="AD288"/>
      <c r="AE288"/>
      <c r="AF288"/>
      <c r="AG288"/>
      <c r="AH288"/>
      <c r="AI288"/>
      <c r="AJ288"/>
      <c r="AK288"/>
    </row>
    <row r="289" spans="1:37" ht="14.1" customHeight="1">
      <c r="A289" s="16">
        <v>1</v>
      </c>
      <c r="M289" s="111" t="str">
        <f>$H$2</f>
        <v>Medical University of South Carolina</v>
      </c>
      <c r="O289" s="447"/>
      <c r="P289" s="190"/>
      <c r="Q289" s="190" t="s">
        <v>493</v>
      </c>
      <c r="R289" s="67"/>
      <c r="S289" s="67"/>
      <c r="T289" s="67"/>
      <c r="U289" s="67"/>
      <c r="V289" s="67"/>
      <c r="W289" s="160" t="s">
        <v>315</v>
      </c>
      <c r="X289" s="245" t="str">
        <f>IF(OR(X284="",Q286=""),"",3/(X284/Q286))</f>
        <v/>
      </c>
      <c r="Y289" s="700"/>
      <c r="Z289"/>
      <c r="AA289"/>
      <c r="AB289"/>
      <c r="AC289"/>
      <c r="AD289"/>
      <c r="AE289"/>
      <c r="AF289"/>
      <c r="AG289"/>
      <c r="AH289"/>
      <c r="AI289"/>
      <c r="AJ289"/>
      <c r="AK289"/>
    </row>
    <row r="290" spans="1:37" ht="14.1" customHeight="1" thickBot="1">
      <c r="A290" s="16">
        <v>2</v>
      </c>
      <c r="H290" s="50" t="s">
        <v>71</v>
      </c>
      <c r="M290" s="112" t="str">
        <f>$H$5</f>
        <v>Mammography System Compliance Inspection</v>
      </c>
      <c r="O290" s="447"/>
      <c r="P290" s="67"/>
      <c r="Q290" s="67"/>
      <c r="R290" s="67"/>
      <c r="S290" s="67"/>
      <c r="T290" s="67"/>
      <c r="U290" s="67"/>
      <c r="V290" s="67"/>
      <c r="W290" s="67"/>
      <c r="X290" s="67"/>
      <c r="Y290" s="700"/>
      <c r="Z290"/>
      <c r="AA290"/>
      <c r="AB290"/>
      <c r="AC290"/>
      <c r="AD290"/>
      <c r="AE290"/>
      <c r="AF290"/>
      <c r="AG290"/>
      <c r="AH290"/>
      <c r="AI290"/>
      <c r="AJ290"/>
      <c r="AK290"/>
    </row>
    <row r="291" spans="1:37" ht="14.1" customHeight="1" thickTop="1">
      <c r="A291" s="16">
        <v>3</v>
      </c>
      <c r="B291" s="57"/>
      <c r="C291" s="263" t="s">
        <v>327</v>
      </c>
      <c r="D291" s="264" t="str">
        <f>IF(P367="","",P367)</f>
        <v>Piranha</v>
      </c>
      <c r="E291" s="263" t="s">
        <v>334</v>
      </c>
      <c r="F291" s="482" t="str">
        <f>IF(P368="","",P368)</f>
        <v/>
      </c>
      <c r="G291" s="58"/>
      <c r="H291" s="263" t="s">
        <v>328</v>
      </c>
      <c r="I291" s="973" t="str">
        <f>IF(S367="","",S367)</f>
        <v/>
      </c>
      <c r="J291" s="973"/>
      <c r="K291" s="58"/>
      <c r="L291" s="58"/>
      <c r="M291" s="60"/>
      <c r="O291" s="447"/>
      <c r="P291" s="144" t="s">
        <v>617</v>
      </c>
      <c r="Q291" s="67"/>
      <c r="R291" s="67"/>
      <c r="S291" s="661" t="s">
        <v>272</v>
      </c>
      <c r="T291" s="67"/>
      <c r="U291" s="67" t="s">
        <v>298</v>
      </c>
      <c r="V291" s="661"/>
      <c r="W291" s="67"/>
      <c r="X291" s="67"/>
      <c r="Y291" s="700"/>
      <c r="Z291"/>
      <c r="AA291"/>
      <c r="AB291"/>
      <c r="AC291"/>
      <c r="AD291"/>
      <c r="AE291"/>
      <c r="AF291"/>
      <c r="AG291"/>
      <c r="AH291"/>
      <c r="AI291"/>
      <c r="AJ291"/>
      <c r="AK291"/>
    </row>
    <row r="292" spans="1:37" ht="14.1" customHeight="1">
      <c r="A292" s="16">
        <v>4</v>
      </c>
      <c r="B292" s="66"/>
      <c r="C292" s="4"/>
      <c r="D292" s="4"/>
      <c r="E292" s="4"/>
      <c r="F292" s="4"/>
      <c r="G292" s="4"/>
      <c r="H292" s="160" t="s">
        <v>330</v>
      </c>
      <c r="I292" s="974" t="str">
        <f>IF(S368="","",S368)</f>
        <v/>
      </c>
      <c r="J292" s="974"/>
      <c r="K292" s="4"/>
      <c r="M292" s="68"/>
      <c r="O292" s="447"/>
      <c r="P292" s="67"/>
      <c r="Q292" s="661" t="s">
        <v>70</v>
      </c>
      <c r="R292" s="661" t="s">
        <v>281</v>
      </c>
      <c r="S292" s="661" t="s">
        <v>273</v>
      </c>
      <c r="T292" s="661" t="s">
        <v>300</v>
      </c>
      <c r="U292" s="661" t="s">
        <v>301</v>
      </c>
      <c r="V292" s="661"/>
      <c r="W292" s="160" t="s">
        <v>302</v>
      </c>
      <c r="X292" s="266" t="e">
        <f>IF($T$259="","",$T$259*HLOOKUP($Q$260,Tables!$D$83:$F$85,2,FALSE)+HLOOKUP(Sheet1!$Q$260,Tables!$D$83:$F$85,3,FALSE))</f>
        <v>#N/A</v>
      </c>
      <c r="Y292" s="700"/>
      <c r="Z292"/>
      <c r="AA292"/>
      <c r="AB292"/>
      <c r="AC292"/>
      <c r="AD292"/>
      <c r="AE292"/>
      <c r="AF292"/>
      <c r="AG292"/>
      <c r="AH292"/>
      <c r="AI292"/>
      <c r="AJ292"/>
      <c r="AK292"/>
    </row>
    <row r="293" spans="1:37" ht="14.1" customHeight="1">
      <c r="A293" s="16">
        <v>5</v>
      </c>
      <c r="B293" s="66"/>
      <c r="C293" s="144" t="s">
        <v>325</v>
      </c>
      <c r="D293" s="67"/>
      <c r="E293" s="67"/>
      <c r="F293" s="67"/>
      <c r="G293" s="67"/>
      <c r="H293" s="67"/>
      <c r="I293" s="67"/>
      <c r="J293" s="67"/>
      <c r="K293" s="67"/>
      <c r="M293" s="68"/>
      <c r="O293" s="447"/>
      <c r="P293" s="67"/>
      <c r="Q293" s="143"/>
      <c r="R293" s="143"/>
      <c r="S293" s="143"/>
      <c r="T293" s="294" t="str">
        <f>IF(Q293="","",Q293/$T$260)</f>
        <v/>
      </c>
      <c r="U293" s="296" t="str">
        <f>IF(Q293="","",($T$259^2*HLOOKUP($Q$260,Tables!$D$70:$F$72,2)+HLOOKUP(Sheet1!$Q$260,Tables!$D$70:$F$72,3))*Q293)</f>
        <v/>
      </c>
      <c r="V293" s="67"/>
      <c r="W293" s="160" t="s">
        <v>304</v>
      </c>
      <c r="X293" s="266" t="str">
        <f>IF(U297="","",U297)</f>
        <v/>
      </c>
      <c r="Y293" s="700"/>
      <c r="Z293"/>
      <c r="AA293"/>
      <c r="AB293"/>
      <c r="AC293"/>
      <c r="AD293"/>
      <c r="AE293"/>
      <c r="AF293"/>
      <c r="AG293"/>
      <c r="AH293"/>
      <c r="AI293"/>
      <c r="AJ293"/>
      <c r="AK293"/>
    </row>
    <row r="294" spans="1:37" ht="14.1" customHeight="1">
      <c r="A294" s="16">
        <v>6</v>
      </c>
      <c r="B294" s="66"/>
      <c r="C294" s="160"/>
      <c r="F294" s="941" t="s">
        <v>331</v>
      </c>
      <c r="G294" s="941"/>
      <c r="H294" s="941"/>
      <c r="I294" s="535"/>
      <c r="J294" s="535"/>
      <c r="K294" s="106"/>
      <c r="M294" s="68"/>
      <c r="O294" s="447"/>
      <c r="P294" s="67"/>
      <c r="Q294" s="143"/>
      <c r="R294" s="143"/>
      <c r="S294" s="143"/>
      <c r="T294" s="294" t="str">
        <f>IF(Q294="","",Q294/$T$260)</f>
        <v/>
      </c>
      <c r="U294" s="296" t="str">
        <f>IF(Q294="","",($T$259^2*HLOOKUP($Q$260,Tables!$D$70:$F$72,2)+HLOOKUP(Sheet1!$Q$260,Tables!$D$70:$F$72,3))*Q294)</f>
        <v/>
      </c>
      <c r="V294" s="67"/>
      <c r="W294" s="160" t="s">
        <v>306</v>
      </c>
      <c r="X294" s="249" t="e">
        <f>IF($Q$260="","",HLOOKUP($Q$260,Tables!$A$88:$F$89,2))</f>
        <v>#N/A</v>
      </c>
      <c r="Y294" s="700"/>
      <c r="Z294"/>
      <c r="AA294"/>
      <c r="AB294"/>
      <c r="AC294"/>
      <c r="AD294"/>
      <c r="AE294"/>
      <c r="AF294"/>
      <c r="AG294"/>
      <c r="AH294"/>
      <c r="AI294"/>
      <c r="AJ294"/>
      <c r="AK294"/>
    </row>
    <row r="295" spans="1:37" ht="14.1" customHeight="1" thickBot="1">
      <c r="A295" s="16">
        <v>7</v>
      </c>
      <c r="B295" s="66"/>
      <c r="C295" s="20" t="s">
        <v>69</v>
      </c>
      <c r="D295" s="535" t="s">
        <v>266</v>
      </c>
      <c r="E295" s="535" t="s">
        <v>70</v>
      </c>
      <c r="F295" s="535" t="s">
        <v>24</v>
      </c>
      <c r="G295" s="535" t="s">
        <v>25</v>
      </c>
      <c r="H295" s="535" t="s">
        <v>26</v>
      </c>
      <c r="I295" s="535" t="s">
        <v>332</v>
      </c>
      <c r="J295" s="535" t="s">
        <v>333</v>
      </c>
      <c r="K295" s="535" t="s">
        <v>491</v>
      </c>
      <c r="M295" s="68"/>
      <c r="O295" s="447"/>
      <c r="P295" s="67"/>
      <c r="Q295" s="143"/>
      <c r="R295" s="143"/>
      <c r="S295" s="143"/>
      <c r="T295" s="294" t="str">
        <f>IF(Q295="","",Q295/$T$260)</f>
        <v/>
      </c>
      <c r="U295" s="296" t="str">
        <f>IF(Q295="","",($T$259^2*HLOOKUP($Q$260,Tables!$D$70:$F$72,2)+HLOOKUP(Sheet1!$Q$260,Tables!$D$70:$F$72,3))*Q295)</f>
        <v/>
      </c>
      <c r="V295" s="67"/>
      <c r="W295" s="160" t="s">
        <v>308</v>
      </c>
      <c r="X295" s="250" t="str">
        <f>IF(X293="","",X293*Tables!$D$89)</f>
        <v/>
      </c>
      <c r="Y295" s="700"/>
      <c r="Z295"/>
      <c r="AA295"/>
      <c r="AB295"/>
      <c r="AC295"/>
      <c r="AD295"/>
      <c r="AE295"/>
      <c r="AF295"/>
      <c r="AG295"/>
      <c r="AH295"/>
      <c r="AI295"/>
      <c r="AJ295"/>
      <c r="AK295"/>
    </row>
    <row r="296" spans="1:37" ht="14.1" customHeight="1">
      <c r="A296" s="16">
        <v>8</v>
      </c>
      <c r="B296" s="66"/>
      <c r="C296" s="935" t="str">
        <f>P371</f>
        <v>/</v>
      </c>
      <c r="D296" s="410">
        <f t="shared" ref="D296:K301" si="65">IF(Q371="","",Q371)</f>
        <v>24</v>
      </c>
      <c r="E296" s="410">
        <f t="shared" si="65"/>
        <v>50</v>
      </c>
      <c r="F296" s="426" t="str">
        <f t="shared" si="65"/>
        <v/>
      </c>
      <c r="G296" s="426" t="str">
        <f t="shared" si="65"/>
        <v/>
      </c>
      <c r="H296" s="426" t="str">
        <f t="shared" si="65"/>
        <v/>
      </c>
      <c r="I296" s="427" t="str">
        <f t="shared" si="65"/>
        <v/>
      </c>
      <c r="J296" s="426" t="str">
        <f t="shared" si="65"/>
        <v/>
      </c>
      <c r="K296" s="428" t="str">
        <f t="shared" si="65"/>
        <v/>
      </c>
      <c r="M296" s="68"/>
      <c r="O296" s="447"/>
      <c r="P296" s="67"/>
      <c r="Q296" s="143"/>
      <c r="R296" s="143"/>
      <c r="S296" s="143"/>
      <c r="T296" s="294" t="str">
        <f>IF(Q296="","",Q296/$T$260)</f>
        <v/>
      </c>
      <c r="U296" s="296" t="str">
        <f>IF(Q296="","",($T$259^2*HLOOKUP($Q$260,Tables!$D$70:$F$72,2)+HLOOKUP(Sheet1!$Q$260,Tables!$D$70:$F$72,3))*Q296)</f>
        <v/>
      </c>
      <c r="V296" s="67"/>
      <c r="W296" s="160" t="s">
        <v>309</v>
      </c>
      <c r="X296" s="251" t="str">
        <f>IF(AB87="","",AB87)</f>
        <v/>
      </c>
      <c r="Y296" s="700"/>
      <c r="Z296"/>
      <c r="AA296"/>
      <c r="AB296"/>
      <c r="AC296"/>
      <c r="AD296"/>
      <c r="AE296"/>
      <c r="AF296"/>
      <c r="AG296"/>
      <c r="AH296"/>
      <c r="AI296"/>
      <c r="AJ296"/>
      <c r="AK296"/>
    </row>
    <row r="297" spans="1:37" ht="14.1" customHeight="1">
      <c r="A297" s="16">
        <v>9</v>
      </c>
      <c r="B297" s="66"/>
      <c r="C297" s="936"/>
      <c r="D297" s="289">
        <f t="shared" si="65"/>
        <v>25</v>
      </c>
      <c r="E297" s="289">
        <f t="shared" si="65"/>
        <v>50</v>
      </c>
      <c r="F297" s="296" t="str">
        <f t="shared" si="65"/>
        <v/>
      </c>
      <c r="G297" s="296" t="str">
        <f t="shared" si="65"/>
        <v/>
      </c>
      <c r="H297" s="296" t="str">
        <f t="shared" si="65"/>
        <v/>
      </c>
      <c r="I297" s="290" t="str">
        <f t="shared" si="65"/>
        <v/>
      </c>
      <c r="J297" s="296" t="str">
        <f t="shared" si="65"/>
        <v/>
      </c>
      <c r="K297" s="412" t="str">
        <f t="shared" si="65"/>
        <v/>
      </c>
      <c r="M297" s="68"/>
      <c r="O297" s="447"/>
      <c r="P297" s="160" t="s">
        <v>269</v>
      </c>
      <c r="Q297" s="69" t="str">
        <f t="shared" ref="Q297:U297" si="66">IF(OR(Q293="",Q294="",Q295="",Q296=""),"",AVERAGE(Q293:Q296))</f>
        <v/>
      </c>
      <c r="R297" s="252" t="str">
        <f t="shared" si="66"/>
        <v/>
      </c>
      <c r="S297" s="70" t="str">
        <f>IF(OR(S293="",S294="",S295="",S296=""),"",AVERAGE(S293:S296))</f>
        <v/>
      </c>
      <c r="T297" s="253" t="str">
        <f t="shared" si="66"/>
        <v/>
      </c>
      <c r="U297" s="295" t="str">
        <f t="shared" si="66"/>
        <v/>
      </c>
      <c r="V297" s="693"/>
      <c r="W297" s="160" t="s">
        <v>311</v>
      </c>
      <c r="X297" s="254" t="str">
        <f>IF(OR(X295="",X296=""),"",(X295-X296)/X296)</f>
        <v/>
      </c>
      <c r="Y297" s="700"/>
      <c r="Z297"/>
      <c r="AA297"/>
      <c r="AB297"/>
      <c r="AC297"/>
      <c r="AD297"/>
      <c r="AE297"/>
      <c r="AF297"/>
      <c r="AG297"/>
      <c r="AH297"/>
      <c r="AI297"/>
      <c r="AJ297"/>
      <c r="AK297"/>
    </row>
    <row r="298" spans="1:37" ht="14.1" customHeight="1">
      <c r="A298" s="16">
        <v>10</v>
      </c>
      <c r="B298" s="66"/>
      <c r="C298" s="936"/>
      <c r="D298" s="289">
        <f t="shared" si="65"/>
        <v>26</v>
      </c>
      <c r="E298" s="289">
        <f t="shared" si="65"/>
        <v>50</v>
      </c>
      <c r="F298" s="296" t="str">
        <f t="shared" si="65"/>
        <v/>
      </c>
      <c r="G298" s="296" t="str">
        <f t="shared" si="65"/>
        <v/>
      </c>
      <c r="H298" s="296" t="str">
        <f t="shared" si="65"/>
        <v/>
      </c>
      <c r="I298" s="290" t="str">
        <f t="shared" si="65"/>
        <v/>
      </c>
      <c r="J298" s="296" t="str">
        <f t="shared" si="65"/>
        <v/>
      </c>
      <c r="K298" s="412" t="str">
        <f t="shared" si="65"/>
        <v/>
      </c>
      <c r="M298" s="68"/>
      <c r="O298" s="447"/>
      <c r="P298" s="160" t="s">
        <v>271</v>
      </c>
      <c r="Q298" s="247" t="str">
        <f t="shared" ref="Q298:U298" si="67">IF(Q297="","",_xlfn.STDEV.S(Q293:Q296)/Q297)</f>
        <v/>
      </c>
      <c r="R298" s="247" t="str">
        <f t="shared" si="67"/>
        <v/>
      </c>
      <c r="S298" s="247" t="str">
        <f t="shared" si="67"/>
        <v/>
      </c>
      <c r="T298" s="247" t="str">
        <f t="shared" si="67"/>
        <v/>
      </c>
      <c r="U298" s="247" t="str">
        <f t="shared" si="67"/>
        <v/>
      </c>
      <c r="V298" s="694"/>
      <c r="W298" s="325"/>
      <c r="X298" s="325"/>
      <c r="Y298" s="700"/>
      <c r="Z298"/>
      <c r="AA298"/>
      <c r="AB298"/>
      <c r="AC298"/>
      <c r="AD298"/>
      <c r="AE298"/>
      <c r="AF298"/>
      <c r="AG298"/>
      <c r="AH298"/>
      <c r="AI298"/>
      <c r="AJ298"/>
      <c r="AK298"/>
    </row>
    <row r="299" spans="1:37" ht="14.1" customHeight="1">
      <c r="A299" s="16">
        <v>11</v>
      </c>
      <c r="B299" s="66"/>
      <c r="C299" s="936"/>
      <c r="D299" s="289">
        <f t="shared" si="65"/>
        <v>28</v>
      </c>
      <c r="E299" s="289">
        <f t="shared" si="65"/>
        <v>50</v>
      </c>
      <c r="F299" s="296" t="str">
        <f t="shared" si="65"/>
        <v/>
      </c>
      <c r="G299" s="296" t="str">
        <f t="shared" si="65"/>
        <v/>
      </c>
      <c r="H299" s="296" t="str">
        <f t="shared" si="65"/>
        <v/>
      </c>
      <c r="I299" s="290" t="str">
        <f t="shared" si="65"/>
        <v/>
      </c>
      <c r="J299" s="296" t="str">
        <f t="shared" si="65"/>
        <v/>
      </c>
      <c r="K299" s="412" t="str">
        <f t="shared" si="65"/>
        <v/>
      </c>
      <c r="M299" s="68"/>
      <c r="O299" s="447"/>
      <c r="P299" s="3" t="s">
        <v>201</v>
      </c>
      <c r="Q299" s="190" t="s">
        <v>312</v>
      </c>
      <c r="R299" s="67"/>
      <c r="S299" s="67"/>
      <c r="T299" s="67"/>
      <c r="U299" s="67"/>
      <c r="V299" s="67"/>
      <c r="W299" s="160" t="s">
        <v>313</v>
      </c>
      <c r="X299" s="244" t="str">
        <f>IF(X295="","",(X295-S297)/S297)</f>
        <v/>
      </c>
      <c r="Y299" s="700"/>
      <c r="Z299"/>
      <c r="AA299"/>
      <c r="AB299"/>
      <c r="AC299"/>
      <c r="AD299"/>
      <c r="AE299"/>
      <c r="AF299"/>
      <c r="AG299"/>
      <c r="AH299"/>
      <c r="AI299"/>
      <c r="AJ299"/>
      <c r="AK299"/>
    </row>
    <row r="300" spans="1:37" ht="14.1" customHeight="1">
      <c r="A300" s="16">
        <v>12</v>
      </c>
      <c r="B300" s="66"/>
      <c r="C300" s="936"/>
      <c r="D300" s="289">
        <f t="shared" si="65"/>
        <v>30</v>
      </c>
      <c r="E300" s="289">
        <f t="shared" si="65"/>
        <v>50</v>
      </c>
      <c r="F300" s="296" t="str">
        <f t="shared" si="65"/>
        <v/>
      </c>
      <c r="G300" s="296" t="str">
        <f t="shared" si="65"/>
        <v/>
      </c>
      <c r="H300" s="296" t="str">
        <f t="shared" si="65"/>
        <v/>
      </c>
      <c r="I300" s="290" t="str">
        <f t="shared" si="65"/>
        <v/>
      </c>
      <c r="J300" s="296" t="str">
        <f t="shared" si="65"/>
        <v/>
      </c>
      <c r="K300" s="412" t="str">
        <f t="shared" si="65"/>
        <v/>
      </c>
      <c r="M300" s="68"/>
      <c r="O300" s="447"/>
      <c r="P300" s="190"/>
      <c r="Q300" s="190" t="s">
        <v>493</v>
      </c>
      <c r="R300" s="67"/>
      <c r="S300" s="67"/>
      <c r="T300" s="67"/>
      <c r="U300" s="67"/>
      <c r="V300" s="67"/>
      <c r="W300" s="160" t="s">
        <v>315</v>
      </c>
      <c r="X300" s="245" t="str">
        <f>IF(OR(X295="",Q297=""),"",3/(X295/Q297))</f>
        <v/>
      </c>
      <c r="Y300" s="700"/>
      <c r="Z300"/>
      <c r="AA300"/>
      <c r="AB300"/>
      <c r="AC300"/>
      <c r="AD300"/>
      <c r="AE300"/>
      <c r="AF300"/>
      <c r="AG300"/>
      <c r="AH300"/>
      <c r="AI300"/>
      <c r="AJ300"/>
      <c r="AK300"/>
    </row>
    <row r="301" spans="1:37" ht="14.1" customHeight="1" thickBot="1">
      <c r="A301" s="16">
        <v>13</v>
      </c>
      <c r="B301" s="66"/>
      <c r="C301" s="936"/>
      <c r="D301" s="289">
        <f t="shared" si="65"/>
        <v>32</v>
      </c>
      <c r="E301" s="289">
        <f t="shared" si="65"/>
        <v>50</v>
      </c>
      <c r="F301" s="296" t="str">
        <f t="shared" si="65"/>
        <v/>
      </c>
      <c r="G301" s="296" t="str">
        <f t="shared" si="65"/>
        <v/>
      </c>
      <c r="H301" s="296" t="str">
        <f t="shared" si="65"/>
        <v/>
      </c>
      <c r="I301" s="290" t="str">
        <f t="shared" si="65"/>
        <v/>
      </c>
      <c r="J301" s="296" t="str">
        <f t="shared" si="65"/>
        <v/>
      </c>
      <c r="K301" s="412" t="str">
        <f t="shared" si="65"/>
        <v/>
      </c>
      <c r="M301" s="68"/>
      <c r="O301" s="447"/>
      <c r="P301" s="67"/>
      <c r="Q301" s="67"/>
      <c r="R301" s="67"/>
      <c r="S301" s="67"/>
      <c r="T301" s="67"/>
      <c r="U301" s="67"/>
      <c r="V301" s="67"/>
      <c r="W301" s="67"/>
      <c r="X301" s="67"/>
      <c r="Y301" s="700"/>
      <c r="Z301"/>
      <c r="AA301"/>
      <c r="AB301"/>
      <c r="AC301"/>
      <c r="AD301"/>
      <c r="AE301"/>
      <c r="AF301"/>
      <c r="AG301"/>
      <c r="AH301"/>
      <c r="AI301"/>
      <c r="AJ301"/>
      <c r="AK301"/>
    </row>
    <row r="302" spans="1:37" ht="14.1" customHeight="1" thickBot="1">
      <c r="A302" s="16">
        <v>14</v>
      </c>
      <c r="B302" s="66"/>
      <c r="C302" s="937"/>
      <c r="D302" s="419">
        <f t="shared" ref="D302" si="68">IF(Q377="","",Q377)</f>
        <v>34</v>
      </c>
      <c r="E302" s="419">
        <f t="shared" ref="E302" si="69">IF(R377="","",R377)</f>
        <v>50</v>
      </c>
      <c r="F302" s="867" t="str">
        <f t="shared" ref="F302" si="70">IF(S377="","",S377)</f>
        <v/>
      </c>
      <c r="G302" s="867" t="str">
        <f t="shared" ref="G302" si="71">IF(T377="","",T377)</f>
        <v/>
      </c>
      <c r="H302" s="867" t="str">
        <f t="shared" ref="H302" si="72">IF(U377="","",U377)</f>
        <v/>
      </c>
      <c r="I302" s="868" t="str">
        <f t="shared" ref="I302" si="73">IF(V377="","",V377)</f>
        <v/>
      </c>
      <c r="J302" s="867" t="str">
        <f t="shared" ref="J302" si="74">IF(W377="","",W377)</f>
        <v/>
      </c>
      <c r="K302" s="869" t="str">
        <f t="shared" ref="K302" si="75">IF(X377="","",X377)</f>
        <v/>
      </c>
      <c r="L302" s="369" t="str">
        <f>IF(K296="","",IF(MAX(K296:K301)&lt;0.05,"Pass","Fail"))</f>
        <v/>
      </c>
      <c r="M302" s="68"/>
      <c r="O302" s="447"/>
      <c r="P302" s="67"/>
      <c r="Q302" s="67"/>
      <c r="R302" s="67"/>
      <c r="S302" s="661" t="s">
        <v>272</v>
      </c>
      <c r="T302" s="661" t="s">
        <v>713</v>
      </c>
      <c r="U302" s="67"/>
      <c r="V302" s="67"/>
      <c r="W302" s="67"/>
      <c r="X302" s="67"/>
      <c r="Y302" s="700"/>
      <c r="Z302"/>
      <c r="AA302"/>
      <c r="AB302"/>
      <c r="AC302"/>
      <c r="AD302"/>
      <c r="AE302"/>
      <c r="AF302"/>
      <c r="AG302"/>
      <c r="AH302"/>
      <c r="AI302"/>
      <c r="AJ302"/>
      <c r="AK302"/>
    </row>
    <row r="303" spans="1:37" ht="14.1" customHeight="1" thickBot="1">
      <c r="A303" s="16">
        <v>15</v>
      </c>
      <c r="B303" s="66"/>
      <c r="C303" s="938" t="str">
        <f>P378</f>
        <v>/</v>
      </c>
      <c r="D303" s="410">
        <f t="shared" ref="D303:K307" si="76">IF(Q378="","",Q378)</f>
        <v>28</v>
      </c>
      <c r="E303" s="410">
        <f t="shared" si="76"/>
        <v>50</v>
      </c>
      <c r="F303" s="426" t="str">
        <f t="shared" si="76"/>
        <v/>
      </c>
      <c r="G303" s="426" t="str">
        <f t="shared" si="76"/>
        <v/>
      </c>
      <c r="H303" s="426" t="str">
        <f t="shared" si="76"/>
        <v/>
      </c>
      <c r="I303" s="427" t="str">
        <f t="shared" si="76"/>
        <v/>
      </c>
      <c r="J303" s="426" t="str">
        <f t="shared" si="76"/>
        <v/>
      </c>
      <c r="K303" s="428" t="str">
        <f t="shared" si="76"/>
        <v/>
      </c>
      <c r="M303" s="68"/>
      <c r="O303" s="447"/>
      <c r="P303" s="67"/>
      <c r="Q303" s="661" t="s">
        <v>266</v>
      </c>
      <c r="R303" s="661" t="s">
        <v>70</v>
      </c>
      <c r="S303" s="67" t="s">
        <v>613</v>
      </c>
      <c r="T303" s="67" t="s">
        <v>613</v>
      </c>
      <c r="U303" s="67"/>
      <c r="V303" s="67"/>
      <c r="W303" s="67"/>
      <c r="X303" s="67"/>
      <c r="Y303" s="700"/>
      <c r="Z303"/>
      <c r="AA303"/>
      <c r="AB303"/>
      <c r="AC303"/>
      <c r="AD303"/>
      <c r="AE303"/>
      <c r="AF303"/>
      <c r="AG303"/>
      <c r="AH303"/>
      <c r="AI303"/>
      <c r="AJ303"/>
      <c r="AK303"/>
    </row>
    <row r="304" spans="1:37" ht="14.1" customHeight="1" thickBot="1">
      <c r="A304" s="16">
        <v>16</v>
      </c>
      <c r="B304" s="66"/>
      <c r="C304" s="939"/>
      <c r="D304" s="289">
        <f t="shared" si="76"/>
        <v>30</v>
      </c>
      <c r="E304" s="289">
        <f t="shared" si="76"/>
        <v>50</v>
      </c>
      <c r="F304" s="296" t="str">
        <f t="shared" si="76"/>
        <v/>
      </c>
      <c r="G304" s="296" t="str">
        <f t="shared" si="76"/>
        <v/>
      </c>
      <c r="H304" s="296" t="str">
        <f t="shared" si="76"/>
        <v/>
      </c>
      <c r="I304" s="290" t="str">
        <f t="shared" si="76"/>
        <v/>
      </c>
      <c r="J304" s="296" t="str">
        <f t="shared" si="76"/>
        <v/>
      </c>
      <c r="K304" s="412" t="str">
        <f t="shared" si="76"/>
        <v/>
      </c>
      <c r="M304" s="68"/>
      <c r="O304" s="447"/>
      <c r="P304" s="160" t="s">
        <v>610</v>
      </c>
      <c r="Q304" s="695">
        <f>T259</f>
        <v>28</v>
      </c>
      <c r="R304" s="696" t="str">
        <f>Q286</f>
        <v/>
      </c>
      <c r="S304" s="702" t="str">
        <f>S286</f>
        <v/>
      </c>
      <c r="T304" s="698" t="str">
        <f>X284</f>
        <v/>
      </c>
      <c r="U304" s="160" t="s">
        <v>215</v>
      </c>
      <c r="V304" s="369" t="str">
        <f>IF(T306="","",IF(T306&lt;=3,"Pass","Fail"))</f>
        <v/>
      </c>
      <c r="W304" s="67"/>
      <c r="X304" s="67"/>
      <c r="Y304" s="700"/>
      <c r="Z304"/>
      <c r="AA304"/>
      <c r="AB304"/>
      <c r="AC304"/>
      <c r="AD304"/>
      <c r="AE304"/>
      <c r="AF304"/>
      <c r="AG304"/>
      <c r="AH304"/>
      <c r="AI304"/>
      <c r="AJ304"/>
      <c r="AK304"/>
    </row>
    <row r="305" spans="1:37" ht="14.1" customHeight="1" thickBot="1">
      <c r="A305" s="16">
        <v>17</v>
      </c>
      <c r="B305" s="66"/>
      <c r="C305" s="939"/>
      <c r="D305" s="289">
        <f t="shared" si="76"/>
        <v>32</v>
      </c>
      <c r="E305" s="289">
        <f t="shared" si="76"/>
        <v>50</v>
      </c>
      <c r="F305" s="296" t="str">
        <f t="shared" si="76"/>
        <v/>
      </c>
      <c r="G305" s="296" t="str">
        <f t="shared" si="76"/>
        <v/>
      </c>
      <c r="H305" s="296" t="str">
        <f t="shared" si="76"/>
        <v/>
      </c>
      <c r="I305" s="290" t="str">
        <f t="shared" si="76"/>
        <v/>
      </c>
      <c r="J305" s="296" t="str">
        <f t="shared" si="76"/>
        <v/>
      </c>
      <c r="K305" s="412" t="str">
        <f t="shared" si="76"/>
        <v/>
      </c>
      <c r="M305" s="68"/>
      <c r="O305" s="447"/>
      <c r="P305" s="160" t="s">
        <v>611</v>
      </c>
      <c r="Q305" s="343">
        <f>T259</f>
        <v>28</v>
      </c>
      <c r="R305" s="697" t="str">
        <f>Q297</f>
        <v/>
      </c>
      <c r="S305" s="703" t="str">
        <f>S297</f>
        <v/>
      </c>
      <c r="T305" s="699" t="str">
        <f>X295</f>
        <v/>
      </c>
      <c r="U305" s="67"/>
      <c r="V305" s="67"/>
      <c r="W305" s="67"/>
      <c r="X305" s="67"/>
      <c r="Y305" s="700"/>
      <c r="Z305"/>
      <c r="AA305"/>
      <c r="AB305"/>
      <c r="AC305"/>
      <c r="AD305"/>
      <c r="AE305"/>
      <c r="AF305"/>
      <c r="AG305"/>
      <c r="AH305"/>
      <c r="AI305"/>
      <c r="AJ305"/>
      <c r="AK305"/>
    </row>
    <row r="306" spans="1:37" ht="14.1" customHeight="1" thickBot="1">
      <c r="A306" s="16">
        <v>18</v>
      </c>
      <c r="B306" s="66"/>
      <c r="C306" s="939"/>
      <c r="D306" s="289">
        <f t="shared" si="76"/>
        <v>34</v>
      </c>
      <c r="E306" s="289">
        <f t="shared" si="76"/>
        <v>50</v>
      </c>
      <c r="F306" s="296" t="str">
        <f t="shared" si="76"/>
        <v/>
      </c>
      <c r="G306" s="296" t="str">
        <f t="shared" si="76"/>
        <v/>
      </c>
      <c r="H306" s="296" t="str">
        <f t="shared" si="76"/>
        <v/>
      </c>
      <c r="I306" s="290" t="str">
        <f t="shared" si="76"/>
        <v/>
      </c>
      <c r="J306" s="296" t="str">
        <f t="shared" si="76"/>
        <v/>
      </c>
      <c r="K306" s="412" t="str">
        <f t="shared" si="76"/>
        <v/>
      </c>
      <c r="M306" s="68"/>
      <c r="O306" s="447"/>
      <c r="P306" s="67"/>
      <c r="Q306" s="67"/>
      <c r="R306" s="160" t="s">
        <v>614</v>
      </c>
      <c r="S306" s="677" t="str">
        <f>IF(OR(S304="",S305=""),"",S304+S305)</f>
        <v/>
      </c>
      <c r="T306" s="677" t="str">
        <f>IF(OR(T304="",T305=""),"",T304+T305)</f>
        <v/>
      </c>
      <c r="U306" s="67" t="s">
        <v>339</v>
      </c>
      <c r="V306" s="67"/>
      <c r="W306" s="67"/>
      <c r="X306" s="67"/>
      <c r="Y306" s="700"/>
      <c r="Z306"/>
      <c r="AA306"/>
      <c r="AB306"/>
      <c r="AC306"/>
      <c r="AD306"/>
      <c r="AE306"/>
      <c r="AF306"/>
      <c r="AG306"/>
      <c r="AH306"/>
      <c r="AI306"/>
      <c r="AJ306"/>
      <c r="AK306"/>
    </row>
    <row r="307" spans="1:37" ht="14.1" customHeight="1" thickBot="1">
      <c r="A307" s="16">
        <v>19</v>
      </c>
      <c r="B307" s="66"/>
      <c r="C307" s="940"/>
      <c r="D307" s="429">
        <f t="shared" si="76"/>
        <v>36</v>
      </c>
      <c r="E307" s="429">
        <f t="shared" si="76"/>
        <v>50</v>
      </c>
      <c r="F307" s="430" t="str">
        <f t="shared" si="76"/>
        <v/>
      </c>
      <c r="G307" s="430" t="str">
        <f t="shared" si="76"/>
        <v/>
      </c>
      <c r="H307" s="430" t="str">
        <f t="shared" si="76"/>
        <v/>
      </c>
      <c r="I307" s="431" t="str">
        <f t="shared" si="76"/>
        <v/>
      </c>
      <c r="J307" s="430" t="str">
        <f t="shared" si="76"/>
        <v/>
      </c>
      <c r="K307" s="404" t="str">
        <f t="shared" si="76"/>
        <v/>
      </c>
      <c r="L307" s="369" t="str">
        <f>IF(K303="","",IF(MAX(K303:K307)&lt;0.05,"Pass","Fail"))</f>
        <v/>
      </c>
      <c r="M307" s="68"/>
      <c r="O307" s="447"/>
      <c r="P307" s="3" t="s">
        <v>201</v>
      </c>
      <c r="Q307" s="190" t="s">
        <v>312</v>
      </c>
      <c r="R307" s="67"/>
      <c r="S307" s="67"/>
      <c r="T307" s="67"/>
      <c r="U307" s="67"/>
      <c r="V307" s="67"/>
      <c r="W307" s="67"/>
      <c r="X307" s="67"/>
      <c r="Y307" s="700"/>
      <c r="Z307"/>
      <c r="AA307"/>
      <c r="AB307"/>
      <c r="AC307"/>
      <c r="AD307"/>
      <c r="AE307"/>
      <c r="AF307"/>
      <c r="AG307"/>
      <c r="AH307"/>
      <c r="AI307"/>
      <c r="AJ307"/>
      <c r="AK307"/>
    </row>
    <row r="308" spans="1:37" ht="14.1" customHeight="1" thickBot="1">
      <c r="A308" s="16">
        <v>20</v>
      </c>
      <c r="B308" s="66"/>
      <c r="C308" s="938" t="str">
        <f>P384</f>
        <v>/</v>
      </c>
      <c r="D308" s="406">
        <f t="shared" ref="D308:K312" si="77">IF(Q384="","",Q384)</f>
        <v>28</v>
      </c>
      <c r="E308" s="406">
        <f t="shared" si="77"/>
        <v>50</v>
      </c>
      <c r="F308" s="432" t="str">
        <f t="shared" si="77"/>
        <v/>
      </c>
      <c r="G308" s="432" t="str">
        <f t="shared" si="77"/>
        <v/>
      </c>
      <c r="H308" s="432" t="str">
        <f t="shared" si="77"/>
        <v/>
      </c>
      <c r="I308" s="433" t="str">
        <f t="shared" si="77"/>
        <v/>
      </c>
      <c r="J308" s="432" t="str">
        <f t="shared" si="77"/>
        <v/>
      </c>
      <c r="K308" s="434" t="str">
        <f t="shared" si="77"/>
        <v/>
      </c>
      <c r="M308" s="68"/>
      <c r="O308" s="39"/>
      <c r="R308" s="40"/>
      <c r="S308" s="40"/>
      <c r="T308" s="40"/>
      <c r="U308" s="40"/>
      <c r="V308" s="40"/>
      <c r="W308" s="40"/>
      <c r="X308" s="40"/>
      <c r="Y308" s="41"/>
      <c r="Z308"/>
      <c r="AA308"/>
      <c r="AB308"/>
      <c r="AC308"/>
      <c r="AD308"/>
      <c r="AE308"/>
      <c r="AF308"/>
      <c r="AG308"/>
      <c r="AH308"/>
      <c r="AI308"/>
      <c r="AJ308"/>
      <c r="AK308"/>
    </row>
    <row r="309" spans="1:37" ht="14.1" customHeight="1">
      <c r="A309" s="16">
        <v>21</v>
      </c>
      <c r="B309" s="66"/>
      <c r="C309" s="939"/>
      <c r="D309" s="289">
        <f t="shared" si="77"/>
        <v>30</v>
      </c>
      <c r="E309" s="289">
        <f t="shared" si="77"/>
        <v>50</v>
      </c>
      <c r="F309" s="296" t="str">
        <f t="shared" si="77"/>
        <v/>
      </c>
      <c r="G309" s="296" t="str">
        <f t="shared" si="77"/>
        <v/>
      </c>
      <c r="H309" s="296" t="str">
        <f t="shared" si="77"/>
        <v/>
      </c>
      <c r="I309" s="290" t="str">
        <f t="shared" si="77"/>
        <v/>
      </c>
      <c r="J309" s="296" t="str">
        <f t="shared" si="77"/>
        <v/>
      </c>
      <c r="K309" s="412" t="str">
        <f t="shared" si="77"/>
        <v/>
      </c>
      <c r="M309" s="68"/>
      <c r="O309" s="135" t="s">
        <v>552</v>
      </c>
      <c r="P309" s="22"/>
      <c r="Q309" s="22"/>
      <c r="R309" s="22"/>
      <c r="S309" s="22"/>
      <c r="T309" s="22"/>
      <c r="U309" s="22"/>
      <c r="V309" s="22"/>
      <c r="W309" s="22"/>
      <c r="X309" s="22"/>
      <c r="Y309" s="23"/>
      <c r="Z309"/>
      <c r="AA309"/>
      <c r="AB309"/>
      <c r="AC309"/>
      <c r="AD309"/>
      <c r="AE309"/>
      <c r="AF309"/>
      <c r="AG309"/>
      <c r="AH309"/>
      <c r="AI309"/>
      <c r="AJ309"/>
      <c r="AK309"/>
    </row>
    <row r="310" spans="1:37" ht="14.1" customHeight="1">
      <c r="A310" s="16">
        <v>22</v>
      </c>
      <c r="B310" s="66"/>
      <c r="C310" s="939"/>
      <c r="D310" s="289">
        <f t="shared" si="77"/>
        <v>32</v>
      </c>
      <c r="E310" s="289">
        <f t="shared" si="77"/>
        <v>50</v>
      </c>
      <c r="F310" s="296" t="str">
        <f t="shared" si="77"/>
        <v/>
      </c>
      <c r="G310" s="296" t="str">
        <f t="shared" si="77"/>
        <v/>
      </c>
      <c r="H310" s="296" t="str">
        <f t="shared" si="77"/>
        <v/>
      </c>
      <c r="I310" s="290" t="str">
        <f t="shared" si="77"/>
        <v/>
      </c>
      <c r="J310" s="296" t="str">
        <f t="shared" si="77"/>
        <v/>
      </c>
      <c r="K310" s="412" t="str">
        <f t="shared" si="77"/>
        <v/>
      </c>
      <c r="M310" s="68"/>
      <c r="O310" s="29"/>
      <c r="P310" s="160" t="s">
        <v>558</v>
      </c>
      <c r="Q310" s="160" t="s">
        <v>555</v>
      </c>
      <c r="R310" s="1">
        <v>101.3</v>
      </c>
      <c r="S310" s="67"/>
      <c r="T310" s="67"/>
      <c r="U310" s="67"/>
      <c r="V310" s="67"/>
      <c r="W310" s="67"/>
      <c r="X310" s="67"/>
      <c r="Y310" s="31"/>
      <c r="Z310"/>
      <c r="AA310"/>
      <c r="AB310"/>
      <c r="AC310"/>
      <c r="AD310"/>
      <c r="AE310"/>
      <c r="AF310"/>
      <c r="AG310"/>
      <c r="AH310"/>
      <c r="AI310"/>
      <c r="AJ310"/>
      <c r="AK310"/>
    </row>
    <row r="311" spans="1:37" ht="14.1" customHeight="1" thickBot="1">
      <c r="A311" s="16">
        <v>23</v>
      </c>
      <c r="B311" s="66"/>
      <c r="C311" s="939"/>
      <c r="D311" s="289">
        <f t="shared" si="77"/>
        <v>34</v>
      </c>
      <c r="E311" s="289">
        <f t="shared" si="77"/>
        <v>50</v>
      </c>
      <c r="F311" s="296" t="str">
        <f t="shared" si="77"/>
        <v/>
      </c>
      <c r="G311" s="296" t="str">
        <f t="shared" si="77"/>
        <v/>
      </c>
      <c r="H311" s="296" t="str">
        <f t="shared" si="77"/>
        <v/>
      </c>
      <c r="I311" s="290" t="str">
        <f t="shared" si="77"/>
        <v/>
      </c>
      <c r="J311" s="296" t="str">
        <f t="shared" si="77"/>
        <v/>
      </c>
      <c r="K311" s="412" t="str">
        <f t="shared" si="77"/>
        <v/>
      </c>
      <c r="M311" s="68"/>
      <c r="O311" s="29"/>
      <c r="P311" s="67"/>
      <c r="Q311" s="160" t="s">
        <v>556</v>
      </c>
      <c r="R311" s="619">
        <v>108</v>
      </c>
      <c r="S311" s="661" t="s">
        <v>318</v>
      </c>
      <c r="T311" s="661"/>
      <c r="U311" s="67"/>
      <c r="V311" s="67"/>
      <c r="W311" s="67"/>
      <c r="X311" s="67"/>
      <c r="Y311" s="31"/>
      <c r="Z311"/>
      <c r="AA311"/>
      <c r="AB311"/>
      <c r="AC311"/>
      <c r="AD311"/>
      <c r="AE311"/>
      <c r="AF311"/>
      <c r="AG311"/>
      <c r="AH311"/>
      <c r="AI311"/>
      <c r="AJ311"/>
      <c r="AK311"/>
    </row>
    <row r="312" spans="1:37" ht="14.1" customHeight="1" thickBot="1">
      <c r="A312" s="16">
        <v>24</v>
      </c>
      <c r="B312" s="66"/>
      <c r="C312" s="940"/>
      <c r="D312" s="429">
        <f t="shared" si="77"/>
        <v>38</v>
      </c>
      <c r="E312" s="429">
        <f t="shared" si="77"/>
        <v>50</v>
      </c>
      <c r="F312" s="430" t="str">
        <f t="shared" si="77"/>
        <v/>
      </c>
      <c r="G312" s="430" t="str">
        <f t="shared" si="77"/>
        <v/>
      </c>
      <c r="H312" s="430" t="str">
        <f t="shared" si="77"/>
        <v/>
      </c>
      <c r="I312" s="431" t="str">
        <f t="shared" si="77"/>
        <v/>
      </c>
      <c r="J312" s="430" t="str">
        <f t="shared" si="77"/>
        <v/>
      </c>
      <c r="K312" s="404" t="str">
        <f t="shared" si="77"/>
        <v/>
      </c>
      <c r="L312" s="369" t="str">
        <f>IF(K308="","",IF(MAX(K308:K312)&lt;0.05,"Pass","Fail"))</f>
        <v/>
      </c>
      <c r="M312" s="68"/>
      <c r="O312" s="29"/>
      <c r="P312" s="658" t="s">
        <v>554</v>
      </c>
      <c r="Q312" s="659" t="s">
        <v>553</v>
      </c>
      <c r="R312" s="660" t="s">
        <v>288</v>
      </c>
      <c r="S312" s="658" t="s">
        <v>554</v>
      </c>
      <c r="T312" s="660" t="s">
        <v>553</v>
      </c>
      <c r="U312" s="67"/>
      <c r="V312" s="67"/>
      <c r="W312" s="67"/>
      <c r="X312" s="67"/>
      <c r="Y312" s="31"/>
      <c r="Z312"/>
      <c r="AA312"/>
      <c r="AB312"/>
      <c r="AC312"/>
      <c r="AD312"/>
      <c r="AE312"/>
      <c r="AF312"/>
      <c r="AG312"/>
      <c r="AH312"/>
      <c r="AI312"/>
      <c r="AJ312"/>
      <c r="AK312"/>
    </row>
    <row r="313" spans="1:37" ht="14.1" customHeight="1">
      <c r="A313" s="16">
        <v>25</v>
      </c>
      <c r="B313" s="66"/>
      <c r="M313" s="68"/>
      <c r="O313" s="159" t="s">
        <v>569</v>
      </c>
      <c r="P313" s="620"/>
      <c r="Q313" s="143"/>
      <c r="R313" s="331" t="str">
        <f>IF(OR(P313="",Q313=""),"",IF(AND(ABS($R$310-P313)&lt;=$R$310*0.02,ABS($R$311-Q313)&lt;=$R$311*0.02),"Pass","Fail"))</f>
        <v/>
      </c>
      <c r="S313" s="704" t="str">
        <f>IF(AB127="","",AB127)</f>
        <v/>
      </c>
      <c r="T313" s="705" t="str">
        <f>IF(AB128="","",AB128)</f>
        <v/>
      </c>
      <c r="U313" s="67"/>
      <c r="V313" s="67"/>
      <c r="W313" s="67"/>
      <c r="X313" s="67"/>
      <c r="Y313" s="31"/>
      <c r="Z313"/>
      <c r="AA313"/>
      <c r="AB313"/>
      <c r="AC313"/>
      <c r="AD313"/>
      <c r="AE313"/>
      <c r="AF313"/>
      <c r="AG313"/>
      <c r="AH313"/>
      <c r="AI313"/>
      <c r="AJ313"/>
      <c r="AK313"/>
    </row>
    <row r="314" spans="1:37" ht="14.1" customHeight="1">
      <c r="A314" s="16">
        <v>26</v>
      </c>
      <c r="B314" s="66"/>
      <c r="M314" s="68"/>
      <c r="O314" s="159" t="s">
        <v>570</v>
      </c>
      <c r="P314" s="620"/>
      <c r="Q314" s="143"/>
      <c r="R314" s="331" t="str">
        <f>IF(OR(P314="",Q314=""),"",IF(AND(ABS($R$310-P314)&lt;=$R$310*0.02,ABS($R$311-Q314)&lt;=$R$311*0.02),"Pass","Fail"))</f>
        <v/>
      </c>
      <c r="S314" s="704" t="str">
        <f>IF(AB129="","",AB129)</f>
        <v/>
      </c>
      <c r="T314" s="705" t="str">
        <f>IF(AB130="","",AB130)</f>
        <v/>
      </c>
      <c r="U314" s="67"/>
      <c r="V314" s="67"/>
      <c r="W314" s="67"/>
      <c r="X314" s="67"/>
      <c r="Y314" s="31"/>
      <c r="Z314"/>
      <c r="AA314"/>
      <c r="AB314"/>
      <c r="AC314"/>
      <c r="AD314"/>
      <c r="AE314"/>
      <c r="AF314"/>
      <c r="AG314"/>
      <c r="AH314"/>
      <c r="AI314"/>
      <c r="AJ314"/>
      <c r="AK314"/>
    </row>
    <row r="315" spans="1:37" ht="14.1" customHeight="1" thickBot="1">
      <c r="A315" s="16">
        <v>27</v>
      </c>
      <c r="B315" s="66"/>
      <c r="I315" s="4"/>
      <c r="J315" s="4"/>
      <c r="M315" s="68"/>
      <c r="O315" s="159" t="s">
        <v>571</v>
      </c>
      <c r="P315" s="621"/>
      <c r="Q315" s="622"/>
      <c r="R315" s="380" t="str">
        <f>IF(OR(P315="",Q315=""),"",IF(AND(ABS($R$310-P315)&lt;=$R$310*0.02,ABS($R$311-Q315)&lt;=$R$311*0.02),"Pass","Fail"))</f>
        <v/>
      </c>
      <c r="S315" s="706" t="str">
        <f>IF(AB131="","",AB131)</f>
        <v/>
      </c>
      <c r="T315" s="707" t="str">
        <f>IF(AB132="","",AB132)</f>
        <v/>
      </c>
      <c r="U315" s="67"/>
      <c r="V315" s="67"/>
      <c r="W315" s="67"/>
      <c r="X315" s="67"/>
      <c r="Y315" s="31"/>
      <c r="Z315"/>
      <c r="AA315"/>
      <c r="AB315"/>
      <c r="AC315"/>
      <c r="AD315"/>
      <c r="AE315"/>
      <c r="AF315"/>
      <c r="AG315"/>
      <c r="AH315"/>
      <c r="AI315"/>
      <c r="AJ315"/>
      <c r="AK315"/>
    </row>
    <row r="316" spans="1:37" ht="14.1" customHeight="1">
      <c r="A316" s="16">
        <v>28</v>
      </c>
      <c r="B316" s="66"/>
      <c r="I316" s="4"/>
      <c r="J316" s="4"/>
      <c r="M316" s="68"/>
      <c r="O316" s="29"/>
      <c r="P316" s="3" t="s">
        <v>201</v>
      </c>
      <c r="Q316" s="190" t="s">
        <v>557</v>
      </c>
      <c r="R316" s="67"/>
      <c r="S316" s="67"/>
      <c r="T316" s="67"/>
      <c r="U316" s="67"/>
      <c r="V316" s="67"/>
      <c r="W316" s="67"/>
      <c r="X316" s="67"/>
      <c r="Y316" s="31"/>
      <c r="Z316"/>
      <c r="AA316"/>
      <c r="AB316"/>
      <c r="AC316"/>
      <c r="AD316"/>
      <c r="AE316"/>
      <c r="AF316"/>
      <c r="AG316"/>
      <c r="AH316"/>
      <c r="AI316"/>
      <c r="AJ316"/>
      <c r="AK316"/>
    </row>
    <row r="317" spans="1:37" ht="14.1" customHeight="1">
      <c r="A317" s="16">
        <v>29</v>
      </c>
      <c r="B317" s="66"/>
      <c r="I317" s="4"/>
      <c r="J317" s="4"/>
      <c r="M317" s="68"/>
      <c r="O317" s="29"/>
      <c r="P317" s="67"/>
      <c r="Q317" s="67"/>
      <c r="R317" s="67"/>
      <c r="S317" s="67"/>
      <c r="T317" s="67"/>
      <c r="U317" s="67"/>
      <c r="V317" s="67"/>
      <c r="W317" s="67"/>
      <c r="X317" s="67"/>
      <c r="Y317" s="31"/>
      <c r="Z317"/>
      <c r="AA317"/>
      <c r="AB317"/>
      <c r="AC317"/>
      <c r="AD317"/>
      <c r="AE317"/>
      <c r="AF317"/>
      <c r="AG317"/>
      <c r="AH317"/>
      <c r="AI317"/>
      <c r="AJ317"/>
      <c r="AK317"/>
    </row>
    <row r="318" spans="1:37" ht="14.1" customHeight="1" thickBot="1">
      <c r="A318" s="16">
        <v>30</v>
      </c>
      <c r="B318" s="66"/>
      <c r="M318" s="68"/>
      <c r="O318" s="137" t="s">
        <v>559</v>
      </c>
      <c r="P318" s="67"/>
      <c r="Q318" s="67"/>
      <c r="R318" s="67"/>
      <c r="S318" s="67"/>
      <c r="T318" s="67"/>
      <c r="U318" s="67"/>
      <c r="V318" s="67"/>
      <c r="W318" s="67"/>
      <c r="X318" s="67"/>
      <c r="Y318" s="31"/>
      <c r="Z318"/>
      <c r="AA318"/>
      <c r="AB318"/>
      <c r="AC318"/>
      <c r="AD318"/>
      <c r="AE318"/>
      <c r="AF318"/>
      <c r="AG318"/>
      <c r="AH318"/>
      <c r="AI318"/>
      <c r="AJ318"/>
      <c r="AK318"/>
    </row>
    <row r="319" spans="1:37" ht="14.1" customHeight="1">
      <c r="A319" s="16">
        <v>31</v>
      </c>
      <c r="B319" s="66"/>
      <c r="M319" s="68"/>
      <c r="O319" s="634" t="s">
        <v>577</v>
      </c>
      <c r="P319" s="623" t="s">
        <v>573</v>
      </c>
      <c r="Q319" s="682">
        <f>U319-2</f>
        <v>-2</v>
      </c>
      <c r="R319" s="623" t="s">
        <v>572</v>
      </c>
      <c r="S319" s="682">
        <f>U319-1</f>
        <v>-1</v>
      </c>
      <c r="T319" s="623" t="s">
        <v>574</v>
      </c>
      <c r="U319" s="624"/>
      <c r="V319" s="623" t="s">
        <v>575</v>
      </c>
      <c r="W319" s="682">
        <f>U319+1</f>
        <v>1</v>
      </c>
      <c r="X319" s="623" t="s">
        <v>576</v>
      </c>
      <c r="Y319" s="683">
        <f>U319+2</f>
        <v>2</v>
      </c>
      <c r="Z319"/>
      <c r="AA319"/>
      <c r="AB319"/>
      <c r="AC319"/>
      <c r="AD319"/>
      <c r="AE319"/>
      <c r="AF319"/>
      <c r="AG319"/>
      <c r="AH319"/>
      <c r="AI319"/>
      <c r="AJ319"/>
      <c r="AK319"/>
    </row>
    <row r="320" spans="1:37" ht="14.1" customHeight="1">
      <c r="A320" s="16">
        <v>32</v>
      </c>
      <c r="B320" s="66"/>
      <c r="M320" s="68"/>
      <c r="O320" s="635" t="s">
        <v>569</v>
      </c>
      <c r="P320" s="289" t="s">
        <v>565</v>
      </c>
      <c r="Q320" s="289" t="s">
        <v>281</v>
      </c>
      <c r="R320" s="289" t="s">
        <v>565</v>
      </c>
      <c r="S320" s="289" t="s">
        <v>281</v>
      </c>
      <c r="T320" s="289" t="s">
        <v>565</v>
      </c>
      <c r="U320" s="289" t="s">
        <v>281</v>
      </c>
      <c r="V320" s="289" t="s">
        <v>565</v>
      </c>
      <c r="W320" s="289" t="s">
        <v>281</v>
      </c>
      <c r="X320" s="289" t="s">
        <v>565</v>
      </c>
      <c r="Y320" s="644" t="s">
        <v>281</v>
      </c>
      <c r="Z320"/>
      <c r="AA320"/>
      <c r="AB320"/>
      <c r="AC320"/>
      <c r="AD320"/>
      <c r="AE320"/>
      <c r="AF320"/>
      <c r="AG320"/>
      <c r="AH320"/>
      <c r="AI320"/>
      <c r="AJ320"/>
      <c r="AK320"/>
    </row>
    <row r="321" spans="1:37" ht="14.1" customHeight="1">
      <c r="A321" s="16">
        <v>33</v>
      </c>
      <c r="B321" s="66"/>
      <c r="M321" s="68"/>
      <c r="O321" s="636">
        <v>1</v>
      </c>
      <c r="P321" s="625"/>
      <c r="Q321" s="625"/>
      <c r="R321" s="625"/>
      <c r="S321" s="625"/>
      <c r="T321" s="625"/>
      <c r="U321" s="625"/>
      <c r="V321" s="625"/>
      <c r="W321" s="625"/>
      <c r="X321" s="625"/>
      <c r="Y321" s="637"/>
      <c r="Z321"/>
      <c r="AA321"/>
      <c r="AB321"/>
      <c r="AC321"/>
      <c r="AD321"/>
      <c r="AE321"/>
      <c r="AF321"/>
      <c r="AG321"/>
      <c r="AH321"/>
      <c r="AI321"/>
      <c r="AJ321"/>
      <c r="AK321"/>
    </row>
    <row r="322" spans="1:37" ht="14.1" customHeight="1">
      <c r="A322" s="16">
        <v>34</v>
      </c>
      <c r="B322" s="66"/>
      <c r="C322" s="67"/>
      <c r="D322" s="67"/>
      <c r="E322" s="67"/>
      <c r="F322" s="67"/>
      <c r="G322" s="67"/>
      <c r="H322" s="67"/>
      <c r="I322" s="67"/>
      <c r="J322" s="67"/>
      <c r="K322" s="67"/>
      <c r="L322" s="67"/>
      <c r="M322" s="68"/>
      <c r="O322" s="636">
        <v>2</v>
      </c>
      <c r="P322" s="625"/>
      <c r="Q322" s="625"/>
      <c r="R322" s="625"/>
      <c r="S322" s="625"/>
      <c r="T322" s="625"/>
      <c r="U322" s="625"/>
      <c r="V322" s="625"/>
      <c r="W322" s="625"/>
      <c r="X322" s="625"/>
      <c r="Y322" s="637"/>
      <c r="Z322"/>
      <c r="AA322"/>
      <c r="AB322"/>
      <c r="AC322"/>
      <c r="AD322"/>
      <c r="AE322"/>
      <c r="AF322"/>
      <c r="AG322"/>
      <c r="AH322"/>
      <c r="AI322"/>
      <c r="AJ322"/>
      <c r="AK322"/>
    </row>
    <row r="323" spans="1:37" ht="14.1" customHeight="1">
      <c r="A323" s="16">
        <v>35</v>
      </c>
      <c r="B323" s="66"/>
      <c r="C323" s="67"/>
      <c r="D323" s="67"/>
      <c r="E323" s="67"/>
      <c r="F323" s="67"/>
      <c r="G323" s="67"/>
      <c r="H323" s="67"/>
      <c r="I323" s="67"/>
      <c r="J323" s="67"/>
      <c r="K323" s="67"/>
      <c r="L323" s="67"/>
      <c r="M323" s="68"/>
      <c r="O323" s="636">
        <v>3</v>
      </c>
      <c r="P323" s="625"/>
      <c r="Q323" s="625"/>
      <c r="R323" s="625"/>
      <c r="S323" s="625"/>
      <c r="T323" s="625"/>
      <c r="U323" s="625"/>
      <c r="V323" s="625"/>
      <c r="W323" s="625"/>
      <c r="X323" s="625"/>
      <c r="Y323" s="637"/>
      <c r="Z323"/>
      <c r="AA323"/>
      <c r="AB323"/>
      <c r="AC323"/>
      <c r="AD323"/>
      <c r="AE323"/>
      <c r="AF323"/>
      <c r="AG323"/>
      <c r="AH323"/>
      <c r="AI323"/>
      <c r="AJ323"/>
      <c r="AK323"/>
    </row>
    <row r="324" spans="1:37" ht="14.1" customHeight="1">
      <c r="A324" s="16">
        <v>36</v>
      </c>
      <c r="B324" s="66"/>
      <c r="C324" s="67"/>
      <c r="D324" s="67"/>
      <c r="E324" s="67"/>
      <c r="F324" s="67"/>
      <c r="G324" s="67"/>
      <c r="H324" s="67"/>
      <c r="I324" s="67"/>
      <c r="J324" s="67"/>
      <c r="K324" s="67"/>
      <c r="L324" s="67"/>
      <c r="M324" s="68"/>
      <c r="O324" s="636">
        <v>4</v>
      </c>
      <c r="P324" s="625"/>
      <c r="Q324" s="625"/>
      <c r="R324" s="625"/>
      <c r="S324" s="625"/>
      <c r="T324" s="625"/>
      <c r="U324" s="625"/>
      <c r="V324" s="625"/>
      <c r="W324" s="625"/>
      <c r="X324" s="625"/>
      <c r="Y324" s="637"/>
      <c r="Z324"/>
      <c r="AA324"/>
      <c r="AB324"/>
      <c r="AC324"/>
      <c r="AD324"/>
      <c r="AE324"/>
      <c r="AF324"/>
      <c r="AG324"/>
      <c r="AH324"/>
      <c r="AI324"/>
      <c r="AJ324"/>
      <c r="AK324"/>
    </row>
    <row r="325" spans="1:37" ht="14.1" customHeight="1">
      <c r="A325" s="16">
        <v>37</v>
      </c>
      <c r="B325" s="66"/>
      <c r="C325" s="67"/>
      <c r="D325" s="67"/>
      <c r="E325" s="67"/>
      <c r="F325" s="67"/>
      <c r="G325" s="67"/>
      <c r="H325" s="67"/>
      <c r="I325" s="67"/>
      <c r="J325" s="67"/>
      <c r="K325" s="67"/>
      <c r="L325" s="67"/>
      <c r="M325" s="68"/>
      <c r="O325" s="666">
        <v>5</v>
      </c>
      <c r="P325" s="667"/>
      <c r="Q325" s="667"/>
      <c r="R325" s="667"/>
      <c r="S325" s="667"/>
      <c r="T325" s="667"/>
      <c r="U325" s="667"/>
      <c r="V325" s="667"/>
      <c r="W325" s="667"/>
      <c r="X325" s="667"/>
      <c r="Y325" s="668"/>
      <c r="Z325"/>
      <c r="AA325"/>
      <c r="AB325"/>
      <c r="AC325"/>
      <c r="AD325"/>
      <c r="AE325"/>
      <c r="AF325"/>
      <c r="AG325"/>
      <c r="AH325"/>
      <c r="AI325"/>
      <c r="AJ325"/>
      <c r="AK325"/>
    </row>
    <row r="326" spans="1:37" ht="14.1" customHeight="1" thickBot="1">
      <c r="A326" s="16">
        <v>38</v>
      </c>
      <c r="B326" s="66"/>
      <c r="C326" s="67"/>
      <c r="D326" s="67"/>
      <c r="E326" s="67"/>
      <c r="F326" s="67"/>
      <c r="G326" s="67"/>
      <c r="H326" s="67"/>
      <c r="I326" s="67"/>
      <c r="J326" s="67"/>
      <c r="K326" s="67"/>
      <c r="L326" s="67"/>
      <c r="M326" s="68"/>
      <c r="O326" s="669">
        <v>6</v>
      </c>
      <c r="P326" s="670"/>
      <c r="Q326" s="671"/>
      <c r="R326" s="670"/>
      <c r="S326" s="671"/>
      <c r="T326" s="670"/>
      <c r="U326" s="671"/>
      <c r="V326" s="670"/>
      <c r="W326" s="671"/>
      <c r="X326" s="670"/>
      <c r="Y326" s="672"/>
    </row>
    <row r="327" spans="1:37" ht="14.1" customHeight="1">
      <c r="A327" s="16">
        <v>39</v>
      </c>
      <c r="B327" s="66"/>
      <c r="C327" s="67"/>
      <c r="D327" s="67"/>
      <c r="E327" s="67"/>
      <c r="F327" s="67"/>
      <c r="G327" s="67"/>
      <c r="H327" s="67"/>
      <c r="I327" s="67"/>
      <c r="J327" s="67"/>
      <c r="K327" s="67"/>
      <c r="L327" s="67"/>
      <c r="M327" s="68"/>
      <c r="O327" s="638" t="s">
        <v>570</v>
      </c>
      <c r="P327" s="623" t="s">
        <v>573</v>
      </c>
      <c r="Q327" s="682">
        <f>U327-2</f>
        <v>-2</v>
      </c>
      <c r="R327" s="623" t="s">
        <v>572</v>
      </c>
      <c r="S327" s="682">
        <f>U327-1</f>
        <v>-1</v>
      </c>
      <c r="T327" s="623" t="s">
        <v>574</v>
      </c>
      <c r="U327" s="624"/>
      <c r="V327" s="623" t="s">
        <v>575</v>
      </c>
      <c r="W327" s="682">
        <f>U327+1</f>
        <v>1</v>
      </c>
      <c r="X327" s="623" t="s">
        <v>576</v>
      </c>
      <c r="Y327" s="683">
        <f>U327+2</f>
        <v>2</v>
      </c>
    </row>
    <row r="328" spans="1:37" ht="14.1" customHeight="1">
      <c r="A328" s="16">
        <v>40</v>
      </c>
      <c r="B328" s="66"/>
      <c r="C328" s="67"/>
      <c r="D328" s="67"/>
      <c r="E328" s="67"/>
      <c r="F328" s="67"/>
      <c r="G328" s="67"/>
      <c r="H328" s="67"/>
      <c r="I328" s="67"/>
      <c r="J328" s="67"/>
      <c r="K328" s="67"/>
      <c r="L328" s="67"/>
      <c r="M328" s="68"/>
      <c r="O328" s="636">
        <v>1</v>
      </c>
      <c r="P328" s="625"/>
      <c r="Q328" s="625"/>
      <c r="R328" s="625"/>
      <c r="S328" s="625"/>
      <c r="T328" s="625"/>
      <c r="U328" s="625"/>
      <c r="V328" s="625"/>
      <c r="W328" s="625"/>
      <c r="X328" s="625"/>
      <c r="Y328" s="637"/>
    </row>
    <row r="329" spans="1:37" ht="14.1" customHeight="1">
      <c r="A329" s="16">
        <v>41</v>
      </c>
      <c r="B329" s="66"/>
      <c r="C329" s="67"/>
      <c r="D329" s="67"/>
      <c r="E329" s="67"/>
      <c r="F329" s="67"/>
      <c r="G329" s="67"/>
      <c r="H329" s="67"/>
      <c r="I329" s="67"/>
      <c r="J329" s="67"/>
      <c r="K329" s="67"/>
      <c r="L329" s="67"/>
      <c r="M329" s="68"/>
      <c r="O329" s="636">
        <v>2</v>
      </c>
      <c r="P329" s="625"/>
      <c r="Q329" s="625"/>
      <c r="R329" s="625"/>
      <c r="S329" s="625"/>
      <c r="T329" s="625"/>
      <c r="U329" s="625"/>
      <c r="V329" s="625"/>
      <c r="W329" s="625"/>
      <c r="X329" s="625"/>
      <c r="Y329" s="637"/>
    </row>
    <row r="330" spans="1:37" ht="14.1" customHeight="1">
      <c r="A330" s="16">
        <v>42</v>
      </c>
      <c r="B330" s="66"/>
      <c r="C330" s="67"/>
      <c r="D330" s="67"/>
      <c r="E330" s="67"/>
      <c r="F330" s="67"/>
      <c r="G330" s="67"/>
      <c r="H330" s="67"/>
      <c r="I330" s="67"/>
      <c r="J330" s="67"/>
      <c r="K330" s="67"/>
      <c r="L330" s="67"/>
      <c r="M330" s="68"/>
      <c r="O330" s="636">
        <v>3</v>
      </c>
      <c r="P330" s="625"/>
      <c r="Q330" s="625"/>
      <c r="R330" s="625"/>
      <c r="S330" s="625"/>
      <c r="T330" s="625"/>
      <c r="U330" s="625"/>
      <c r="V330" s="625"/>
      <c r="W330" s="625"/>
      <c r="X330" s="625"/>
      <c r="Y330" s="637"/>
    </row>
    <row r="331" spans="1:37" ht="14.1" customHeight="1">
      <c r="A331" s="16">
        <v>43</v>
      </c>
      <c r="B331" s="66"/>
      <c r="C331" s="67"/>
      <c r="D331" s="67"/>
      <c r="E331" s="67"/>
      <c r="F331" s="67"/>
      <c r="G331" s="67"/>
      <c r="H331" s="67"/>
      <c r="I331" s="67"/>
      <c r="J331" s="67"/>
      <c r="K331" s="67"/>
      <c r="L331" s="67"/>
      <c r="M331" s="68"/>
      <c r="O331" s="636">
        <v>4</v>
      </c>
      <c r="P331" s="625"/>
      <c r="Q331" s="625"/>
      <c r="R331" s="625"/>
      <c r="S331" s="625"/>
      <c r="T331" s="625"/>
      <c r="U331" s="625"/>
      <c r="V331" s="625"/>
      <c r="W331" s="625"/>
      <c r="X331" s="625"/>
      <c r="Y331" s="637"/>
    </row>
    <row r="332" spans="1:37" ht="14.1" customHeight="1">
      <c r="A332" s="16">
        <v>44</v>
      </c>
      <c r="B332" s="66"/>
      <c r="C332" s="67"/>
      <c r="D332" s="67"/>
      <c r="E332" s="67"/>
      <c r="F332" s="67"/>
      <c r="G332" s="67"/>
      <c r="H332" s="67"/>
      <c r="I332" s="67"/>
      <c r="J332" s="67"/>
      <c r="K332" s="67"/>
      <c r="L332" s="67"/>
      <c r="M332" s="68"/>
      <c r="O332" s="666">
        <v>5</v>
      </c>
      <c r="P332" s="667"/>
      <c r="Q332" s="667"/>
      <c r="R332" s="667"/>
      <c r="S332" s="667"/>
      <c r="T332" s="667"/>
      <c r="U332" s="667"/>
      <c r="V332" s="667"/>
      <c r="W332" s="667"/>
      <c r="X332" s="667"/>
      <c r="Y332" s="668"/>
    </row>
    <row r="333" spans="1:37" ht="14.1" customHeight="1" thickBot="1">
      <c r="A333" s="16">
        <v>45</v>
      </c>
      <c r="B333" s="66"/>
      <c r="C333" s="67"/>
      <c r="D333" s="67"/>
      <c r="E333" s="67"/>
      <c r="F333" s="67"/>
      <c r="G333" s="67"/>
      <c r="H333" s="67"/>
      <c r="I333" s="67"/>
      <c r="J333" s="67"/>
      <c r="K333" s="67"/>
      <c r="L333" s="67"/>
      <c r="M333" s="68"/>
      <c r="O333" s="669">
        <v>6</v>
      </c>
      <c r="P333" s="670"/>
      <c r="Q333" s="671"/>
      <c r="R333" s="670"/>
      <c r="S333" s="671"/>
      <c r="T333" s="670"/>
      <c r="U333" s="671"/>
      <c r="V333" s="670"/>
      <c r="W333" s="671"/>
      <c r="X333" s="670"/>
      <c r="Y333" s="672"/>
    </row>
    <row r="334" spans="1:37" ht="14.1" customHeight="1">
      <c r="A334" s="16">
        <v>46</v>
      </c>
      <c r="B334" s="66"/>
      <c r="C334" s="67"/>
      <c r="D334" s="67"/>
      <c r="E334" s="67"/>
      <c r="F334" s="67"/>
      <c r="G334" s="67"/>
      <c r="H334" s="67"/>
      <c r="I334" s="67"/>
      <c r="J334" s="67"/>
      <c r="K334" s="67"/>
      <c r="L334" s="67"/>
      <c r="M334" s="68"/>
      <c r="O334" s="638" t="s">
        <v>571</v>
      </c>
      <c r="P334" s="623" t="s">
        <v>573</v>
      </c>
      <c r="Q334" s="682">
        <f>U334-2</f>
        <v>-2</v>
      </c>
      <c r="R334" s="623" t="s">
        <v>572</v>
      </c>
      <c r="S334" s="682">
        <f>U334-1</f>
        <v>-1</v>
      </c>
      <c r="T334" s="623" t="s">
        <v>574</v>
      </c>
      <c r="U334" s="624"/>
      <c r="V334" s="623" t="s">
        <v>575</v>
      </c>
      <c r="W334" s="682">
        <f>U334+1</f>
        <v>1</v>
      </c>
      <c r="X334" s="623" t="s">
        <v>576</v>
      </c>
      <c r="Y334" s="683">
        <f>U334+2</f>
        <v>2</v>
      </c>
    </row>
    <row r="335" spans="1:37" ht="14.1" customHeight="1">
      <c r="A335" s="16">
        <v>47</v>
      </c>
      <c r="B335" s="66"/>
      <c r="C335" s="67"/>
      <c r="D335" s="67"/>
      <c r="E335" s="67"/>
      <c r="F335" s="67"/>
      <c r="G335" s="67"/>
      <c r="H335" s="67"/>
      <c r="I335" s="67"/>
      <c r="J335" s="67"/>
      <c r="K335" s="67"/>
      <c r="L335" s="67"/>
      <c r="M335" s="68"/>
      <c r="O335" s="636">
        <v>1</v>
      </c>
      <c r="P335" s="625"/>
      <c r="Q335" s="625"/>
      <c r="R335" s="625"/>
      <c r="S335" s="625"/>
      <c r="T335" s="625"/>
      <c r="U335" s="625"/>
      <c r="V335" s="625"/>
      <c r="W335" s="625"/>
      <c r="X335" s="625"/>
      <c r="Y335" s="637"/>
    </row>
    <row r="336" spans="1:37" ht="14.1" customHeight="1">
      <c r="A336" s="16">
        <v>48</v>
      </c>
      <c r="B336" s="66"/>
      <c r="C336" s="67"/>
      <c r="D336" s="67"/>
      <c r="E336" s="67"/>
      <c r="F336" s="67"/>
      <c r="G336" s="67"/>
      <c r="H336" s="67"/>
      <c r="I336" s="67"/>
      <c r="J336" s="67"/>
      <c r="K336" s="67"/>
      <c r="L336" s="67"/>
      <c r="M336" s="68"/>
      <c r="O336" s="636">
        <v>2</v>
      </c>
      <c r="P336" s="625"/>
      <c r="Q336" s="625"/>
      <c r="R336" s="625"/>
      <c r="S336" s="625"/>
      <c r="T336" s="625"/>
      <c r="U336" s="625"/>
      <c r="V336" s="625"/>
      <c r="W336" s="625"/>
      <c r="X336" s="625"/>
      <c r="Y336" s="637"/>
    </row>
    <row r="337" spans="1:25" ht="14.1" customHeight="1">
      <c r="A337" s="16">
        <v>49</v>
      </c>
      <c r="B337" s="66"/>
      <c r="M337" s="68"/>
      <c r="O337" s="636">
        <v>3</v>
      </c>
      <c r="P337" s="625"/>
      <c r="Q337" s="625"/>
      <c r="R337" s="625"/>
      <c r="S337" s="625"/>
      <c r="T337" s="625"/>
      <c r="U337" s="625"/>
      <c r="V337" s="625"/>
      <c r="W337" s="625"/>
      <c r="X337" s="625"/>
      <c r="Y337" s="637"/>
    </row>
    <row r="338" spans="1:25" ht="14.1" customHeight="1">
      <c r="A338" s="16">
        <v>50</v>
      </c>
      <c r="B338" s="66"/>
      <c r="M338" s="68"/>
      <c r="O338" s="636">
        <v>4</v>
      </c>
      <c r="P338" s="625"/>
      <c r="Q338" s="625"/>
      <c r="R338" s="625"/>
      <c r="S338" s="625"/>
      <c r="T338" s="625"/>
      <c r="U338" s="625"/>
      <c r="V338" s="625"/>
      <c r="W338" s="625"/>
      <c r="X338" s="625"/>
      <c r="Y338" s="637"/>
    </row>
    <row r="339" spans="1:25" ht="14.1" customHeight="1">
      <c r="A339" s="16">
        <v>51</v>
      </c>
      <c r="B339" s="66"/>
      <c r="M339" s="68"/>
      <c r="O339" s="666">
        <v>5</v>
      </c>
      <c r="P339" s="667"/>
      <c r="Q339" s="667"/>
      <c r="R339" s="667"/>
      <c r="S339" s="667"/>
      <c r="T339" s="667"/>
      <c r="U339" s="667"/>
      <c r="V339" s="667"/>
      <c r="W339" s="667"/>
      <c r="X339" s="667"/>
      <c r="Y339" s="668"/>
    </row>
    <row r="340" spans="1:25" ht="14.1" customHeight="1" thickBot="1">
      <c r="A340" s="16">
        <v>52</v>
      </c>
      <c r="B340" s="66"/>
      <c r="M340" s="68"/>
      <c r="O340" s="669">
        <v>6</v>
      </c>
      <c r="P340" s="670"/>
      <c r="Q340" s="671"/>
      <c r="R340" s="670"/>
      <c r="S340" s="671"/>
      <c r="T340" s="670"/>
      <c r="U340" s="671"/>
      <c r="V340" s="670"/>
      <c r="W340" s="671"/>
      <c r="X340" s="670"/>
      <c r="Y340" s="672"/>
    </row>
    <row r="341" spans="1:25" ht="14.1" customHeight="1" thickBot="1">
      <c r="A341" s="16">
        <v>53</v>
      </c>
      <c r="B341" s="66"/>
      <c r="M341" s="68"/>
      <c r="O341" s="791"/>
      <c r="P341" s="792"/>
      <c r="Q341" s="792"/>
      <c r="R341" s="792"/>
      <c r="S341" s="792"/>
      <c r="T341" s="792"/>
      <c r="U341" s="792"/>
      <c r="V341" s="792"/>
      <c r="W341" s="792"/>
      <c r="X341" s="792"/>
      <c r="Y341" s="793"/>
    </row>
    <row r="342" spans="1:25" ht="14.1" customHeight="1" thickBot="1">
      <c r="A342" s="16">
        <v>54</v>
      </c>
      <c r="B342" s="66"/>
      <c r="C342" s="144" t="s">
        <v>337</v>
      </c>
      <c r="D342" s="67"/>
      <c r="E342" s="67"/>
      <c r="F342" s="67"/>
      <c r="G342" s="67"/>
      <c r="H342" s="67"/>
      <c r="I342" s="67"/>
      <c r="J342" s="67"/>
      <c r="K342" s="67"/>
      <c r="L342" s="67"/>
      <c r="M342" s="68"/>
      <c r="O342" s="29"/>
      <c r="P342" s="658" t="s">
        <v>569</v>
      </c>
      <c r="Q342" s="659"/>
      <c r="R342" s="659"/>
      <c r="S342" s="659" t="s">
        <v>570</v>
      </c>
      <c r="T342" s="659"/>
      <c r="U342" s="659"/>
      <c r="V342" s="659" t="s">
        <v>571</v>
      </c>
      <c r="W342" s="659"/>
      <c r="X342" s="660"/>
      <c r="Y342" s="31"/>
    </row>
    <row r="343" spans="1:25" ht="14.1" customHeight="1" thickBot="1">
      <c r="A343" s="16">
        <v>55</v>
      </c>
      <c r="B343" s="66"/>
      <c r="C343" s="160"/>
      <c r="D343" s="313" t="s">
        <v>93</v>
      </c>
      <c r="E343" s="314" t="str">
        <f>Q392</f>
        <v>/</v>
      </c>
      <c r="F343" s="437" t="s">
        <v>171</v>
      </c>
      <c r="G343" s="442">
        <f>S392</f>
        <v>28</v>
      </c>
      <c r="H343" s="23"/>
      <c r="I343" s="313" t="s">
        <v>93</v>
      </c>
      <c r="J343" s="314" t="str">
        <f>V392</f>
        <v>/</v>
      </c>
      <c r="K343" s="315" t="s">
        <v>171</v>
      </c>
      <c r="L343" s="532">
        <f>X392</f>
        <v>28</v>
      </c>
      <c r="M343" s="457"/>
      <c r="O343" s="29"/>
      <c r="P343" s="330" t="s">
        <v>566</v>
      </c>
      <c r="Q343" s="289" t="s">
        <v>567</v>
      </c>
      <c r="R343" s="289" t="s">
        <v>568</v>
      </c>
      <c r="S343" s="289" t="s">
        <v>566</v>
      </c>
      <c r="T343" s="289" t="s">
        <v>567</v>
      </c>
      <c r="U343" s="289" t="s">
        <v>568</v>
      </c>
      <c r="V343" s="289" t="s">
        <v>566</v>
      </c>
      <c r="W343" s="289" t="s">
        <v>567</v>
      </c>
      <c r="X343" s="331" t="s">
        <v>568</v>
      </c>
      <c r="Y343" s="31"/>
    </row>
    <row r="344" spans="1:25" ht="14.1" customHeight="1">
      <c r="A344" s="16">
        <v>56</v>
      </c>
      <c r="B344" s="66"/>
      <c r="C344" s="160"/>
      <c r="D344" s="447"/>
      <c r="E344" s="67"/>
      <c r="F344" s="160" t="s">
        <v>216</v>
      </c>
      <c r="G344" s="533">
        <f>S393</f>
        <v>50</v>
      </c>
      <c r="H344" s="206"/>
      <c r="I344" s="67"/>
      <c r="J344" s="67"/>
      <c r="K344" s="160" t="s">
        <v>216</v>
      </c>
      <c r="L344" s="533">
        <f>X393</f>
        <v>50</v>
      </c>
      <c r="M344" s="68"/>
      <c r="O344" s="639" t="s">
        <v>561</v>
      </c>
      <c r="P344" s="438" t="str">
        <f>IF(P321="","",AVERAGE(P321:P326))</f>
        <v/>
      </c>
      <c r="Q344" s="296" t="str">
        <f>IF(Q321="","",AVERAGE(Q321:Q325))</f>
        <v/>
      </c>
      <c r="R344" s="296" t="str">
        <f>IF(OR(P344="",Q344=""),"",((P344-Q344)/($P$346-$Q$346)))</f>
        <v/>
      </c>
      <c r="S344" s="296" t="str">
        <f>IF(P328="","",AVERAGE(P328:P333))</f>
        <v/>
      </c>
      <c r="T344" s="296" t="str">
        <f>IF(Q328="","",AVERAGE(Q328:Q332))</f>
        <v/>
      </c>
      <c r="U344" s="296" t="str">
        <f>IF(OR(S344="",T344=""),"",((S344-T344)/($S$346-$T$346)))</f>
        <v/>
      </c>
      <c r="V344" s="296" t="str">
        <f>IF(P335="","",AVERAGE(P335:P340))</f>
        <v/>
      </c>
      <c r="W344" s="296" t="str">
        <f>IF(Q335="","",AVERAGE(Q335:Q339))</f>
        <v/>
      </c>
      <c r="X344" s="439" t="str">
        <f>IF(OR(V344="",W344=""),"",((V344-W344)/($V$346-$W$346)))</f>
        <v/>
      </c>
      <c r="Y344" s="31"/>
    </row>
    <row r="345" spans="1:25" ht="14.1" customHeight="1" thickBot="1">
      <c r="A345" s="16">
        <v>57</v>
      </c>
      <c r="B345" s="66"/>
      <c r="C345" s="106"/>
      <c r="D345" s="321" t="s">
        <v>24</v>
      </c>
      <c r="E345" s="322" t="s">
        <v>25</v>
      </c>
      <c r="F345" s="322" t="s">
        <v>26</v>
      </c>
      <c r="G345" s="322" t="s">
        <v>332</v>
      </c>
      <c r="H345" s="323" t="s">
        <v>333</v>
      </c>
      <c r="I345" s="321" t="s">
        <v>24</v>
      </c>
      <c r="J345" s="322" t="s">
        <v>25</v>
      </c>
      <c r="K345" s="322" t="s">
        <v>26</v>
      </c>
      <c r="L345" s="322" t="s">
        <v>332</v>
      </c>
      <c r="M345" s="458" t="s">
        <v>333</v>
      </c>
      <c r="O345" s="640" t="s">
        <v>562</v>
      </c>
      <c r="P345" s="438" t="str">
        <f>IF(R321="","",AVERAGE(R321:R326))</f>
        <v/>
      </c>
      <c r="Q345" s="296" t="str">
        <f>IF(S321="","",AVERAGE(S321:S325))</f>
        <v/>
      </c>
      <c r="R345" s="296" t="str">
        <f>IF(OR(P345="",Q345=""),"",((P345-Q345)/($P$346-$Q$346)))</f>
        <v/>
      </c>
      <c r="S345" s="296" t="str">
        <f>IF(R328="","",AVERAGE(R328:R333))</f>
        <v/>
      </c>
      <c r="T345" s="296" t="str">
        <f>IF(S328="","",AVERAGE(S328:S332))</f>
        <v/>
      </c>
      <c r="U345" s="296" t="str">
        <f>IF(OR(S345="",T345=""),"",((S345-T345)/($S$346-$T$346)))</f>
        <v/>
      </c>
      <c r="V345" s="296" t="str">
        <f>IF(R335="","",AVERAGE(R335:R340))</f>
        <v/>
      </c>
      <c r="W345" s="296" t="str">
        <f>IF(S335="","",AVERAGE(S335:S339))</f>
        <v/>
      </c>
      <c r="X345" s="439" t="str">
        <f>IF(OR(V345="",W345=""),"",((V345-W345)/($V$346-$W$346)))</f>
        <v/>
      </c>
      <c r="Y345" s="31"/>
    </row>
    <row r="346" spans="1:25" ht="14.1" customHeight="1">
      <c r="A346" s="16">
        <v>58</v>
      </c>
      <c r="B346" s="66"/>
      <c r="C346" s="106"/>
      <c r="D346" s="441" t="str">
        <f t="shared" ref="D346:M351" si="78">IF(P395="","",P395)</f>
        <v/>
      </c>
      <c r="E346" s="432" t="str">
        <f t="shared" si="78"/>
        <v/>
      </c>
      <c r="F346" s="432" t="str">
        <f t="shared" si="78"/>
        <v/>
      </c>
      <c r="G346" s="433" t="str">
        <f t="shared" si="78"/>
        <v/>
      </c>
      <c r="H346" s="443" t="str">
        <f t="shared" si="78"/>
        <v/>
      </c>
      <c r="I346" s="446" t="str">
        <f t="shared" si="78"/>
        <v/>
      </c>
      <c r="J346" s="426" t="str">
        <f t="shared" si="78"/>
        <v/>
      </c>
      <c r="K346" s="426" t="str">
        <f t="shared" si="78"/>
        <v/>
      </c>
      <c r="L346" s="427" t="str">
        <f t="shared" si="78"/>
        <v/>
      </c>
      <c r="M346" s="459" t="str">
        <f t="shared" si="78"/>
        <v/>
      </c>
      <c r="O346" s="640" t="s">
        <v>560</v>
      </c>
      <c r="P346" s="438" t="str">
        <f>IF(T321="","",AVERAGE(T321:T326))</f>
        <v/>
      </c>
      <c r="Q346" s="296" t="str">
        <f>IF(U321="","",AVERAGE(U321:U325))</f>
        <v/>
      </c>
      <c r="R346" s="645"/>
      <c r="S346" s="296" t="str">
        <f>IF(T328="","",AVERAGE(T328:T333))</f>
        <v/>
      </c>
      <c r="T346" s="296" t="str">
        <f>IF(U328="","",AVERAGE(U328:U332))</f>
        <v/>
      </c>
      <c r="U346" s="645"/>
      <c r="V346" s="296" t="str">
        <f>IF(T335="","",AVERAGE(T335:T340))</f>
        <v/>
      </c>
      <c r="W346" s="296" t="str">
        <f>IF(U335="","",AVERAGE(U335:U339))</f>
        <v/>
      </c>
      <c r="X346" s="646"/>
      <c r="Y346" s="31"/>
    </row>
    <row r="347" spans="1:25" ht="14.1" customHeight="1">
      <c r="A347" s="16">
        <v>59</v>
      </c>
      <c r="B347" s="66"/>
      <c r="C347" s="106"/>
      <c r="D347" s="438" t="str">
        <f t="shared" si="78"/>
        <v/>
      </c>
      <c r="E347" s="296" t="str">
        <f t="shared" si="78"/>
        <v/>
      </c>
      <c r="F347" s="296" t="str">
        <f t="shared" si="78"/>
        <v/>
      </c>
      <c r="G347" s="290" t="str">
        <f t="shared" si="78"/>
        <v/>
      </c>
      <c r="H347" s="444" t="str">
        <f t="shared" si="78"/>
        <v/>
      </c>
      <c r="I347" s="438" t="str">
        <f t="shared" si="78"/>
        <v/>
      </c>
      <c r="J347" s="296" t="str">
        <f t="shared" si="78"/>
        <v/>
      </c>
      <c r="K347" s="296" t="str">
        <f t="shared" si="78"/>
        <v/>
      </c>
      <c r="L347" s="290" t="str">
        <f t="shared" si="78"/>
        <v/>
      </c>
      <c r="M347" s="460" t="str">
        <f t="shared" si="78"/>
        <v/>
      </c>
      <c r="O347" s="640" t="s">
        <v>563</v>
      </c>
      <c r="P347" s="438" t="str">
        <f>IF(V321="","",AVERAGE(V321:V326))</f>
        <v/>
      </c>
      <c r="Q347" s="296" t="str">
        <f>IF(W321="","",AVERAGE(W321:W325))</f>
        <v/>
      </c>
      <c r="R347" s="296" t="str">
        <f>IF(OR(P347="",Q347=""),"",((P347-Q347)/($P$346-$Q$346)))</f>
        <v/>
      </c>
      <c r="S347" s="296" t="str">
        <f>IF(V328="","",AVERAGE(V328:V333))</f>
        <v/>
      </c>
      <c r="T347" s="296" t="str">
        <f>IF(W328="","",AVERAGE(W328:W332))</f>
        <v/>
      </c>
      <c r="U347" s="296" t="str">
        <f>IF(OR(S347="",T347=""),"",((S347-T347)/($S$346-$T$346)))</f>
        <v/>
      </c>
      <c r="V347" s="296" t="str">
        <f>IF(V335="","",AVERAGE(V335:V340))</f>
        <v/>
      </c>
      <c r="W347" s="296" t="str">
        <f>IF(W335="","",AVERAGE(W335:W339))</f>
        <v/>
      </c>
      <c r="X347" s="439" t="str">
        <f>IF(OR(V347="",W347=""),"",((V347-W347)/($V$346-$W$346)))</f>
        <v/>
      </c>
      <c r="Y347" s="31"/>
    </row>
    <row r="348" spans="1:25" ht="14.1" customHeight="1" thickBot="1">
      <c r="A348" s="16">
        <v>60</v>
      </c>
      <c r="B348" s="66"/>
      <c r="C348" s="106"/>
      <c r="D348" s="438" t="str">
        <f t="shared" si="78"/>
        <v/>
      </c>
      <c r="E348" s="296" t="str">
        <f t="shared" si="78"/>
        <v/>
      </c>
      <c r="F348" s="296" t="str">
        <f t="shared" si="78"/>
        <v/>
      </c>
      <c r="G348" s="290" t="str">
        <f t="shared" si="78"/>
        <v/>
      </c>
      <c r="H348" s="444" t="str">
        <f t="shared" si="78"/>
        <v/>
      </c>
      <c r="I348" s="438" t="str">
        <f t="shared" si="78"/>
        <v/>
      </c>
      <c r="J348" s="296" t="str">
        <f t="shared" si="78"/>
        <v/>
      </c>
      <c r="K348" s="296" t="str">
        <f t="shared" si="78"/>
        <v/>
      </c>
      <c r="L348" s="290" t="str">
        <f t="shared" si="78"/>
        <v/>
      </c>
      <c r="M348" s="460" t="str">
        <f t="shared" si="78"/>
        <v/>
      </c>
      <c r="O348" s="641" t="s">
        <v>564</v>
      </c>
      <c r="P348" s="440" t="str">
        <f>IF(X321="","",AVERAGE(X321:X326))</f>
        <v/>
      </c>
      <c r="Q348" s="430" t="str">
        <f>IF(Y321="","",AVERAGE(Y321:Y325))</f>
        <v/>
      </c>
      <c r="R348" s="430" t="str">
        <f>IF(OR(P348="",Q348=""),"",((P348-Q348)/($P$346-$Q$346)))</f>
        <v/>
      </c>
      <c r="S348" s="430" t="str">
        <f>IF(X328="","",AVERAGE(X328:X333))</f>
        <v/>
      </c>
      <c r="T348" s="430" t="str">
        <f>IF(Y328="","",AVERAGE(Y328:Y332))</f>
        <v/>
      </c>
      <c r="U348" s="430" t="str">
        <f>IF(OR(S348="",T348=""),"",((S348-T348)/($S$346-$T$346)))</f>
        <v/>
      </c>
      <c r="V348" s="430" t="str">
        <f>IF(X335="","",AVERAGE(X335:X340))</f>
        <v/>
      </c>
      <c r="W348" s="430" t="str">
        <f>IF(Y335="","",AVERAGE(Y335:Y339))</f>
        <v/>
      </c>
      <c r="X348" s="647" t="str">
        <f>IF(OR(V348="",W348=""),"",((V348-W348)/($V$346-$W$346)))</f>
        <v/>
      </c>
      <c r="Y348" s="31"/>
    </row>
    <row r="349" spans="1:25" ht="14.1" customHeight="1" thickBot="1">
      <c r="A349" s="16">
        <v>61</v>
      </c>
      <c r="B349" s="66"/>
      <c r="C349" s="106"/>
      <c r="D349" s="440" t="str">
        <f t="shared" si="78"/>
        <v/>
      </c>
      <c r="E349" s="430" t="str">
        <f t="shared" si="78"/>
        <v/>
      </c>
      <c r="F349" s="430" t="str">
        <f t="shared" si="78"/>
        <v/>
      </c>
      <c r="G349" s="431" t="str">
        <f t="shared" si="78"/>
        <v/>
      </c>
      <c r="H349" s="445" t="str">
        <f t="shared" si="78"/>
        <v/>
      </c>
      <c r="I349" s="440" t="str">
        <f t="shared" si="78"/>
        <v/>
      </c>
      <c r="J349" s="430" t="str">
        <f t="shared" si="78"/>
        <v/>
      </c>
      <c r="K349" s="430" t="str">
        <f t="shared" si="78"/>
        <v/>
      </c>
      <c r="L349" s="431" t="str">
        <f t="shared" si="78"/>
        <v/>
      </c>
      <c r="M349" s="461" t="str">
        <f t="shared" si="78"/>
        <v/>
      </c>
      <c r="O349" s="29"/>
      <c r="P349" s="413" t="s">
        <v>578</v>
      </c>
      <c r="Q349" s="426" t="str">
        <f>IF(OR(R345="",R347=""),"",AVERAGE(R345,R347))</f>
        <v/>
      </c>
      <c r="R349" s="660" t="str">
        <f>IF(Q349="","",IF(AND(Q349&gt;=0,Q349&lt;0.9),"Pass","Fail"))</f>
        <v/>
      </c>
      <c r="S349" s="413" t="s">
        <v>578</v>
      </c>
      <c r="T349" s="426" t="str">
        <f>IF(OR(U345="",U347=""),"",AVERAGE(U345,U347))</f>
        <v/>
      </c>
      <c r="U349" s="660" t="str">
        <f>IF(T349="","",IF(AND(T349&gt;=0,T349&lt;0.9),"Pass","Fail"))</f>
        <v/>
      </c>
      <c r="V349" s="413" t="s">
        <v>578</v>
      </c>
      <c r="W349" s="426" t="str">
        <f>IF(OR(X345="",X347=""),"",AVERAGE(X345,X347))</f>
        <v/>
      </c>
      <c r="X349" s="660" t="str">
        <f>IF(W349="","",IF(AND(W349&gt;=0,W349&lt;0.9),"Pass","Fail"))</f>
        <v/>
      </c>
      <c r="Y349" s="31"/>
    </row>
    <row r="350" spans="1:25" ht="14.1" customHeight="1" thickBot="1">
      <c r="A350" s="16">
        <v>62</v>
      </c>
      <c r="B350" s="66"/>
      <c r="C350" s="160" t="s">
        <v>207</v>
      </c>
      <c r="D350" s="441" t="str">
        <f t="shared" si="78"/>
        <v/>
      </c>
      <c r="E350" s="432" t="str">
        <f t="shared" si="78"/>
        <v/>
      </c>
      <c r="F350" s="432" t="str">
        <f t="shared" si="78"/>
        <v/>
      </c>
      <c r="G350" s="433" t="str">
        <f t="shared" si="78"/>
        <v/>
      </c>
      <c r="H350" s="443" t="str">
        <f t="shared" si="78"/>
        <v/>
      </c>
      <c r="I350" s="441" t="str">
        <f t="shared" si="78"/>
        <v/>
      </c>
      <c r="J350" s="432" t="str">
        <f t="shared" si="78"/>
        <v/>
      </c>
      <c r="K350" s="432" t="str">
        <f t="shared" si="78"/>
        <v/>
      </c>
      <c r="L350" s="433" t="str">
        <f t="shared" si="78"/>
        <v/>
      </c>
      <c r="M350" s="462" t="str">
        <f t="shared" si="78"/>
        <v/>
      </c>
      <c r="O350" s="29"/>
      <c r="P350" s="415" t="s">
        <v>579</v>
      </c>
      <c r="Q350" s="430" t="str">
        <f>IF(OR(R344="",R348=""),"",AVERAGE(R344,R348))</f>
        <v/>
      </c>
      <c r="R350" s="380" t="str">
        <f>IF(Q350="","",IF(AND(Q350&gt;=0,Q350&lt;0.6),"Pass","Fail"))</f>
        <v/>
      </c>
      <c r="S350" s="415" t="s">
        <v>579</v>
      </c>
      <c r="T350" s="430" t="str">
        <f>IF(OR(U344="",U348=""),"",AVERAGE(U344,U348))</f>
        <v/>
      </c>
      <c r="U350" s="380" t="str">
        <f>IF(T350="","",IF(AND(T350&gt;=0,T350&lt;0.6),"Pass","Fail"))</f>
        <v/>
      </c>
      <c r="V350" s="415" t="s">
        <v>579</v>
      </c>
      <c r="W350" s="430" t="str">
        <f>IF(OR(X344="",X348=""),"",AVERAGE(X344,X348))</f>
        <v/>
      </c>
      <c r="X350" s="380" t="str">
        <f>IF(W350="","",IF(AND(W350&gt;=0,W350&lt;0.6),"Pass","Fail"))</f>
        <v/>
      </c>
      <c r="Y350" s="31"/>
    </row>
    <row r="351" spans="1:25" ht="14.1" customHeight="1">
      <c r="A351" s="16">
        <v>63</v>
      </c>
      <c r="B351" s="66"/>
      <c r="C351" s="160" t="s">
        <v>338</v>
      </c>
      <c r="D351" s="438" t="str">
        <f t="shared" si="78"/>
        <v/>
      </c>
      <c r="E351" s="296" t="str">
        <f t="shared" si="78"/>
        <v/>
      </c>
      <c r="F351" s="296" t="str">
        <f t="shared" si="78"/>
        <v/>
      </c>
      <c r="G351" s="290" t="str">
        <f t="shared" si="78"/>
        <v/>
      </c>
      <c r="H351" s="444" t="str">
        <f t="shared" si="78"/>
        <v/>
      </c>
      <c r="I351" s="438" t="str">
        <f t="shared" si="78"/>
        <v/>
      </c>
      <c r="J351" s="296" t="str">
        <f t="shared" si="78"/>
        <v/>
      </c>
      <c r="K351" s="296" t="str">
        <f t="shared" si="78"/>
        <v/>
      </c>
      <c r="L351" s="290" t="str">
        <f t="shared" si="78"/>
        <v/>
      </c>
      <c r="M351" s="460" t="str">
        <f t="shared" si="78"/>
        <v/>
      </c>
      <c r="O351" s="29" t="s">
        <v>318</v>
      </c>
      <c r="P351" s="413" t="s">
        <v>578</v>
      </c>
      <c r="Q351" s="787" t="str">
        <f>IF(AB133="","",AB133)</f>
        <v/>
      </c>
      <c r="R351" s="67"/>
      <c r="S351" s="413" t="s">
        <v>578</v>
      </c>
      <c r="T351" s="787" t="str">
        <f>IF(AB135="","",AB135)</f>
        <v/>
      </c>
      <c r="U351" s="67"/>
      <c r="V351" s="413" t="s">
        <v>578</v>
      </c>
      <c r="W351" s="787" t="str">
        <f>IF(AB137="","",AB137)</f>
        <v/>
      </c>
      <c r="X351" s="67"/>
      <c r="Y351" s="31"/>
    </row>
    <row r="352" spans="1:25" ht="14.1" customHeight="1" thickBot="1">
      <c r="A352" s="16">
        <v>64</v>
      </c>
      <c r="B352" s="66"/>
      <c r="C352" s="311" t="s">
        <v>271</v>
      </c>
      <c r="D352" s="402" t="str">
        <f>IF(P401="","",P401)</f>
        <v/>
      </c>
      <c r="E352" s="456"/>
      <c r="F352" s="403" t="str">
        <f>IF(R401="","",R401)</f>
        <v/>
      </c>
      <c r="G352" s="403" t="str">
        <f>IF(S401="","",S401)</f>
        <v/>
      </c>
      <c r="H352" s="455"/>
      <c r="I352" s="402" t="str">
        <f>IF(U401="","",U401)</f>
        <v/>
      </c>
      <c r="J352" s="456"/>
      <c r="K352" s="403" t="str">
        <f>IF(W401="","",W401)</f>
        <v/>
      </c>
      <c r="L352" s="403" t="str">
        <f>IF(X401="","",X401)</f>
        <v/>
      </c>
      <c r="M352" s="463"/>
      <c r="O352" s="29"/>
      <c r="P352" s="415" t="s">
        <v>579</v>
      </c>
      <c r="Q352" s="788" t="str">
        <f>IF(AB134="","",AB134)</f>
        <v/>
      </c>
      <c r="R352" s="67"/>
      <c r="S352" s="415" t="s">
        <v>579</v>
      </c>
      <c r="T352" s="788" t="str">
        <f>IF(AB136="","",AB136)</f>
        <v/>
      </c>
      <c r="U352" s="67"/>
      <c r="V352" s="415" t="s">
        <v>579</v>
      </c>
      <c r="W352" s="788" t="str">
        <f>IF(AB138="","",AB138)</f>
        <v/>
      </c>
      <c r="X352" s="67"/>
      <c r="Y352" s="31"/>
    </row>
    <row r="353" spans="1:25" ht="14.1" customHeight="1" thickBot="1">
      <c r="A353" s="16">
        <v>65</v>
      </c>
      <c r="B353" s="66"/>
      <c r="C353" s="160"/>
      <c r="D353" s="326"/>
      <c r="E353" s="326"/>
      <c r="F353" s="326"/>
      <c r="G353" s="454" t="s">
        <v>776</v>
      </c>
      <c r="H353" s="369" t="str">
        <f>IF(H350="","",IF(H350&gt;2.7,"Pass","Fail"))</f>
        <v/>
      </c>
      <c r="I353" s="67"/>
      <c r="J353" s="67"/>
      <c r="K353" s="67"/>
      <c r="L353" s="160" t="s">
        <v>776</v>
      </c>
      <c r="M353" s="464" t="str">
        <f>IF(M350="","",IF(M350&gt;2.7,"Pass","Fail"))</f>
        <v/>
      </c>
      <c r="O353" s="29"/>
      <c r="P353" s="3" t="s">
        <v>201</v>
      </c>
      <c r="Q353" s="190" t="s">
        <v>584</v>
      </c>
      <c r="R353" s="67"/>
      <c r="S353" s="67"/>
      <c r="T353" s="67"/>
      <c r="U353" s="67"/>
      <c r="V353" s="67"/>
      <c r="W353" s="67"/>
      <c r="X353" s="67"/>
      <c r="Y353" s="31"/>
    </row>
    <row r="354" spans="1:25" ht="14.1" customHeight="1" thickBot="1">
      <c r="A354" s="16">
        <v>66</v>
      </c>
      <c r="B354" s="66"/>
      <c r="C354" s="160"/>
      <c r="D354" s="67"/>
      <c r="E354" s="67"/>
      <c r="F354" s="106"/>
      <c r="G354" s="106"/>
      <c r="H354" s="67"/>
      <c r="I354" s="67"/>
      <c r="J354" s="67"/>
      <c r="K354" s="67"/>
      <c r="L354" s="67"/>
      <c r="M354" s="68"/>
      <c r="O354" s="39"/>
      <c r="P354" s="40"/>
      <c r="Q354" s="40"/>
      <c r="R354" s="40"/>
      <c r="S354" s="40"/>
      <c r="T354" s="40"/>
      <c r="U354" s="40"/>
      <c r="V354" s="40"/>
      <c r="W354" s="40"/>
      <c r="X354" s="40"/>
      <c r="Y354" s="41"/>
    </row>
    <row r="355" spans="1:25" ht="14.1" customHeight="1" thickBot="1">
      <c r="A355" s="16">
        <v>67</v>
      </c>
      <c r="B355" s="66"/>
      <c r="C355" s="67"/>
      <c r="D355" s="3" t="s">
        <v>201</v>
      </c>
      <c r="E355" s="190" t="s">
        <v>341</v>
      </c>
      <c r="F355" s="67"/>
      <c r="G355" s="67"/>
      <c r="H355" s="67"/>
      <c r="I355" s="67"/>
      <c r="J355" s="67"/>
      <c r="K355" s="67"/>
      <c r="L355" s="67"/>
      <c r="M355" s="68"/>
      <c r="O355" s="135" t="s">
        <v>581</v>
      </c>
      <c r="P355" s="22"/>
      <c r="Q355" s="22"/>
      <c r="R355" s="22"/>
      <c r="S355" s="22"/>
      <c r="T355" s="22"/>
      <c r="U355" s="22"/>
      <c r="V355" s="22"/>
      <c r="W355" s="22"/>
      <c r="X355" s="22"/>
      <c r="Y355" s="23"/>
    </row>
    <row r="356" spans="1:25" ht="14.1" customHeight="1">
      <c r="A356" s="16">
        <v>68</v>
      </c>
      <c r="B356" s="66"/>
      <c r="C356" s="67"/>
      <c r="D356" s="67"/>
      <c r="E356" s="190" t="s">
        <v>775</v>
      </c>
      <c r="F356" s="67"/>
      <c r="G356" s="67"/>
      <c r="H356" s="67"/>
      <c r="I356" s="67"/>
      <c r="J356" s="67"/>
      <c r="K356" s="67"/>
      <c r="L356" s="67"/>
      <c r="M356" s="68"/>
      <c r="O356" s="29"/>
      <c r="P356" s="658" t="s">
        <v>582</v>
      </c>
      <c r="Q356" s="660" t="s">
        <v>583</v>
      </c>
      <c r="R356"/>
      <c r="S356" s="67" t="s">
        <v>318</v>
      </c>
      <c r="T356" s="658" t="s">
        <v>582</v>
      </c>
      <c r="U356" s="660" t="s">
        <v>583</v>
      </c>
      <c r="W356"/>
      <c r="X356"/>
      <c r="Y356" s="643"/>
    </row>
    <row r="357" spans="1:25" ht="14.1" customHeight="1">
      <c r="A357" s="16">
        <v>69</v>
      </c>
      <c r="B357" s="66"/>
      <c r="C357" s="67"/>
      <c r="D357" s="67"/>
      <c r="E357" s="190"/>
      <c r="F357" s="67"/>
      <c r="G357" s="67"/>
      <c r="H357" s="67"/>
      <c r="I357" s="67"/>
      <c r="J357" s="67"/>
      <c r="K357" s="67"/>
      <c r="L357" s="67"/>
      <c r="M357" s="68"/>
      <c r="O357" s="159" t="s">
        <v>185</v>
      </c>
      <c r="P357" s="648"/>
      <c r="Q357" s="649"/>
      <c r="R357"/>
      <c r="S357" s="160" t="s">
        <v>185</v>
      </c>
      <c r="T357" s="704" t="str">
        <f>IF(AB140="","",AB140)</f>
        <v/>
      </c>
      <c r="U357" s="705" t="str">
        <f>IF(AB144="","",AB144)</f>
        <v/>
      </c>
      <c r="W357"/>
      <c r="X357"/>
      <c r="Y357" s="643"/>
    </row>
    <row r="358" spans="1:25" ht="14.1" customHeight="1" thickBot="1">
      <c r="A358" s="16">
        <v>70</v>
      </c>
      <c r="B358" s="79"/>
      <c r="C358" s="80"/>
      <c r="D358" s="80"/>
      <c r="E358" s="80"/>
      <c r="F358" s="80"/>
      <c r="G358" s="80"/>
      <c r="H358" s="80"/>
      <c r="I358" s="80"/>
      <c r="J358" s="80"/>
      <c r="K358" s="80"/>
      <c r="L358" s="80"/>
      <c r="M358" s="81"/>
      <c r="O358" s="159" t="s">
        <v>187</v>
      </c>
      <c r="P358" s="648"/>
      <c r="Q358" s="649"/>
      <c r="R358"/>
      <c r="S358" s="160" t="s">
        <v>187</v>
      </c>
      <c r="T358" s="704" t="str">
        <f>IF(AB141="","",AB141)</f>
        <v/>
      </c>
      <c r="U358" s="705" t="str">
        <f>IF(AB145="","",AB145)</f>
        <v/>
      </c>
      <c r="W358"/>
      <c r="X358"/>
      <c r="Y358" s="643"/>
    </row>
    <row r="359" spans="1:25" ht="14.1" customHeight="1" thickTop="1" thickBot="1">
      <c r="A359" s="16">
        <v>71</v>
      </c>
      <c r="C359" s="108" t="s">
        <v>10</v>
      </c>
      <c r="D359" s="367" t="str">
        <f>IF($P$7="","",$P$7)</f>
        <v/>
      </c>
      <c r="E359" s="26"/>
      <c r="F359" s="26"/>
      <c r="G359" s="26"/>
      <c r="H359" s="26"/>
      <c r="I359" s="26"/>
      <c r="J359" s="26"/>
      <c r="K359" s="26"/>
      <c r="L359" s="108" t="s">
        <v>11</v>
      </c>
      <c r="M359" s="368" t="str">
        <f>IF($X$7="","",$X$7)</f>
        <v>Eugene Mah</v>
      </c>
      <c r="O359" s="159" t="s">
        <v>189</v>
      </c>
      <c r="P359" s="648"/>
      <c r="Q359" s="649"/>
      <c r="R359"/>
      <c r="S359" s="160" t="s">
        <v>189</v>
      </c>
      <c r="T359" s="706" t="str">
        <f>IF(AB142="","",AB142)</f>
        <v/>
      </c>
      <c r="U359" s="707" t="str">
        <f>IF(AB146="","",AB146)</f>
        <v/>
      </c>
      <c r="W359"/>
      <c r="X359"/>
      <c r="Y359" s="643"/>
    </row>
    <row r="360" spans="1:25" ht="14.1" customHeight="1" thickBot="1">
      <c r="A360" s="16">
        <v>72</v>
      </c>
      <c r="C360" s="108" t="s">
        <v>119</v>
      </c>
      <c r="D360" s="790" t="str">
        <f>IF($R$14="","",$R$14)</f>
        <v/>
      </c>
      <c r="E360" s="26"/>
      <c r="F360" s="26"/>
      <c r="G360" s="26"/>
      <c r="H360" s="26"/>
      <c r="I360" s="26"/>
      <c r="J360" s="26"/>
      <c r="K360" s="26"/>
      <c r="L360" s="108" t="s">
        <v>36</v>
      </c>
      <c r="M360" s="790" t="str">
        <f>IF($R$13="","",$R$13)</f>
        <v/>
      </c>
      <c r="O360" s="159" t="s">
        <v>215</v>
      </c>
      <c r="P360" s="379" t="str">
        <f>IF(OR(P357="",P358="",P359=""),"",IF(AND(P357&gt;=4,P358&gt;=3,P359&gt;=3),"Pass","Fail"))</f>
        <v/>
      </c>
      <c r="Q360" s="380" t="str">
        <f t="shared" ref="Q360" si="79">IF(OR(Q357="",Q358="",Q359=""),"",IF(AND(Q357&gt;=4,Q358&gt;=3,Q359&gt;=3),"Pass","Fail"))</f>
        <v/>
      </c>
      <c r="R360"/>
      <c r="T360" s="67"/>
      <c r="U360" s="642"/>
      <c r="V360" s="642"/>
      <c r="W360" s="642"/>
      <c r="X360" s="642"/>
      <c r="Y360" s="643"/>
    </row>
    <row r="361" spans="1:25" ht="14.1" customHeight="1">
      <c r="A361" s="16">
        <v>1</v>
      </c>
      <c r="B361" s="67"/>
      <c r="C361" s="67"/>
      <c r="D361" s="67"/>
      <c r="E361" s="67"/>
      <c r="F361" s="67"/>
      <c r="G361" s="67"/>
      <c r="H361" s="67"/>
      <c r="I361" s="67"/>
      <c r="J361" s="67"/>
      <c r="K361" s="67"/>
      <c r="L361" s="67"/>
      <c r="M361" s="521" t="str">
        <f>$H$2</f>
        <v>Medical University of South Carolina</v>
      </c>
      <c r="O361" s="29"/>
      <c r="P361" s="3" t="s">
        <v>201</v>
      </c>
      <c r="Q361" s="190" t="s">
        <v>585</v>
      </c>
      <c r="R361" s="67"/>
      <c r="S361" s="67"/>
      <c r="T361" s="67"/>
      <c r="U361" s="67"/>
      <c r="V361" s="67"/>
      <c r="W361" s="67"/>
      <c r="X361" s="67"/>
      <c r="Y361" s="31"/>
    </row>
    <row r="362" spans="1:25" ht="14.1" customHeight="1" thickBot="1">
      <c r="A362" s="16">
        <v>2</v>
      </c>
      <c r="B362" s="80"/>
      <c r="C362" s="80"/>
      <c r="D362" s="80"/>
      <c r="E362" s="80"/>
      <c r="F362" s="80"/>
      <c r="G362" s="80"/>
      <c r="H362" s="522" t="s">
        <v>71</v>
      </c>
      <c r="I362" s="80"/>
      <c r="J362" s="80"/>
      <c r="K362" s="80"/>
      <c r="L362" s="80"/>
      <c r="M362" s="523" t="str">
        <f>$H$5</f>
        <v>Mammography System Compliance Inspection</v>
      </c>
      <c r="O362" s="95"/>
      <c r="P362" s="67" t="s">
        <v>711</v>
      </c>
      <c r="Q362" s="67"/>
      <c r="R362" s="67"/>
      <c r="S362" s="67"/>
      <c r="T362" s="67"/>
      <c r="U362" s="67"/>
      <c r="V362" s="67"/>
      <c r="W362" s="67"/>
      <c r="X362" s="67"/>
      <c r="Y362" s="31"/>
    </row>
    <row r="363" spans="1:25" ht="14.1" customHeight="1" thickTop="1">
      <c r="A363" s="16">
        <v>3</v>
      </c>
      <c r="B363" s="66"/>
      <c r="C363" s="144" t="s">
        <v>342</v>
      </c>
      <c r="D363" s="67"/>
      <c r="E363" s="67"/>
      <c r="F363" s="67"/>
      <c r="G363" s="67"/>
      <c r="H363" s="67"/>
      <c r="I363" s="67"/>
      <c r="J363" s="67"/>
      <c r="K363" s="67"/>
      <c r="L363" s="67"/>
      <c r="M363" s="68"/>
      <c r="O363" s="95"/>
      <c r="P363" s="67" t="s">
        <v>712</v>
      </c>
      <c r="Q363" s="67"/>
      <c r="R363" s="67"/>
      <c r="S363" s="67"/>
      <c r="T363" s="67"/>
      <c r="U363" s="67"/>
      <c r="V363" s="67"/>
      <c r="W363" s="67"/>
      <c r="X363" s="67"/>
      <c r="Y363" s="31"/>
    </row>
    <row r="364" spans="1:25" ht="14.1" customHeight="1">
      <c r="A364" s="16">
        <v>4</v>
      </c>
      <c r="B364" s="66"/>
      <c r="C364" s="160" t="s">
        <v>50</v>
      </c>
      <c r="D364" s="138" t="str">
        <f>IF(Q407="","",Q407)</f>
        <v>/</v>
      </c>
      <c r="E364" s="160" t="s">
        <v>52</v>
      </c>
      <c r="F364" s="138">
        <f>IF(S407="","",S407)</f>
        <v>28</v>
      </c>
      <c r="G364" s="67"/>
      <c r="H364" s="67"/>
      <c r="I364" s="67"/>
      <c r="J364" s="67"/>
      <c r="K364" s="67"/>
      <c r="L364" s="67"/>
      <c r="M364" s="68"/>
      <c r="O364" s="95"/>
      <c r="P364" s="67" t="s">
        <v>710</v>
      </c>
      <c r="Q364" s="67"/>
      <c r="R364" s="67"/>
      <c r="S364" s="67"/>
      <c r="T364" s="67"/>
      <c r="U364" s="67"/>
      <c r="V364" s="67"/>
      <c r="W364" s="67"/>
      <c r="X364" s="67"/>
      <c r="Y364" s="31"/>
    </row>
    <row r="365" spans="1:25" ht="14.1" customHeight="1" thickBot="1">
      <c r="A365" s="16">
        <v>5</v>
      </c>
      <c r="B365" s="66"/>
      <c r="C365" s="67"/>
      <c r="D365" s="106"/>
      <c r="E365" s="67"/>
      <c r="F365" s="67"/>
      <c r="G365" s="67"/>
      <c r="H365" s="67"/>
      <c r="I365" s="67"/>
      <c r="J365" s="67"/>
      <c r="K365" s="67"/>
      <c r="L365" s="67"/>
      <c r="M365" s="68"/>
      <c r="O365" s="39"/>
      <c r="P365" s="189"/>
      <c r="Q365" s="189"/>
      <c r="R365" s="40"/>
      <c r="S365" s="40"/>
      <c r="T365" s="189"/>
      <c r="U365" s="189"/>
      <c r="V365" s="40"/>
      <c r="W365" s="257"/>
      <c r="X365" s="40"/>
      <c r="Y365" s="41"/>
    </row>
    <row r="366" spans="1:25" ht="14.1" customHeight="1" thickBot="1">
      <c r="A366" s="16">
        <v>6</v>
      </c>
      <c r="B366" s="66"/>
      <c r="C366" s="265" t="s">
        <v>346</v>
      </c>
      <c r="D366" s="265" t="s">
        <v>24</v>
      </c>
      <c r="E366" s="265" t="s">
        <v>339</v>
      </c>
      <c r="F366" s="265" t="s">
        <v>332</v>
      </c>
      <c r="G366" s="265" t="s">
        <v>333</v>
      </c>
      <c r="H366" s="67"/>
      <c r="I366" s="369" t="str">
        <f>IF(F371="","",IF(F371&lt;=0.1,"Pass","Fail"))</f>
        <v/>
      </c>
      <c r="J366" s="67" t="s">
        <v>519</v>
      </c>
      <c r="K366" s="67"/>
      <c r="L366" s="67"/>
      <c r="M366" s="68"/>
      <c r="O366" s="135" t="s">
        <v>325</v>
      </c>
      <c r="P366" s="226"/>
      <c r="Q366" s="226"/>
      <c r="R366" s="22"/>
      <c r="S366" s="22"/>
      <c r="T366" s="226"/>
      <c r="U366" s="226"/>
      <c r="V366" s="22"/>
      <c r="W366" s="22"/>
      <c r="X366" s="22"/>
      <c r="Y366" s="23"/>
    </row>
    <row r="367" spans="1:25" ht="14.1" customHeight="1" thickBot="1">
      <c r="A367" s="16">
        <v>7</v>
      </c>
      <c r="B367" s="66"/>
      <c r="C367" s="10">
        <f t="shared" ref="C367:D370" si="80">IF(P409="","",P409)</f>
        <v>20</v>
      </c>
      <c r="D367" s="11" t="str">
        <f t="shared" si="80"/>
        <v/>
      </c>
      <c r="E367" s="11" t="str">
        <f t="shared" ref="E367:G370" si="81">IF(S409="","",S409)</f>
        <v/>
      </c>
      <c r="F367" s="12" t="str">
        <f t="shared" si="81"/>
        <v/>
      </c>
      <c r="G367" s="11" t="str">
        <f t="shared" si="81"/>
        <v/>
      </c>
      <c r="H367" s="67"/>
      <c r="I367" s="369" t="str">
        <f>IF(O415=3,"NA",IF(O415=1,"Pass","Fail"))</f>
        <v>NA</v>
      </c>
      <c r="J367" s="67" t="s">
        <v>520</v>
      </c>
      <c r="K367" s="67"/>
      <c r="L367" s="67"/>
      <c r="M367" s="68"/>
      <c r="O367" s="29" t="s">
        <v>327</v>
      </c>
      <c r="P367" s="136" t="s">
        <v>767</v>
      </c>
      <c r="R367" s="34" t="s">
        <v>328</v>
      </c>
      <c r="S367" s="260"/>
      <c r="Y367" s="31"/>
    </row>
    <row r="368" spans="1:25" ht="14.1" customHeight="1" thickBot="1">
      <c r="A368" s="16">
        <v>8</v>
      </c>
      <c r="B368" s="66"/>
      <c r="C368" s="10">
        <f t="shared" si="80"/>
        <v>50</v>
      </c>
      <c r="D368" s="11" t="str">
        <f t="shared" si="80"/>
        <v/>
      </c>
      <c r="E368" s="11" t="str">
        <f t="shared" si="81"/>
        <v/>
      </c>
      <c r="F368" s="12" t="str">
        <f t="shared" si="81"/>
        <v/>
      </c>
      <c r="G368" s="11" t="str">
        <f t="shared" si="81"/>
        <v/>
      </c>
      <c r="H368" s="67"/>
      <c r="I368" s="369" t="str">
        <f>IF(O416=3,"NA",IF(O416=2,"Fail",IF(O416=1,"Pass","NA")))</f>
        <v>NA</v>
      </c>
      <c r="J368" s="866" t="s">
        <v>782</v>
      </c>
      <c r="K368" s="67"/>
      <c r="L368" s="67"/>
      <c r="M368" s="68"/>
      <c r="O368" s="29" t="s">
        <v>329</v>
      </c>
      <c r="P368" s="136"/>
      <c r="R368" s="34" t="s">
        <v>330</v>
      </c>
      <c r="S368" s="260"/>
      <c r="Y368" s="31"/>
    </row>
    <row r="369" spans="1:25" ht="14.1" customHeight="1">
      <c r="A369" s="16">
        <v>9</v>
      </c>
      <c r="B369" s="66"/>
      <c r="C369" s="10">
        <f t="shared" si="80"/>
        <v>100</v>
      </c>
      <c r="D369" s="11" t="str">
        <f t="shared" si="80"/>
        <v/>
      </c>
      <c r="E369" s="11" t="str">
        <f t="shared" si="81"/>
        <v/>
      </c>
      <c r="F369" s="12" t="str">
        <f t="shared" si="81"/>
        <v/>
      </c>
      <c r="G369" s="11" t="str">
        <f t="shared" si="81"/>
        <v/>
      </c>
      <c r="H369" s="67"/>
      <c r="I369" s="67"/>
      <c r="J369" s="67"/>
      <c r="K369" s="67"/>
      <c r="L369" s="67"/>
      <c r="M369" s="68"/>
      <c r="O369" s="29"/>
      <c r="S369" s="941" t="s">
        <v>331</v>
      </c>
      <c r="T369" s="941"/>
      <c r="U369" s="941"/>
      <c r="V369" s="941"/>
      <c r="W369" s="941"/>
      <c r="Y369" s="31"/>
    </row>
    <row r="370" spans="1:25" ht="14.1" customHeight="1" thickBot="1">
      <c r="A370" s="16">
        <v>10</v>
      </c>
      <c r="B370" s="66"/>
      <c r="C370" s="10">
        <f t="shared" si="80"/>
        <v>320</v>
      </c>
      <c r="D370" s="11" t="str">
        <f t="shared" si="80"/>
        <v/>
      </c>
      <c r="E370" s="11" t="str">
        <f t="shared" si="81"/>
        <v/>
      </c>
      <c r="F370" s="12" t="str">
        <f t="shared" si="81"/>
        <v/>
      </c>
      <c r="G370" s="11" t="str">
        <f t="shared" si="81"/>
        <v/>
      </c>
      <c r="H370" s="67"/>
      <c r="I370" s="67"/>
      <c r="J370" s="67"/>
      <c r="K370" s="67"/>
      <c r="L370" s="67"/>
      <c r="M370" s="68"/>
      <c r="O370" s="29"/>
      <c r="P370" s="20" t="s">
        <v>69</v>
      </c>
      <c r="Q370" s="684" t="s">
        <v>266</v>
      </c>
      <c r="R370" s="684" t="s">
        <v>70</v>
      </c>
      <c r="S370" s="684" t="s">
        <v>24</v>
      </c>
      <c r="T370" s="684" t="s">
        <v>25</v>
      </c>
      <c r="U370" s="684" t="s">
        <v>26</v>
      </c>
      <c r="V370" s="684" t="s">
        <v>332</v>
      </c>
      <c r="W370" s="684" t="s">
        <v>333</v>
      </c>
      <c r="X370" s="684" t="s">
        <v>491</v>
      </c>
      <c r="Y370" s="31"/>
    </row>
    <row r="371" spans="1:25" ht="14.1" customHeight="1" thickBot="1">
      <c r="A371" s="16">
        <v>11</v>
      </c>
      <c r="B371" s="66"/>
      <c r="C371" s="67"/>
      <c r="D371" s="67"/>
      <c r="E371" s="160" t="s">
        <v>343</v>
      </c>
      <c r="F371" s="269" t="str">
        <f>IF(T413="","",T413)</f>
        <v/>
      </c>
      <c r="G371" s="67"/>
      <c r="H371" s="67"/>
      <c r="I371" s="67"/>
      <c r="J371" s="67"/>
      <c r="K371" s="67"/>
      <c r="L371" s="67"/>
      <c r="M371" s="68"/>
      <c r="O371" s="29"/>
      <c r="P371" s="948" t="str">
        <f>AK10&amp;"/"&amp;AL10</f>
        <v>/</v>
      </c>
      <c r="Q371" s="300">
        <f>AH10</f>
        <v>24</v>
      </c>
      <c r="R371" s="10">
        <f>AI10</f>
        <v>50</v>
      </c>
      <c r="S371" s="11" t="str">
        <f>IF(AM10="","",AVERAGE(AM10,AM11))</f>
        <v/>
      </c>
      <c r="T371" s="11" t="str">
        <f>IF(AN10="","",AN10)</f>
        <v/>
      </c>
      <c r="U371" s="11" t="str">
        <f>IF(AO10="","",AO10)</f>
        <v/>
      </c>
      <c r="V371" s="12" t="str">
        <f>IF(U371="","",U371/R371)</f>
        <v/>
      </c>
      <c r="W371" s="13" t="str">
        <f>IF(U371="","",U371/(T371/1000))</f>
        <v/>
      </c>
      <c r="X371" s="14" t="str">
        <f>IF(S371="","",(S371-Q371)/Q371)</f>
        <v/>
      </c>
      <c r="Y371" s="31"/>
    </row>
    <row r="372" spans="1:25" ht="14.1" customHeight="1">
      <c r="A372" s="16">
        <v>12</v>
      </c>
      <c r="B372" s="66"/>
      <c r="C372" s="67"/>
      <c r="D372" s="3" t="s">
        <v>201</v>
      </c>
      <c r="E372" s="190" t="s">
        <v>344</v>
      </c>
      <c r="F372" s="67"/>
      <c r="G372" s="67"/>
      <c r="H372" s="67"/>
      <c r="I372" s="67"/>
      <c r="J372" s="67"/>
      <c r="K372" s="67"/>
      <c r="L372" s="67"/>
      <c r="M372" s="68"/>
      <c r="O372" s="29"/>
      <c r="P372" s="949"/>
      <c r="Q372" s="301">
        <f>AH12</f>
        <v>25</v>
      </c>
      <c r="R372" s="10">
        <f>AI12</f>
        <v>50</v>
      </c>
      <c r="S372" s="11" t="str">
        <f>IF(AM12="","",AVERAGE(AM12,AM13))</f>
        <v/>
      </c>
      <c r="T372" s="11" t="str">
        <f>IF(AN12="","",AN12)</f>
        <v/>
      </c>
      <c r="U372" s="11" t="str">
        <f>IF(AO12="","",AO12)</f>
        <v/>
      </c>
      <c r="V372" s="12" t="str">
        <f t="shared" ref="V372:V376" si="82">IF(U372="","",U372/R372)</f>
        <v/>
      </c>
      <c r="W372" s="11" t="str">
        <f t="shared" ref="W372:W376" si="83">IF(U372="","",U372/(T372/1000))</f>
        <v/>
      </c>
      <c r="X372" s="14" t="str">
        <f t="shared" ref="X372:X376" si="84">IF(S372="","",(S372-Q372)/Q372)</f>
        <v/>
      </c>
      <c r="Y372" s="31"/>
    </row>
    <row r="373" spans="1:25" ht="14.1" customHeight="1" thickBot="1">
      <c r="A373" s="16">
        <v>13</v>
      </c>
      <c r="B373" s="66"/>
      <c r="C373" s="144" t="s">
        <v>347</v>
      </c>
      <c r="D373" s="67"/>
      <c r="E373" s="67"/>
      <c r="F373" s="67"/>
      <c r="G373" s="67"/>
      <c r="H373" s="67"/>
      <c r="I373" s="67"/>
      <c r="J373" s="67"/>
      <c r="K373" s="67"/>
      <c r="L373" s="67"/>
      <c r="M373" s="68"/>
      <c r="O373" s="29"/>
      <c r="P373" s="949"/>
      <c r="Q373" s="300">
        <f>AH14</f>
        <v>26</v>
      </c>
      <c r="R373" s="10">
        <f>AI14</f>
        <v>50</v>
      </c>
      <c r="S373" s="11" t="str">
        <f>IF(AM14="","",AM14)</f>
        <v/>
      </c>
      <c r="T373" s="11" t="str">
        <f>IF(AN14="","",AN14)</f>
        <v/>
      </c>
      <c r="U373" s="11" t="str">
        <f>IF(AO14="","",AO14)</f>
        <v/>
      </c>
      <c r="V373" s="12" t="str">
        <f t="shared" si="82"/>
        <v/>
      </c>
      <c r="W373" s="11" t="str">
        <f t="shared" si="83"/>
        <v/>
      </c>
      <c r="X373" s="14" t="str">
        <f t="shared" si="84"/>
        <v/>
      </c>
      <c r="Y373" s="31"/>
    </row>
    <row r="374" spans="1:25" ht="14.1" customHeight="1">
      <c r="A374" s="16">
        <v>14</v>
      </c>
      <c r="B374" s="66"/>
      <c r="C374" s="651" t="s">
        <v>69</v>
      </c>
      <c r="D374" s="652" t="str">
        <f t="shared" ref="D374:F375" si="85">IF(Q418="","",Q418)</f>
        <v>/</v>
      </c>
      <c r="E374" s="652" t="str">
        <f t="shared" si="85"/>
        <v>/</v>
      </c>
      <c r="F374" s="653" t="str">
        <f t="shared" si="85"/>
        <v>/</v>
      </c>
      <c r="G374"/>
      <c r="H374"/>
      <c r="I374"/>
      <c r="J374"/>
      <c r="K374"/>
      <c r="L374"/>
      <c r="M374" s="68"/>
      <c r="O374" s="29"/>
      <c r="P374" s="949"/>
      <c r="Q374" s="300">
        <f>AH16</f>
        <v>28</v>
      </c>
      <c r="R374" s="10">
        <f>AI16</f>
        <v>50</v>
      </c>
      <c r="S374" s="11" t="str">
        <f>IF(AM16="","",AVERAGE(AM15:AM19))</f>
        <v/>
      </c>
      <c r="T374" s="11" t="str">
        <f>IF(AN16="","",AVERAGE(AN16:AN19))</f>
        <v/>
      </c>
      <c r="U374" s="11" t="str">
        <f>IF(AO16="","",AVERAGE(AO16:AO19))</f>
        <v/>
      </c>
      <c r="V374" s="12" t="str">
        <f t="shared" si="82"/>
        <v/>
      </c>
      <c r="W374" s="11" t="str">
        <f t="shared" si="83"/>
        <v/>
      </c>
      <c r="X374" s="14" t="str">
        <f t="shared" si="84"/>
        <v/>
      </c>
      <c r="Y374" s="31"/>
    </row>
    <row r="375" spans="1:25" ht="14.1" customHeight="1">
      <c r="A375" s="16">
        <v>15</v>
      </c>
      <c r="B375" s="66"/>
      <c r="C375" s="330" t="s">
        <v>24</v>
      </c>
      <c r="D375" s="328">
        <f t="shared" si="85"/>
        <v>28</v>
      </c>
      <c r="E375" s="328">
        <f t="shared" si="85"/>
        <v>28</v>
      </c>
      <c r="F375" s="349">
        <f t="shared" si="85"/>
        <v>28</v>
      </c>
      <c r="G375"/>
      <c r="H375"/>
      <c r="I375"/>
      <c r="J375"/>
      <c r="K375"/>
      <c r="L375"/>
      <c r="M375" s="68"/>
      <c r="O375" s="29"/>
      <c r="P375" s="949"/>
      <c r="Q375" s="300">
        <f>AH22</f>
        <v>30</v>
      </c>
      <c r="R375" s="10">
        <f>AI22</f>
        <v>50</v>
      </c>
      <c r="S375" s="11" t="str">
        <f>IF(AM22="","",AM22)</f>
        <v/>
      </c>
      <c r="T375" s="11" t="str">
        <f>IF(AN22="","",AN22)</f>
        <v/>
      </c>
      <c r="U375" s="11" t="str">
        <f>IF(AO22="","",AO22)</f>
        <v/>
      </c>
      <c r="V375" s="12" t="str">
        <f t="shared" si="82"/>
        <v/>
      </c>
      <c r="W375" s="11" t="str">
        <f t="shared" si="83"/>
        <v/>
      </c>
      <c r="X375" s="14" t="str">
        <f t="shared" si="84"/>
        <v/>
      </c>
      <c r="Y375" s="31"/>
    </row>
    <row r="376" spans="1:25" ht="14.1" customHeight="1">
      <c r="A376" s="16">
        <v>16</v>
      </c>
      <c r="B376" s="66"/>
      <c r="C376" s="414" t="s">
        <v>424</v>
      </c>
      <c r="D376" s="296" t="str">
        <f t="shared" ref="D376:F377" si="86">IF(Q423="","",Q423)</f>
        <v/>
      </c>
      <c r="E376" s="296" t="str">
        <f t="shared" si="86"/>
        <v/>
      </c>
      <c r="F376" s="439" t="str">
        <f t="shared" si="86"/>
        <v/>
      </c>
      <c r="G376"/>
      <c r="H376"/>
      <c r="I376"/>
      <c r="J376"/>
      <c r="K376"/>
      <c r="L376"/>
      <c r="M376" s="68"/>
      <c r="O376" s="29"/>
      <c r="P376" s="949"/>
      <c r="Q376" s="300">
        <f>AH23</f>
        <v>32</v>
      </c>
      <c r="R376" s="10">
        <f>AI23</f>
        <v>50</v>
      </c>
      <c r="S376" s="11" t="str">
        <f>IF(AM23="","",AVERAGE(AM23:AM24))</f>
        <v/>
      </c>
      <c r="T376" s="11" t="str">
        <f>IF(AN23="","",AN23)</f>
        <v/>
      </c>
      <c r="U376" s="11" t="str">
        <f>IF(AO23="","",AO23)</f>
        <v/>
      </c>
      <c r="V376" s="12" t="str">
        <f t="shared" si="82"/>
        <v/>
      </c>
      <c r="W376" s="11" t="str">
        <f t="shared" si="83"/>
        <v/>
      </c>
      <c r="X376" s="14" t="str">
        <f t="shared" si="84"/>
        <v/>
      </c>
      <c r="Y376" s="31"/>
    </row>
    <row r="377" spans="1:25" ht="14.1" customHeight="1">
      <c r="A377" s="16">
        <v>17</v>
      </c>
      <c r="B377" s="66"/>
      <c r="C377" s="414" t="s">
        <v>521</v>
      </c>
      <c r="D377" s="14" t="str">
        <f t="shared" si="86"/>
        <v/>
      </c>
      <c r="E377" s="14" t="str">
        <f t="shared" si="86"/>
        <v/>
      </c>
      <c r="F377" s="412" t="str">
        <f t="shared" si="86"/>
        <v/>
      </c>
      <c r="G377"/>
      <c r="H377"/>
      <c r="I377"/>
      <c r="J377"/>
      <c r="K377"/>
      <c r="L377"/>
      <c r="M377" s="68"/>
      <c r="O377" s="29"/>
      <c r="P377" s="950"/>
      <c r="Q377" s="300">
        <f>AH25</f>
        <v>34</v>
      </c>
      <c r="R377" s="10">
        <f>AI25</f>
        <v>50</v>
      </c>
      <c r="S377" s="11" t="str">
        <f>IF(AM25="","",AVERAGE(AM25:AM26))</f>
        <v/>
      </c>
      <c r="T377" s="11" t="str">
        <f>IF(AN25="","",AN25)</f>
        <v/>
      </c>
      <c r="U377" s="11" t="str">
        <f>IF(AO25="","",AO25)</f>
        <v/>
      </c>
      <c r="V377" s="12" t="str">
        <f t="shared" ref="V377" si="87">IF(U377="","",U377/R377)</f>
        <v/>
      </c>
      <c r="W377" s="11" t="str">
        <f t="shared" ref="W377" si="88">IF(U377="","",U377/(T377/1000))</f>
        <v/>
      </c>
      <c r="X377" s="14" t="str">
        <f t="shared" ref="X377" si="89">IF(S377="","",(S377-Q377)/Q377)</f>
        <v/>
      </c>
      <c r="Y377" s="31"/>
    </row>
    <row r="378" spans="1:25" ht="14.1" customHeight="1" thickBot="1">
      <c r="A378" s="16">
        <v>18</v>
      </c>
      <c r="B378" s="66"/>
      <c r="C378" s="617" t="s">
        <v>215</v>
      </c>
      <c r="D378" s="429" t="str">
        <f>Q425</f>
        <v/>
      </c>
      <c r="E378" s="429" t="str">
        <f>R425</f>
        <v/>
      </c>
      <c r="F378" s="380" t="str">
        <f>S425</f>
        <v/>
      </c>
      <c r="G378"/>
      <c r="H378"/>
      <c r="I378"/>
      <c r="J378"/>
      <c r="K378"/>
      <c r="L378"/>
      <c r="M378" s="68"/>
      <c r="O378" s="29"/>
      <c r="P378" s="942" t="str">
        <f>AK27&amp;"/"&amp;AL27</f>
        <v>/</v>
      </c>
      <c r="Q378" s="300">
        <f>AH27</f>
        <v>28</v>
      </c>
      <c r="R378" s="10">
        <f>AI27</f>
        <v>50</v>
      </c>
      <c r="S378" s="11" t="str">
        <f>IF(AM27="","",AVERAGE(AM27:AM28))</f>
        <v/>
      </c>
      <c r="T378" s="11" t="str">
        <f>IF(AN27="","",AN27)</f>
        <v/>
      </c>
      <c r="U378" s="11" t="str">
        <f>IF(AO27="","",AO27)</f>
        <v/>
      </c>
      <c r="V378" s="12" t="str">
        <f t="shared" ref="V378:V388" si="90">IF(U378="","",U378/R378)</f>
        <v/>
      </c>
      <c r="W378" s="11" t="str">
        <f t="shared" ref="W378:W388" si="91">IF(U378="","",U378/(T378/1000))</f>
        <v/>
      </c>
      <c r="X378" s="14" t="str">
        <f t="shared" ref="X378:X388" si="92">IF(S378="","",(S378-Q378)/Q378)</f>
        <v/>
      </c>
      <c r="Y378" s="31"/>
    </row>
    <row r="379" spans="1:25" ht="14.1" customHeight="1">
      <c r="A379" s="16">
        <v>19</v>
      </c>
      <c r="B379" s="66"/>
      <c r="C379"/>
      <c r="D379" s="3" t="s">
        <v>201</v>
      </c>
      <c r="E379" s="190" t="s">
        <v>609</v>
      </c>
      <c r="F379"/>
      <c r="G379"/>
      <c r="H379"/>
      <c r="I379"/>
      <c r="J379"/>
      <c r="K379"/>
      <c r="L379"/>
      <c r="M379" s="68"/>
      <c r="O379" s="159"/>
      <c r="P379" s="943"/>
      <c r="Q379" s="300">
        <f>AH29</f>
        <v>30</v>
      </c>
      <c r="R379" s="10">
        <f>AI29</f>
        <v>50</v>
      </c>
      <c r="S379" s="11" t="str">
        <f>IF(AM29="","",AVERAGE(AM29:AM30))</f>
        <v/>
      </c>
      <c r="T379" s="11" t="str">
        <f>IF(AN29="","",AN29)</f>
        <v/>
      </c>
      <c r="U379" s="11" t="str">
        <f>IF(AO29="","",AO29)</f>
        <v/>
      </c>
      <c r="V379" s="12" t="str">
        <f t="shared" si="90"/>
        <v/>
      </c>
      <c r="W379" s="11" t="str">
        <f t="shared" si="91"/>
        <v/>
      </c>
      <c r="X379" s="14" t="str">
        <f t="shared" si="92"/>
        <v/>
      </c>
      <c r="Y379" s="31"/>
    </row>
    <row r="380" spans="1:25" ht="14.1" customHeight="1">
      <c r="A380" s="16">
        <v>20</v>
      </c>
      <c r="B380" s="66"/>
      <c r="E380" s="26" t="s">
        <v>777</v>
      </c>
      <c r="M380" s="68"/>
      <c r="O380" s="29"/>
      <c r="P380" s="943"/>
      <c r="Q380" s="300">
        <f>AH31</f>
        <v>32</v>
      </c>
      <c r="R380" s="10">
        <f>AI31</f>
        <v>50</v>
      </c>
      <c r="S380" s="11" t="str">
        <f>IF(AM31="","",AVERAGE(AM31:AM32))</f>
        <v/>
      </c>
      <c r="T380" s="11" t="str">
        <f>IF(AN31="","",AN31)</f>
        <v/>
      </c>
      <c r="U380" s="11" t="str">
        <f>IF(AO31="","",AO31)</f>
        <v/>
      </c>
      <c r="V380" s="12" t="str">
        <f t="shared" si="90"/>
        <v/>
      </c>
      <c r="W380" s="11" t="str">
        <f t="shared" si="91"/>
        <v/>
      </c>
      <c r="X380" s="14" t="str">
        <f t="shared" si="92"/>
        <v/>
      </c>
      <c r="Y380" s="31"/>
    </row>
    <row r="381" spans="1:25" ht="14.1" customHeight="1">
      <c r="A381" s="16">
        <v>21</v>
      </c>
      <c r="B381" s="66"/>
      <c r="C381" s="144" t="s">
        <v>316</v>
      </c>
      <c r="D381" s="67"/>
      <c r="E381" s="67"/>
      <c r="F381" s="67"/>
      <c r="G381" s="67"/>
      <c r="H381" s="67"/>
      <c r="I381" s="67"/>
      <c r="J381" s="67"/>
      <c r="K381" s="67"/>
      <c r="L381" s="67"/>
      <c r="M381" s="68"/>
      <c r="O381" s="29"/>
      <c r="P381" s="943"/>
      <c r="Q381" s="300">
        <f>AH33</f>
        <v>34</v>
      </c>
      <c r="R381" s="10">
        <f>AI33</f>
        <v>50</v>
      </c>
      <c r="S381" s="11" t="str">
        <f>IF(AM33="","",AVERAGE(AM33:AM34))</f>
        <v/>
      </c>
      <c r="T381" s="11" t="str">
        <f>IF(AN33="","",AN33)</f>
        <v/>
      </c>
      <c r="U381" s="11" t="str">
        <f>IF(AO33="","",AO33)</f>
        <v/>
      </c>
      <c r="V381" s="12" t="str">
        <f t="shared" si="90"/>
        <v/>
      </c>
      <c r="W381" s="11" t="str">
        <f t="shared" si="91"/>
        <v/>
      </c>
      <c r="X381" s="14" t="str">
        <f t="shared" si="92"/>
        <v/>
      </c>
      <c r="Y381" s="31"/>
    </row>
    <row r="382" spans="1:25" ht="14.1" customHeight="1" thickBot="1">
      <c r="A382" s="16">
        <v>22</v>
      </c>
      <c r="B382" s="66"/>
      <c r="C382" s="67"/>
      <c r="D382" s="160" t="s">
        <v>171</v>
      </c>
      <c r="E382" s="138">
        <f>IF(Q459="","",Q459)</f>
        <v>28</v>
      </c>
      <c r="F382" s="67"/>
      <c r="G382" s="67"/>
      <c r="H382" s="661" t="s">
        <v>317</v>
      </c>
      <c r="I382" s="661" t="s">
        <v>318</v>
      </c>
      <c r="J382" s="661" t="s">
        <v>366</v>
      </c>
      <c r="K382" s="661" t="s">
        <v>287</v>
      </c>
      <c r="L382" s="661" t="s">
        <v>288</v>
      </c>
      <c r="M382" s="68"/>
      <c r="O382" s="29"/>
      <c r="P382" s="943"/>
      <c r="Q382" s="300">
        <f t="shared" ref="Q382:R384" si="93">AH35</f>
        <v>36</v>
      </c>
      <c r="R382" s="10">
        <f t="shared" si="93"/>
        <v>50</v>
      </c>
      <c r="S382" s="11" t="str">
        <f t="shared" ref="S382:U383" si="94">IF(AM35="","",AM35)</f>
        <v/>
      </c>
      <c r="T382" s="11" t="str">
        <f t="shared" si="94"/>
        <v/>
      </c>
      <c r="U382" s="11" t="str">
        <f t="shared" si="94"/>
        <v/>
      </c>
      <c r="V382" s="12" t="str">
        <f t="shared" si="90"/>
        <v/>
      </c>
      <c r="W382" s="11" t="str">
        <f t="shared" si="91"/>
        <v/>
      </c>
      <c r="X382" s="14" t="str">
        <f t="shared" si="92"/>
        <v/>
      </c>
      <c r="Y382" s="31"/>
    </row>
    <row r="383" spans="1:25" ht="14.1" customHeight="1" thickBot="1">
      <c r="A383" s="16">
        <v>23</v>
      </c>
      <c r="B383" s="66"/>
      <c r="C383" s="67"/>
      <c r="D383" s="160" t="s">
        <v>174</v>
      </c>
      <c r="E383" s="138">
        <f>IF(Q460="","",Q460)</f>
        <v>100</v>
      </c>
      <c r="F383" s="67"/>
      <c r="G383" s="160" t="s">
        <v>196</v>
      </c>
      <c r="H383" s="465" t="str">
        <f>IF(T463="","",T463)</f>
        <v/>
      </c>
      <c r="I383" s="779" t="str">
        <f>IF(U463="","",U463)</f>
        <v/>
      </c>
      <c r="J383" s="779" t="str">
        <f>IF(W463="","",W463)</f>
        <v/>
      </c>
      <c r="K383" s="467" t="str">
        <f>IF(V463="","",V463)</f>
        <v/>
      </c>
      <c r="L383" s="468" t="str">
        <f>IF(X463="","",X463)</f>
        <v/>
      </c>
      <c r="M383" s="68"/>
      <c r="O383" s="29"/>
      <c r="P383" s="944"/>
      <c r="Q383" s="300">
        <f t="shared" si="93"/>
        <v>38</v>
      </c>
      <c r="R383" s="10">
        <f t="shared" si="93"/>
        <v>50</v>
      </c>
      <c r="S383" s="11" t="str">
        <f t="shared" si="94"/>
        <v/>
      </c>
      <c r="T383" s="11" t="str">
        <f t="shared" si="94"/>
        <v/>
      </c>
      <c r="U383" s="11" t="str">
        <f t="shared" si="94"/>
        <v/>
      </c>
      <c r="V383" s="12" t="str">
        <f t="shared" si="90"/>
        <v/>
      </c>
      <c r="W383" s="11" t="str">
        <f t="shared" si="91"/>
        <v/>
      </c>
      <c r="X383" s="14" t="str">
        <f t="shared" si="92"/>
        <v/>
      </c>
      <c r="Y383" s="31"/>
    </row>
    <row r="384" spans="1:25" ht="14.1" customHeight="1" thickBot="1">
      <c r="A384" s="16">
        <v>24</v>
      </c>
      <c r="B384" s="66"/>
      <c r="C384" s="67"/>
      <c r="D384" s="160" t="s">
        <v>50</v>
      </c>
      <c r="E384" s="138" t="str">
        <f>IF(Q461="","",Q461)</f>
        <v/>
      </c>
      <c r="F384" s="67"/>
      <c r="G384" s="160" t="s">
        <v>197</v>
      </c>
      <c r="H384" s="466" t="str">
        <f>IF(T464="","",T464)</f>
        <v/>
      </c>
      <c r="I384" s="780" t="str">
        <f>IF(U464="","",U464)</f>
        <v/>
      </c>
      <c r="J384" s="780" t="str">
        <f>IF(W464="","",W464)</f>
        <v/>
      </c>
      <c r="K384" s="469" t="str">
        <f>IF(V464="","",V464)</f>
        <v/>
      </c>
      <c r="L384" s="425" t="str">
        <f>IF(X464="","",X464)</f>
        <v/>
      </c>
      <c r="M384" s="68"/>
      <c r="O384" s="29"/>
      <c r="P384" s="942" t="str">
        <f>AK37&amp;"/"&amp;AL37</f>
        <v>/</v>
      </c>
      <c r="Q384" s="301">
        <f t="shared" si="93"/>
        <v>28</v>
      </c>
      <c r="R384" s="10">
        <f t="shared" si="93"/>
        <v>50</v>
      </c>
      <c r="S384" s="11" t="str">
        <f>IF(AM37="","",AVERAGE(AM37:AM40))</f>
        <v/>
      </c>
      <c r="T384" s="11" t="str">
        <f>IF(AN37="","",AN37)</f>
        <v/>
      </c>
      <c r="U384" s="11" t="str">
        <f>IF(AO37="","",AO37)</f>
        <v/>
      </c>
      <c r="V384" s="12" t="str">
        <f t="shared" si="90"/>
        <v/>
      </c>
      <c r="W384" s="11" t="str">
        <f t="shared" si="91"/>
        <v/>
      </c>
      <c r="X384" s="14" t="str">
        <f t="shared" si="92"/>
        <v/>
      </c>
      <c r="Y384" s="31"/>
    </row>
    <row r="385" spans="1:25" ht="14.1" customHeight="1">
      <c r="A385" s="16">
        <v>25</v>
      </c>
      <c r="B385" s="66"/>
      <c r="C385" s="67"/>
      <c r="D385" s="160" t="s">
        <v>52</v>
      </c>
      <c r="E385" s="138" t="str">
        <f>IF(Q462="","",Q462)</f>
        <v/>
      </c>
      <c r="F385" s="67"/>
      <c r="G385" s="67"/>
      <c r="H385" s="67"/>
      <c r="I385" s="67"/>
      <c r="J385" s="67"/>
      <c r="K385" s="67"/>
      <c r="L385" s="67"/>
      <c r="M385" s="68"/>
      <c r="O385" s="29"/>
      <c r="P385" s="943"/>
      <c r="Q385" s="301">
        <f>AH41</f>
        <v>30</v>
      </c>
      <c r="R385" s="10">
        <f>AI41</f>
        <v>50</v>
      </c>
      <c r="S385" s="11" t="str">
        <f>IF(AM41="","",AVERAGE(AM41:AM42))</f>
        <v/>
      </c>
      <c r="T385" s="11" t="str">
        <f>IF(AN41="","",AN41)</f>
        <v/>
      </c>
      <c r="U385" s="11" t="str">
        <f>IF(AO41="","",AO41)</f>
        <v/>
      </c>
      <c r="V385" s="12" t="str">
        <f t="shared" si="90"/>
        <v/>
      </c>
      <c r="W385" s="11" t="str">
        <f t="shared" si="91"/>
        <v/>
      </c>
      <c r="X385" s="14" t="str">
        <f t="shared" si="92"/>
        <v/>
      </c>
      <c r="Y385" s="31"/>
    </row>
    <row r="386" spans="1:25" ht="14.1" customHeight="1">
      <c r="A386" s="16">
        <v>26</v>
      </c>
      <c r="B386" s="66"/>
      <c r="C386" s="67"/>
      <c r="D386" s="3" t="s">
        <v>201</v>
      </c>
      <c r="E386" s="190" t="s">
        <v>367</v>
      </c>
      <c r="F386" s="67"/>
      <c r="G386" s="67"/>
      <c r="H386" s="67"/>
      <c r="I386" s="67"/>
      <c r="J386" s="67"/>
      <c r="K386" s="67"/>
      <c r="L386" s="67"/>
      <c r="M386" s="68"/>
      <c r="O386" s="29"/>
      <c r="P386" s="943"/>
      <c r="Q386" s="300">
        <f>AH43</f>
        <v>32</v>
      </c>
      <c r="R386" s="10">
        <f>AI43</f>
        <v>50</v>
      </c>
      <c r="S386" s="11" t="str">
        <f>IF(AM43="","",AVERAGE(AM43:AM44))</f>
        <v/>
      </c>
      <c r="T386" s="11" t="str">
        <f>IF(AN43="","",AN43)</f>
        <v/>
      </c>
      <c r="U386" s="11" t="str">
        <f>IF(AO43="","",AO43)</f>
        <v/>
      </c>
      <c r="V386" s="12" t="str">
        <f t="shared" si="90"/>
        <v/>
      </c>
      <c r="W386" s="11" t="str">
        <f t="shared" si="91"/>
        <v/>
      </c>
      <c r="X386" s="14" t="str">
        <f t="shared" si="92"/>
        <v/>
      </c>
      <c r="Y386" s="31"/>
    </row>
    <row r="387" spans="1:25" ht="14.1" customHeight="1">
      <c r="A387" s="16">
        <v>27</v>
      </c>
      <c r="B387" s="66"/>
      <c r="C387" s="67"/>
      <c r="D387" s="67"/>
      <c r="E387" s="26" t="s">
        <v>368</v>
      </c>
      <c r="F387" s="67"/>
      <c r="G387" s="67"/>
      <c r="H387" s="67"/>
      <c r="I387" s="67"/>
      <c r="J387" s="67"/>
      <c r="K387" s="67"/>
      <c r="L387" s="67"/>
      <c r="M387" s="68"/>
      <c r="O387" s="29"/>
      <c r="P387" s="943"/>
      <c r="Q387" s="300">
        <f>AH45</f>
        <v>34</v>
      </c>
      <c r="R387" s="10">
        <f>AI45</f>
        <v>50</v>
      </c>
      <c r="S387" s="11" t="str">
        <f>IF(AM45="","",AVERAGE(AM45:AM46))</f>
        <v/>
      </c>
      <c r="T387" s="11" t="str">
        <f>IF(AN45="","",AN45)</f>
        <v/>
      </c>
      <c r="U387" s="11" t="str">
        <f>IF(AO45="","",AO45)</f>
        <v/>
      </c>
      <c r="V387" s="12" t="str">
        <f t="shared" si="90"/>
        <v/>
      </c>
      <c r="W387" s="11" t="str">
        <f t="shared" si="91"/>
        <v/>
      </c>
      <c r="X387" s="14" t="str">
        <f t="shared" si="92"/>
        <v/>
      </c>
      <c r="Y387" s="31"/>
    </row>
    <row r="388" spans="1:25" ht="14.1" customHeight="1">
      <c r="A388" s="16">
        <v>28</v>
      </c>
      <c r="B388" s="66"/>
      <c r="C388" s="67"/>
      <c r="D388" s="67"/>
      <c r="E388" s="67"/>
      <c r="F388" s="67"/>
      <c r="G388" s="67"/>
      <c r="H388" s="67"/>
      <c r="I388" s="67"/>
      <c r="J388" s="67"/>
      <c r="K388" s="67"/>
      <c r="L388" s="67"/>
      <c r="M388" s="68"/>
      <c r="O388" s="29"/>
      <c r="P388" s="944"/>
      <c r="Q388" s="300">
        <f>AH47</f>
        <v>38</v>
      </c>
      <c r="R388" s="10">
        <f>AI47</f>
        <v>50</v>
      </c>
      <c r="S388" s="11" t="str">
        <f>IF(AM47="","",AM47)</f>
        <v/>
      </c>
      <c r="T388" s="11" t="str">
        <f>IF(AN47="","",AN47)</f>
        <v/>
      </c>
      <c r="U388" s="11" t="str">
        <f>IF(AO47="","",AO47)</f>
        <v/>
      </c>
      <c r="V388" s="12" t="str">
        <f t="shared" si="90"/>
        <v/>
      </c>
      <c r="W388" s="11" t="str">
        <f t="shared" si="91"/>
        <v/>
      </c>
      <c r="X388" s="14" t="str">
        <f t="shared" si="92"/>
        <v/>
      </c>
      <c r="Y388" s="31"/>
    </row>
    <row r="389" spans="1:25" ht="14.1" customHeight="1">
      <c r="A389" s="16">
        <v>29</v>
      </c>
      <c r="B389" s="66"/>
      <c r="C389" s="144" t="s">
        <v>319</v>
      </c>
      <c r="D389" s="67"/>
      <c r="E389" s="67"/>
      <c r="F389" s="67"/>
      <c r="G389" s="67"/>
      <c r="H389" s="67"/>
      <c r="I389" s="67"/>
      <c r="J389" s="67"/>
      <c r="K389" s="67"/>
      <c r="L389" s="67"/>
      <c r="M389" s="68"/>
      <c r="O389" s="29"/>
      <c r="P389" s="112" t="s">
        <v>201</v>
      </c>
      <c r="Q389" s="26" t="s">
        <v>335</v>
      </c>
      <c r="Y389" s="31"/>
    </row>
    <row r="390" spans="1:25" ht="14.1" customHeight="1" thickBot="1">
      <c r="A390" s="16">
        <v>30</v>
      </c>
      <c r="B390" s="66"/>
      <c r="C390" s="67"/>
      <c r="D390" s="474" t="s">
        <v>320</v>
      </c>
      <c r="E390" s="474"/>
      <c r="F390" s="325"/>
      <c r="G390" s="325"/>
      <c r="H390" s="474" t="s">
        <v>321</v>
      </c>
      <c r="I390" s="474"/>
      <c r="J390" s="67"/>
      <c r="K390" s="325"/>
      <c r="L390" s="304" t="s">
        <v>322</v>
      </c>
      <c r="M390" s="304"/>
      <c r="O390" s="39"/>
      <c r="P390" s="40"/>
      <c r="Q390" s="40"/>
      <c r="R390" s="40"/>
      <c r="S390" s="40"/>
      <c r="T390" s="40"/>
      <c r="U390" s="40"/>
      <c r="V390" s="40"/>
      <c r="W390" s="40"/>
      <c r="X390" s="40"/>
      <c r="Y390" s="41"/>
    </row>
    <row r="391" spans="1:25" ht="14.1" customHeight="1" thickBot="1">
      <c r="A391" s="16">
        <v>31</v>
      </c>
      <c r="B391" s="66"/>
      <c r="C391" s="325"/>
      <c r="D391" s="160" t="s">
        <v>171</v>
      </c>
      <c r="E391" s="470" t="str">
        <f t="shared" ref="E391:E396" si="95">IF(Q432="","",Q432)</f>
        <v/>
      </c>
      <c r="F391" s="325"/>
      <c r="G391" s="34" t="s">
        <v>785</v>
      </c>
      <c r="H391" s="658" t="str">
        <f t="shared" ref="H391:J398" si="96">IF(Q447="","",Q447)</f>
        <v>2D</v>
      </c>
      <c r="I391" s="659" t="str">
        <f t="shared" si="96"/>
        <v/>
      </c>
      <c r="J391" s="660" t="str">
        <f t="shared" si="96"/>
        <v>3D</v>
      </c>
      <c r="K391" s="325"/>
      <c r="L391" s="106" t="s">
        <v>251</v>
      </c>
      <c r="M391" s="256" t="s">
        <v>252</v>
      </c>
      <c r="O391" s="135" t="s">
        <v>336</v>
      </c>
      <c r="P391" s="22"/>
      <c r="Q391" s="22"/>
      <c r="R391" s="22"/>
      <c r="S391" s="22"/>
      <c r="T391" s="22"/>
      <c r="U391" s="22"/>
      <c r="V391" s="22"/>
      <c r="W391" s="22"/>
      <c r="X391" s="22"/>
      <c r="Y391" s="23"/>
    </row>
    <row r="392" spans="1:25" ht="14.1" customHeight="1" thickBot="1">
      <c r="A392" s="16">
        <v>32</v>
      </c>
      <c r="B392" s="66"/>
      <c r="C392" s="325"/>
      <c r="D392" s="160" t="s">
        <v>174</v>
      </c>
      <c r="E392" s="471" t="str">
        <f t="shared" si="95"/>
        <v/>
      </c>
      <c r="F392" s="325"/>
      <c r="G392" s="160" t="s">
        <v>69</v>
      </c>
      <c r="H392" s="330" t="str">
        <f t="shared" si="96"/>
        <v/>
      </c>
      <c r="I392" s="289" t="str">
        <f t="shared" si="96"/>
        <v/>
      </c>
      <c r="J392" s="331" t="str">
        <f t="shared" si="96"/>
        <v/>
      </c>
      <c r="K392" s="325"/>
      <c r="L392" s="160" t="s">
        <v>324</v>
      </c>
      <c r="M392" s="258" t="str">
        <f>IF(R440="","",R440)</f>
        <v/>
      </c>
      <c r="O392" s="29"/>
      <c r="P392" s="313" t="s">
        <v>93</v>
      </c>
      <c r="Q392" s="314" t="str">
        <f>AK10&amp;"/"&amp;AL10</f>
        <v>/</v>
      </c>
      <c r="R392" s="437" t="s">
        <v>171</v>
      </c>
      <c r="S392" s="442">
        <f>AH16</f>
        <v>28</v>
      </c>
      <c r="T392" s="23"/>
      <c r="U392" s="313" t="s">
        <v>93</v>
      </c>
      <c r="V392" s="314" t="str">
        <f>AK37&amp;"/"&amp;AL37</f>
        <v>/</v>
      </c>
      <c r="W392" s="315" t="s">
        <v>171</v>
      </c>
      <c r="X392" s="687">
        <f>AH37</f>
        <v>28</v>
      </c>
      <c r="Y392" s="23"/>
    </row>
    <row r="393" spans="1:25" ht="14.1" customHeight="1">
      <c r="A393" s="16">
        <v>33</v>
      </c>
      <c r="B393" s="66"/>
      <c r="C393" s="325"/>
      <c r="D393" s="160" t="s">
        <v>326</v>
      </c>
      <c r="E393" s="471" t="str">
        <f t="shared" si="95"/>
        <v/>
      </c>
      <c r="F393" s="325"/>
      <c r="G393" s="160" t="s">
        <v>171</v>
      </c>
      <c r="H393" s="330" t="str">
        <f t="shared" si="96"/>
        <v/>
      </c>
      <c r="I393" s="289" t="str">
        <f t="shared" si="96"/>
        <v/>
      </c>
      <c r="J393" s="331" t="str">
        <f t="shared" si="96"/>
        <v/>
      </c>
      <c r="K393" s="160" t="s">
        <v>185</v>
      </c>
      <c r="L393" s="201" t="str">
        <f t="shared" ref="L393:M395" si="97">IF(Q442="","",Q442)</f>
        <v/>
      </c>
      <c r="M393" s="259" t="str">
        <f t="shared" si="97"/>
        <v/>
      </c>
      <c r="O393" s="311"/>
      <c r="P393" s="447"/>
      <c r="R393" s="160" t="s">
        <v>216</v>
      </c>
      <c r="S393" s="685">
        <f>AI16</f>
        <v>50</v>
      </c>
      <c r="T393" s="206"/>
      <c r="W393" s="160" t="s">
        <v>216</v>
      </c>
      <c r="X393" s="685">
        <f>AI37</f>
        <v>50</v>
      </c>
      <c r="Y393" s="31"/>
    </row>
    <row r="394" spans="1:25" ht="14.1" customHeight="1" thickBot="1">
      <c r="A394" s="16">
        <v>34</v>
      </c>
      <c r="B394" s="66"/>
      <c r="C394" s="325"/>
      <c r="D394" s="160" t="s">
        <v>180</v>
      </c>
      <c r="E394" s="471" t="str">
        <f t="shared" si="95"/>
        <v/>
      </c>
      <c r="F394" s="325"/>
      <c r="G394" s="160" t="s">
        <v>174</v>
      </c>
      <c r="H394" s="330" t="str">
        <f t="shared" si="96"/>
        <v/>
      </c>
      <c r="I394" s="289" t="str">
        <f t="shared" si="96"/>
        <v/>
      </c>
      <c r="J394" s="331" t="str">
        <f t="shared" si="96"/>
        <v/>
      </c>
      <c r="K394" s="160" t="s">
        <v>187</v>
      </c>
      <c r="L394" s="203" t="str">
        <f t="shared" si="97"/>
        <v/>
      </c>
      <c r="M394" s="261" t="str">
        <f t="shared" si="97"/>
        <v/>
      </c>
      <c r="O394" s="312"/>
      <c r="P394" s="316" t="s">
        <v>24</v>
      </c>
      <c r="Q394" s="661" t="s">
        <v>25</v>
      </c>
      <c r="R394" s="661" t="s">
        <v>26</v>
      </c>
      <c r="S394" s="661" t="s">
        <v>332</v>
      </c>
      <c r="T394" s="206" t="s">
        <v>333</v>
      </c>
      <c r="U394" s="321" t="s">
        <v>24</v>
      </c>
      <c r="V394" s="322" t="s">
        <v>25</v>
      </c>
      <c r="W394" s="322" t="s">
        <v>26</v>
      </c>
      <c r="X394" s="322" t="s">
        <v>332</v>
      </c>
      <c r="Y394" s="323" t="s">
        <v>333</v>
      </c>
    </row>
    <row r="395" spans="1:25" ht="14.1" customHeight="1" thickBot="1">
      <c r="A395" s="16">
        <v>35</v>
      </c>
      <c r="B395" s="66"/>
      <c r="C395" s="325"/>
      <c r="D395" s="160" t="s">
        <v>182</v>
      </c>
      <c r="E395" s="471" t="str">
        <f t="shared" si="95"/>
        <v/>
      </c>
      <c r="F395" s="325"/>
      <c r="G395" s="160" t="s">
        <v>185</v>
      </c>
      <c r="H395" s="330" t="str">
        <f t="shared" si="96"/>
        <v/>
      </c>
      <c r="I395" s="289" t="str">
        <f t="shared" si="96"/>
        <v/>
      </c>
      <c r="J395" s="331" t="str">
        <f t="shared" si="96"/>
        <v/>
      </c>
      <c r="K395" s="160" t="s">
        <v>189</v>
      </c>
      <c r="L395" s="204" t="str">
        <f t="shared" si="97"/>
        <v/>
      </c>
      <c r="M395" s="262" t="str">
        <f t="shared" si="97"/>
        <v/>
      </c>
      <c r="O395" s="312"/>
      <c r="P395" s="320" t="str">
        <f t="shared" ref="P395:R398" si="98">IF(AM16="","",AM16)</f>
        <v/>
      </c>
      <c r="Q395" s="270" t="str">
        <f t="shared" si="98"/>
        <v/>
      </c>
      <c r="R395" s="270" t="str">
        <f t="shared" si="98"/>
        <v/>
      </c>
      <c r="S395" s="235" t="str">
        <f>IF(R395="","",R395/$S$393)</f>
        <v/>
      </c>
      <c r="T395" s="236" t="str">
        <f>IF(OR(R395="",Q395=""),"",R395/(Q395/1000))</f>
        <v/>
      </c>
      <c r="U395" s="320" t="str">
        <f t="shared" ref="U395:W398" si="99">IF(AM37="","",AM37)</f>
        <v/>
      </c>
      <c r="V395" s="270" t="str">
        <f t="shared" si="99"/>
        <v/>
      </c>
      <c r="W395" s="270" t="str">
        <f t="shared" si="99"/>
        <v/>
      </c>
      <c r="X395" s="235" t="str">
        <f>IF(W395="","",W395/$X$393)</f>
        <v/>
      </c>
      <c r="Y395" s="236" t="str">
        <f>IF(OR(W395="",V395=""),"",W395/(V395/1000))</f>
        <v/>
      </c>
    </row>
    <row r="396" spans="1:25" ht="14.1" customHeight="1" thickBot="1">
      <c r="A396" s="16">
        <v>36</v>
      </c>
      <c r="B396" s="66"/>
      <c r="C396" s="325"/>
      <c r="D396" s="160" t="s">
        <v>183</v>
      </c>
      <c r="E396" s="471" t="str">
        <f t="shared" si="95"/>
        <v/>
      </c>
      <c r="F396" s="325"/>
      <c r="G396" s="160" t="s">
        <v>187</v>
      </c>
      <c r="H396" s="330" t="str">
        <f t="shared" si="96"/>
        <v/>
      </c>
      <c r="I396" s="289" t="str">
        <f t="shared" si="96"/>
        <v/>
      </c>
      <c r="J396" s="331" t="str">
        <f t="shared" si="96"/>
        <v/>
      </c>
      <c r="K396" s="325"/>
      <c r="L396" s="160" t="s">
        <v>324</v>
      </c>
      <c r="M396" s="258" t="str">
        <f>IF(V440="","",V440)</f>
        <v/>
      </c>
      <c r="O396" s="312"/>
      <c r="P396" s="317" t="str">
        <f t="shared" si="98"/>
        <v/>
      </c>
      <c r="Q396" s="11" t="str">
        <f t="shared" si="98"/>
        <v/>
      </c>
      <c r="R396" s="11" t="str">
        <f t="shared" si="98"/>
        <v/>
      </c>
      <c r="S396" s="12" t="str">
        <f>IF(R396="","",R396/$S$393)</f>
        <v/>
      </c>
      <c r="T396" s="238" t="str">
        <f>IF(OR(R396="",Q396=""),"",R396/(Q396/1000))</f>
        <v/>
      </c>
      <c r="U396" s="317" t="str">
        <f t="shared" si="99"/>
        <v/>
      </c>
      <c r="V396" s="11" t="str">
        <f t="shared" si="99"/>
        <v/>
      </c>
      <c r="W396" s="11" t="str">
        <f t="shared" si="99"/>
        <v/>
      </c>
      <c r="X396" s="12" t="str">
        <f>IF(W396="","",W396/$X$393)</f>
        <v/>
      </c>
      <c r="Y396" s="238" t="str">
        <f t="shared" ref="Y396:Y398" si="100">IF(OR(W396="",V396=""),"",W396/(V396/1000))</f>
        <v/>
      </c>
    </row>
    <row r="397" spans="1:25" ht="14.1" customHeight="1" thickBot="1">
      <c r="A397" s="16">
        <v>37</v>
      </c>
      <c r="B397" s="66"/>
      <c r="C397" s="67"/>
      <c r="D397" s="160" t="s">
        <v>185</v>
      </c>
      <c r="E397" s="471" t="str">
        <f>IF(U432="","",U432)</f>
        <v/>
      </c>
      <c r="F397" s="325"/>
      <c r="G397" s="160" t="s">
        <v>189</v>
      </c>
      <c r="H397" s="435" t="str">
        <f t="shared" si="96"/>
        <v/>
      </c>
      <c r="I397" s="419" t="str">
        <f t="shared" si="96"/>
        <v/>
      </c>
      <c r="J397" s="527" t="str">
        <f t="shared" si="96"/>
        <v/>
      </c>
      <c r="K397" s="160" t="s">
        <v>185</v>
      </c>
      <c r="L397" s="201" t="str">
        <f t="shared" ref="L397:M399" si="101">IF(U442="","",U442)</f>
        <v/>
      </c>
      <c r="M397" s="259" t="str">
        <f t="shared" si="101"/>
        <v/>
      </c>
      <c r="O397" s="312"/>
      <c r="P397" s="317" t="str">
        <f t="shared" si="98"/>
        <v/>
      </c>
      <c r="Q397" s="11" t="str">
        <f t="shared" si="98"/>
        <v/>
      </c>
      <c r="R397" s="11" t="str">
        <f t="shared" si="98"/>
        <v/>
      </c>
      <c r="S397" s="12" t="str">
        <f>IF(R397="","",R397/$S$393)</f>
        <v/>
      </c>
      <c r="T397" s="238" t="str">
        <f>IF(OR(R397="",Q397=""),"",R397/(Q397/1000))</f>
        <v/>
      </c>
      <c r="U397" s="317" t="str">
        <f t="shared" si="99"/>
        <v/>
      </c>
      <c r="V397" s="11" t="str">
        <f t="shared" si="99"/>
        <v/>
      </c>
      <c r="W397" s="11" t="str">
        <f t="shared" si="99"/>
        <v/>
      </c>
      <c r="X397" s="12" t="str">
        <f>IF(W397="","",W397/$X$393)</f>
        <v/>
      </c>
      <c r="Y397" s="238" t="str">
        <f t="shared" si="100"/>
        <v/>
      </c>
    </row>
    <row r="398" spans="1:25" ht="14.1" customHeight="1" thickBot="1">
      <c r="A398" s="16">
        <v>38</v>
      </c>
      <c r="B398" s="66"/>
      <c r="C398" s="67"/>
      <c r="D398" s="160" t="s">
        <v>187</v>
      </c>
      <c r="E398" s="471" t="str">
        <f>IF(U433="","",U433)</f>
        <v/>
      </c>
      <c r="F398" s="67"/>
      <c r="G398" s="160"/>
      <c r="H398" s="435" t="str">
        <f t="shared" si="96"/>
        <v/>
      </c>
      <c r="I398" s="419" t="str">
        <f t="shared" si="96"/>
        <v/>
      </c>
      <c r="J398" s="527" t="str">
        <f t="shared" si="96"/>
        <v/>
      </c>
      <c r="K398" s="160" t="s">
        <v>187</v>
      </c>
      <c r="L398" s="203" t="str">
        <f t="shared" si="101"/>
        <v/>
      </c>
      <c r="M398" s="261" t="str">
        <f t="shared" si="101"/>
        <v/>
      </c>
      <c r="O398" s="312"/>
      <c r="P398" s="453" t="str">
        <f t="shared" si="98"/>
        <v/>
      </c>
      <c r="Q398" s="228" t="str">
        <f t="shared" si="98"/>
        <v/>
      </c>
      <c r="R398" s="228" t="str">
        <f t="shared" si="98"/>
        <v/>
      </c>
      <c r="S398" s="241" t="str">
        <f>IF(R398="","",R398/$S$393)</f>
        <v/>
      </c>
      <c r="T398" s="242" t="str">
        <f>IF(OR(R398="",Q398=""),"",R398/(Q398/1000))</f>
        <v/>
      </c>
      <c r="U398" s="453" t="str">
        <f t="shared" si="99"/>
        <v/>
      </c>
      <c r="V398" s="228" t="str">
        <f t="shared" si="99"/>
        <v/>
      </c>
      <c r="W398" s="228" t="str">
        <f t="shared" si="99"/>
        <v/>
      </c>
      <c r="X398" s="241" t="str">
        <f>IF(W398="","",W398/$X$393)</f>
        <v/>
      </c>
      <c r="Y398" s="242" t="str">
        <f t="shared" si="100"/>
        <v/>
      </c>
    </row>
    <row r="399" spans="1:25" ht="14.1" customHeight="1" thickBot="1">
      <c r="A399" s="16">
        <v>39</v>
      </c>
      <c r="B399" s="66"/>
      <c r="C399" s="67"/>
      <c r="D399" s="160" t="s">
        <v>189</v>
      </c>
      <c r="E399" s="472" t="str">
        <f>IF(U434="","",U434)</f>
        <v/>
      </c>
      <c r="F399" s="67"/>
      <c r="G399" s="67"/>
      <c r="H399" s="67"/>
      <c r="I399" s="67"/>
      <c r="J399" s="67"/>
      <c r="K399" s="160" t="s">
        <v>189</v>
      </c>
      <c r="L399" s="204" t="str">
        <f t="shared" si="101"/>
        <v/>
      </c>
      <c r="M399" s="262" t="str">
        <f t="shared" si="101"/>
        <v/>
      </c>
      <c r="O399" s="311" t="s">
        <v>207</v>
      </c>
      <c r="P399" s="448" t="str">
        <f t="shared" ref="P399:Y399" si="102">IF(OR(P395="",P396="",P397="",P398=""),"",AVERAGE(P395:P398))</f>
        <v/>
      </c>
      <c r="Q399" s="449" t="str">
        <f t="shared" si="102"/>
        <v/>
      </c>
      <c r="R399" s="450" t="str">
        <f t="shared" si="102"/>
        <v/>
      </c>
      <c r="S399" s="451" t="str">
        <f t="shared" si="102"/>
        <v/>
      </c>
      <c r="T399" s="452" t="str">
        <f t="shared" si="102"/>
        <v/>
      </c>
      <c r="U399" s="448" t="str">
        <f t="shared" si="102"/>
        <v/>
      </c>
      <c r="V399" s="449" t="str">
        <f t="shared" si="102"/>
        <v/>
      </c>
      <c r="W399" s="450" t="str">
        <f t="shared" si="102"/>
        <v/>
      </c>
      <c r="X399" s="451" t="str">
        <f t="shared" si="102"/>
        <v/>
      </c>
      <c r="Y399" s="452" t="str">
        <f t="shared" si="102"/>
        <v/>
      </c>
    </row>
    <row r="400" spans="1:25" ht="14.1" customHeight="1">
      <c r="A400" s="16">
        <v>40</v>
      </c>
      <c r="B400" s="66"/>
      <c r="D400" s="3" t="s">
        <v>201</v>
      </c>
      <c r="E400" s="861" t="s">
        <v>360</v>
      </c>
      <c r="M400" s="678"/>
      <c r="O400" s="311" t="s">
        <v>338</v>
      </c>
      <c r="P400" s="317" t="str">
        <f t="shared" ref="P400:Y400" si="103">IF(OR(P395="",P396="",P397="",P398=""),"",_xlfn.STDEV.S(P395:P398))</f>
        <v/>
      </c>
      <c r="Q400" s="11" t="str">
        <f t="shared" si="103"/>
        <v/>
      </c>
      <c r="R400" s="11" t="str">
        <f t="shared" si="103"/>
        <v/>
      </c>
      <c r="S400" s="12" t="str">
        <f t="shared" si="103"/>
        <v/>
      </c>
      <c r="T400" s="238" t="str">
        <f t="shared" si="103"/>
        <v/>
      </c>
      <c r="U400" s="317" t="str">
        <f t="shared" si="103"/>
        <v/>
      </c>
      <c r="V400" s="11" t="str">
        <f t="shared" si="103"/>
        <v/>
      </c>
      <c r="W400" s="11" t="str">
        <f t="shared" si="103"/>
        <v/>
      </c>
      <c r="X400" s="12" t="str">
        <f t="shared" si="103"/>
        <v/>
      </c>
      <c r="Y400" s="238" t="str">
        <f t="shared" si="103"/>
        <v/>
      </c>
    </row>
    <row r="401" spans="1:25" ht="14.1" customHeight="1" thickBot="1">
      <c r="A401" s="16">
        <v>41</v>
      </c>
      <c r="B401" s="364"/>
      <c r="C401" s="365"/>
      <c r="D401" s="365"/>
      <c r="E401" s="365"/>
      <c r="F401" s="365"/>
      <c r="G401" s="365"/>
      <c r="H401" s="365"/>
      <c r="I401" s="365"/>
      <c r="J401" s="365"/>
      <c r="K401" s="365"/>
      <c r="L401" s="365"/>
      <c r="M401" s="366"/>
      <c r="O401" s="311" t="s">
        <v>271</v>
      </c>
      <c r="P401" s="188" t="str">
        <f t="shared" ref="P401:Y401" si="104">IF(OR(P399="",P400=""),"",P400/P399)</f>
        <v/>
      </c>
      <c r="Q401" s="182" t="str">
        <f t="shared" si="104"/>
        <v/>
      </c>
      <c r="R401" s="182" t="str">
        <f t="shared" si="104"/>
        <v/>
      </c>
      <c r="S401" s="318" t="str">
        <f t="shared" si="104"/>
        <v/>
      </c>
      <c r="T401" s="319" t="str">
        <f t="shared" si="104"/>
        <v/>
      </c>
      <c r="U401" s="188" t="str">
        <f t="shared" si="104"/>
        <v/>
      </c>
      <c r="V401" s="182" t="str">
        <f t="shared" si="104"/>
        <v/>
      </c>
      <c r="W401" s="182" t="str">
        <f t="shared" si="104"/>
        <v/>
      </c>
      <c r="X401" s="318" t="str">
        <f t="shared" si="104"/>
        <v/>
      </c>
      <c r="Y401" s="319" t="str">
        <f t="shared" si="104"/>
        <v/>
      </c>
    </row>
    <row r="402" spans="1:25" ht="14.1" customHeight="1">
      <c r="A402" s="16">
        <v>42</v>
      </c>
      <c r="B402" s="66"/>
      <c r="C402" s="67"/>
      <c r="F402" s="67"/>
      <c r="G402" s="67"/>
      <c r="H402" s="67"/>
      <c r="I402" s="67"/>
      <c r="J402" s="67"/>
      <c r="K402" s="67"/>
      <c r="L402" s="67"/>
      <c r="M402" s="68"/>
      <c r="O402" s="311" t="s">
        <v>340</v>
      </c>
      <c r="P402" s="686"/>
      <c r="Q402" s="686"/>
      <c r="R402" s="308"/>
      <c r="S402" s="309" t="str">
        <f>IF(AB88="","",AB88)</f>
        <v/>
      </c>
      <c r="T402" s="310" t="str">
        <f>IF(AB89="","",AB89)</f>
        <v/>
      </c>
      <c r="U402" s="686"/>
      <c r="V402" s="686"/>
      <c r="W402" s="308"/>
      <c r="X402" s="309" t="str">
        <f>IF(AB90="","",AB90)</f>
        <v/>
      </c>
      <c r="Y402" s="310" t="str">
        <f>IF(AB91="","",AB91)</f>
        <v/>
      </c>
    </row>
    <row r="403" spans="1:25" ht="14.1" customHeight="1">
      <c r="A403" s="16">
        <v>43</v>
      </c>
      <c r="B403" s="66"/>
      <c r="C403" s="74" t="s">
        <v>552</v>
      </c>
      <c r="M403" s="68"/>
      <c r="O403" s="29"/>
      <c r="P403" s="112" t="s">
        <v>201</v>
      </c>
      <c r="Q403" s="26" t="s">
        <v>341</v>
      </c>
      <c r="Y403" s="31"/>
    </row>
    <row r="404" spans="1:25" ht="14.1" customHeight="1">
      <c r="A404" s="16">
        <v>44</v>
      </c>
      <c r="B404" s="66"/>
      <c r="D404" s="34" t="s">
        <v>558</v>
      </c>
      <c r="E404" s="34" t="s">
        <v>555</v>
      </c>
      <c r="F404" s="327">
        <f>IF(R310="","",R310)</f>
        <v>101.3</v>
      </c>
      <c r="M404" s="68"/>
      <c r="O404" s="29"/>
      <c r="Q404" s="26" t="s">
        <v>775</v>
      </c>
      <c r="Y404" s="31"/>
    </row>
    <row r="405" spans="1:25" ht="14.1" customHeight="1" thickBot="1">
      <c r="A405" s="16">
        <v>45</v>
      </c>
      <c r="B405" s="66"/>
      <c r="E405" s="34" t="s">
        <v>556</v>
      </c>
      <c r="F405" s="673">
        <f>IF(R311="","",R311)</f>
        <v>108</v>
      </c>
      <c r="M405" s="68"/>
      <c r="O405" s="39"/>
      <c r="P405" s="40"/>
      <c r="Q405" s="860"/>
      <c r="R405" s="40"/>
      <c r="S405" s="40"/>
      <c r="T405" s="40"/>
      <c r="U405" s="40"/>
      <c r="V405" s="40"/>
      <c r="W405" s="40"/>
      <c r="X405" s="40"/>
      <c r="Y405" s="41"/>
    </row>
    <row r="406" spans="1:25" ht="14.1" customHeight="1" thickBot="1">
      <c r="A406" s="16">
        <v>46</v>
      </c>
      <c r="B406" s="66"/>
      <c r="D406" s="630" t="s">
        <v>554</v>
      </c>
      <c r="E406" s="630" t="s">
        <v>553</v>
      </c>
      <c r="F406" s="630" t="s">
        <v>288</v>
      </c>
      <c r="M406" s="68"/>
      <c r="O406" s="135" t="s">
        <v>342</v>
      </c>
      <c r="P406" s="22"/>
      <c r="Q406" s="22"/>
      <c r="R406" s="22"/>
      <c r="S406" s="22"/>
      <c r="T406" s="22"/>
      <c r="U406" s="22"/>
      <c r="V406" s="22"/>
      <c r="W406" s="22"/>
      <c r="X406" s="22"/>
      <c r="Y406" s="23"/>
    </row>
    <row r="407" spans="1:25" ht="14.1" customHeight="1">
      <c r="A407" s="16">
        <v>47</v>
      </c>
      <c r="B407" s="66"/>
      <c r="C407" s="34" t="s">
        <v>569</v>
      </c>
      <c r="D407" s="631" t="str">
        <f t="shared" ref="D407:F409" si="105">IF(P313="","",P313)</f>
        <v/>
      </c>
      <c r="E407" s="632" t="str">
        <f t="shared" si="105"/>
        <v/>
      </c>
      <c r="F407" s="633" t="str">
        <f t="shared" si="105"/>
        <v/>
      </c>
      <c r="M407" s="68"/>
      <c r="O407" s="29"/>
      <c r="P407" s="34" t="s">
        <v>93</v>
      </c>
      <c r="Q407" s="685" t="str">
        <f>AK10&amp;"/"&amp;AL10</f>
        <v>/</v>
      </c>
      <c r="R407" s="34" t="s">
        <v>171</v>
      </c>
      <c r="S407" s="685">
        <f>AH15</f>
        <v>28</v>
      </c>
      <c r="T407" s="684"/>
      <c r="Y407" s="31"/>
    </row>
    <row r="408" spans="1:25" ht="14.1" customHeight="1">
      <c r="A408" s="16">
        <v>48</v>
      </c>
      <c r="B408" s="66"/>
      <c r="C408" s="34" t="s">
        <v>570</v>
      </c>
      <c r="D408" s="330" t="str">
        <f t="shared" si="105"/>
        <v/>
      </c>
      <c r="E408" s="289" t="str">
        <f t="shared" si="105"/>
        <v/>
      </c>
      <c r="F408" s="331" t="str">
        <f t="shared" si="105"/>
        <v/>
      </c>
      <c r="M408" s="68"/>
      <c r="O408" s="29"/>
      <c r="P408" s="684" t="s">
        <v>70</v>
      </c>
      <c r="Q408" s="684" t="s">
        <v>24</v>
      </c>
      <c r="R408" s="684" t="s">
        <v>25</v>
      </c>
      <c r="S408" s="684" t="s">
        <v>26</v>
      </c>
      <c r="T408" s="684" t="s">
        <v>332</v>
      </c>
      <c r="U408" s="684" t="s">
        <v>333</v>
      </c>
      <c r="V408" s="4"/>
      <c r="W408" s="4"/>
      <c r="X408" s="4"/>
      <c r="Y408" s="31"/>
    </row>
    <row r="409" spans="1:25" ht="14.1" customHeight="1" thickBot="1">
      <c r="A409" s="16">
        <v>49</v>
      </c>
      <c r="B409" s="66"/>
      <c r="C409" s="34" t="s">
        <v>571</v>
      </c>
      <c r="D409" s="379" t="str">
        <f t="shared" si="105"/>
        <v/>
      </c>
      <c r="E409" s="429" t="str">
        <f t="shared" si="105"/>
        <v/>
      </c>
      <c r="F409" s="380" t="str">
        <f t="shared" si="105"/>
        <v/>
      </c>
      <c r="M409" s="68"/>
      <c r="O409" s="29"/>
      <c r="P409" s="10">
        <f>IF(AI15="","",AI15)</f>
        <v>20</v>
      </c>
      <c r="Q409" s="11" t="str">
        <f>IF(AM15="","",AM15)</f>
        <v/>
      </c>
      <c r="R409" s="105" t="str">
        <f>IF(AN15="","",AN15)</f>
        <v/>
      </c>
      <c r="S409" s="11" t="str">
        <f>IF(AO15="","",AO15)</f>
        <v/>
      </c>
      <c r="T409" s="12" t="str">
        <f>IF(S409="","",S409/P409)</f>
        <v/>
      </c>
      <c r="U409" s="11" t="str">
        <f>IF(OR(S409="",R409=""),"",S409/(R409/1000))</f>
        <v/>
      </c>
      <c r="V409" s="4"/>
      <c r="W409" s="4"/>
      <c r="X409" s="4"/>
      <c r="Y409" s="31"/>
    </row>
    <row r="410" spans="1:25" ht="14.1" customHeight="1">
      <c r="A410" s="16">
        <v>50</v>
      </c>
      <c r="B410" s="66"/>
      <c r="D410" s="112" t="str">
        <f>P316</f>
        <v>Criteria:</v>
      </c>
      <c r="E410" s="26" t="str">
        <f>Q316</f>
        <v>x/y measurements within +/- 2% of actual phantom dimensions</v>
      </c>
      <c r="M410" s="68"/>
      <c r="O410" s="29"/>
      <c r="P410" s="10">
        <f>IF(AI16="","",AI16)</f>
        <v>50</v>
      </c>
      <c r="Q410" s="11" t="str">
        <f>P399</f>
        <v/>
      </c>
      <c r="R410" s="105" t="str">
        <f>Q399</f>
        <v/>
      </c>
      <c r="S410" s="11" t="str">
        <f>R399</f>
        <v/>
      </c>
      <c r="T410" s="12" t="str">
        <f>S399</f>
        <v/>
      </c>
      <c r="U410" s="11" t="str">
        <f>T399</f>
        <v/>
      </c>
      <c r="V410" s="4"/>
      <c r="W410" s="4"/>
      <c r="X410" s="4"/>
      <c r="Y410" s="31"/>
    </row>
    <row r="411" spans="1:25" ht="14.1" customHeight="1">
      <c r="A411" s="16">
        <v>51</v>
      </c>
      <c r="B411" s="66"/>
      <c r="M411" s="68"/>
      <c r="O411" s="29"/>
      <c r="P411" s="10">
        <f>IF(AI20="","",AI20)</f>
        <v>100</v>
      </c>
      <c r="Q411" s="11" t="str">
        <f t="shared" ref="Q411:S412" si="106">IF(AM20="","",AM20)</f>
        <v/>
      </c>
      <c r="R411" s="105" t="str">
        <f t="shared" si="106"/>
        <v/>
      </c>
      <c r="S411" s="11" t="str">
        <f t="shared" si="106"/>
        <v/>
      </c>
      <c r="T411" s="12" t="str">
        <f>IF(S411="","",S411/P411)</f>
        <v/>
      </c>
      <c r="U411" s="11" t="str">
        <f>IF(OR(S411="",R411=""),"",S411/(R411/1000))</f>
        <v/>
      </c>
      <c r="V411" s="4"/>
      <c r="W411" s="4"/>
      <c r="X411" s="4"/>
      <c r="Y411" s="31"/>
    </row>
    <row r="412" spans="1:25" ht="14.1" customHeight="1">
      <c r="A412" s="16">
        <v>52</v>
      </c>
      <c r="B412" s="66"/>
      <c r="C412" s="74" t="s">
        <v>559</v>
      </c>
      <c r="M412" s="68"/>
      <c r="O412" s="29"/>
      <c r="P412" s="10">
        <f>IF(AI21="","",AI21)</f>
        <v>320</v>
      </c>
      <c r="Q412" s="11" t="str">
        <f t="shared" si="106"/>
        <v/>
      </c>
      <c r="R412" s="105" t="str">
        <f t="shared" si="106"/>
        <v/>
      </c>
      <c r="S412" s="11" t="str">
        <f t="shared" si="106"/>
        <v/>
      </c>
      <c r="T412" s="12" t="str">
        <f>IF(S412="","",S412/P412)</f>
        <v/>
      </c>
      <c r="U412" s="11" t="str">
        <f>IF(OR(S412="",R412=""),"",S412/(R412/1000))</f>
        <v/>
      </c>
      <c r="V412" s="4"/>
      <c r="W412" s="4"/>
      <c r="X412" s="4"/>
      <c r="Y412" s="31"/>
    </row>
    <row r="413" spans="1:25" ht="14.1" customHeight="1" thickBot="1">
      <c r="A413" s="16">
        <v>53</v>
      </c>
      <c r="B413" s="66"/>
      <c r="D413" s="630" t="s">
        <v>604</v>
      </c>
      <c r="E413" s="630" t="s">
        <v>578</v>
      </c>
      <c r="F413" s="630" t="s">
        <v>579</v>
      </c>
      <c r="G413" s="630" t="s">
        <v>288</v>
      </c>
      <c r="M413" s="68"/>
      <c r="O413" s="29"/>
      <c r="S413" s="34" t="s">
        <v>343</v>
      </c>
      <c r="T413" s="179" t="str">
        <f>IF(OR(T409="",T410="",T411="",T412=""),"",(MAX(T409:T412)-MIN(T409:T412))/(MAX(T409:T412)+MIN(T409:T412)))</f>
        <v/>
      </c>
      <c r="V413" s="4"/>
      <c r="W413" s="4"/>
      <c r="X413" s="4"/>
      <c r="Y413" s="31"/>
    </row>
    <row r="414" spans="1:25" ht="14.1" customHeight="1">
      <c r="A414" s="16">
        <v>54</v>
      </c>
      <c r="B414" s="66"/>
      <c r="C414" s="34" t="s">
        <v>569</v>
      </c>
      <c r="D414" s="631" t="str">
        <f>IF(U319="","",U319)</f>
        <v/>
      </c>
      <c r="E414" s="426" t="str">
        <f>IF(Q349="","",Q349)</f>
        <v/>
      </c>
      <c r="F414" s="426" t="str">
        <f>IF(Q350="","",Q350)</f>
        <v/>
      </c>
      <c r="G414" s="633" t="str">
        <f>IF(OR(R349="",R350=""),"",IF(AND(R349="Pass",R350="Pass"),"Pass","Fail"))</f>
        <v/>
      </c>
      <c r="M414" s="68"/>
      <c r="O414" s="29"/>
      <c r="P414" s="112" t="s">
        <v>201</v>
      </c>
      <c r="Q414" s="26" t="s">
        <v>344</v>
      </c>
      <c r="Y414" s="31"/>
    </row>
    <row r="415" spans="1:25" ht="14.1" customHeight="1">
      <c r="A415" s="16">
        <v>55</v>
      </c>
      <c r="B415" s="66"/>
      <c r="C415" s="34" t="s">
        <v>570</v>
      </c>
      <c r="D415" s="330" t="str">
        <f>IF(U327="","",U327)</f>
        <v/>
      </c>
      <c r="E415" s="296" t="str">
        <f>IF(T349="","",T349)</f>
        <v/>
      </c>
      <c r="F415" s="296" t="str">
        <f>IF(T350="","",T350)</f>
        <v/>
      </c>
      <c r="G415" s="331" t="str">
        <f>IF(OR(U349="",U350=""),"",IF(AND(U349="Pass",U350="Pass"),"Pass","Fail"))</f>
        <v/>
      </c>
      <c r="M415" s="68"/>
      <c r="O415" s="268">
        <f>IF(R412="",3,IF(R412/1000&gt;=3,1,2))</f>
        <v>3</v>
      </c>
      <c r="P415" s="20" t="s">
        <v>345</v>
      </c>
      <c r="Y415" s="31"/>
    </row>
    <row r="416" spans="1:25" ht="14.1" customHeight="1" thickBot="1">
      <c r="A416" s="16">
        <v>56</v>
      </c>
      <c r="B416" s="66"/>
      <c r="C416" s="34" t="s">
        <v>571</v>
      </c>
      <c r="D416" s="379" t="str">
        <f>IF(U334="","",U334)</f>
        <v/>
      </c>
      <c r="E416" s="430" t="str">
        <f>IF(W349="","",W349)</f>
        <v/>
      </c>
      <c r="F416" s="430" t="str">
        <f>IF(W350="","",W350)</f>
        <v/>
      </c>
      <c r="G416" s="380" t="str">
        <f>IF(OR(X349="",X350=""),"",IF(AND(X349="Pass",X350="Pass"),"Pass","Fail"))</f>
        <v/>
      </c>
      <c r="M416" s="68"/>
      <c r="O416" s="321">
        <f>IF(U412="",3,IF(U412&gt;=2.7,1,2))</f>
        <v>3</v>
      </c>
      <c r="P416" s="40" t="s">
        <v>781</v>
      </c>
      <c r="Q416" s="40"/>
      <c r="R416" s="40"/>
      <c r="S416" s="40"/>
      <c r="T416" s="40"/>
      <c r="U416" s="40"/>
      <c r="V416" s="40"/>
      <c r="W416" s="40"/>
      <c r="X416" s="40"/>
      <c r="Y416" s="41"/>
    </row>
    <row r="417" spans="1:25" ht="14.1" customHeight="1" thickBot="1">
      <c r="A417" s="16">
        <v>57</v>
      </c>
      <c r="B417" s="66"/>
      <c r="D417" s="112" t="str">
        <f>P316</f>
        <v>Criteria:</v>
      </c>
      <c r="E417" s="26" t="str">
        <f>Q353</f>
        <v>ASF(a) is &lt; 0.9 for all positions. ASF(b) is &lt; 0.6 for all positions</v>
      </c>
      <c r="M417" s="68"/>
      <c r="O417" s="135" t="s">
        <v>347</v>
      </c>
      <c r="P417" s="22"/>
      <c r="Q417" s="615">
        <v>1</v>
      </c>
      <c r="R417" s="22" t="s">
        <v>492</v>
      </c>
      <c r="S417" s="22"/>
      <c r="T417" s="22"/>
      <c r="U417" s="22"/>
      <c r="V417" s="22"/>
      <c r="W417" s="22"/>
      <c r="X417" s="22"/>
      <c r="Y417" s="23"/>
    </row>
    <row r="418" spans="1:25" ht="14.1" customHeight="1">
      <c r="A418" s="16">
        <v>58</v>
      </c>
      <c r="B418" s="66"/>
      <c r="M418" s="68"/>
      <c r="O418" s="29"/>
      <c r="P418" s="611" t="s">
        <v>69</v>
      </c>
      <c r="Q418" s="612" t="str">
        <f>$P$371</f>
        <v>/</v>
      </c>
      <c r="R418" s="612" t="str">
        <f>$P$378</f>
        <v>/</v>
      </c>
      <c r="S418" s="688" t="str">
        <f>$P$384</f>
        <v>/</v>
      </c>
      <c r="T418"/>
      <c r="U418"/>
      <c r="V418"/>
      <c r="W418"/>
      <c r="X418"/>
      <c r="Y418" s="31"/>
    </row>
    <row r="419" spans="1:25" ht="14.1" customHeight="1">
      <c r="A419" s="16">
        <v>59</v>
      </c>
      <c r="B419" s="66"/>
      <c r="C419" s="74" t="s">
        <v>581</v>
      </c>
      <c r="M419" s="68"/>
      <c r="O419" s="29"/>
      <c r="P419" s="613" t="s">
        <v>266</v>
      </c>
      <c r="Q419" s="614">
        <f>AH16</f>
        <v>28</v>
      </c>
      <c r="R419" s="614">
        <f>AH27</f>
        <v>28</v>
      </c>
      <c r="S419" s="689">
        <f>AH37</f>
        <v>28</v>
      </c>
      <c r="T419"/>
      <c r="U419"/>
      <c r="V419"/>
      <c r="W419"/>
      <c r="X419"/>
      <c r="Y419" s="31"/>
    </row>
    <row r="420" spans="1:25" ht="14.1" customHeight="1" thickBot="1">
      <c r="A420" s="16">
        <v>60</v>
      </c>
      <c r="B420" s="66"/>
      <c r="D420" s="630" t="s">
        <v>582</v>
      </c>
      <c r="E420" s="630" t="s">
        <v>583</v>
      </c>
      <c r="G420"/>
      <c r="M420" s="68"/>
      <c r="O420" s="29"/>
      <c r="P420" s="613" t="s">
        <v>348</v>
      </c>
      <c r="Q420" s="945" t="s">
        <v>349</v>
      </c>
      <c r="R420" s="946"/>
      <c r="S420" s="947"/>
      <c r="T420"/>
      <c r="U420"/>
      <c r="V420"/>
      <c r="W420"/>
      <c r="X420"/>
      <c r="Y420" s="31"/>
    </row>
    <row r="421" spans="1:25" ht="14.1" customHeight="1">
      <c r="A421" s="16">
        <v>61</v>
      </c>
      <c r="B421" s="66"/>
      <c r="C421" s="160" t="s">
        <v>185</v>
      </c>
      <c r="D421" s="631" t="str">
        <f t="shared" ref="D421:D424" si="107">IF(P357="","",P357)</f>
        <v/>
      </c>
      <c r="E421" s="660" t="str">
        <f>IF(Q357="","",Q357)</f>
        <v/>
      </c>
      <c r="G421"/>
      <c r="M421" s="68"/>
      <c r="O421" s="29"/>
      <c r="P421" s="613">
        <v>0</v>
      </c>
      <c r="Q421" s="663" t="str">
        <f>IF(AO16="","",AO16)</f>
        <v/>
      </c>
      <c r="R421" s="663" t="str">
        <f>IF(AO27="","",AO27)</f>
        <v/>
      </c>
      <c r="S421" s="690" t="str">
        <f>IF(AO37="","",AVERAGE(AO37:AO38))</f>
        <v/>
      </c>
      <c r="T421"/>
      <c r="U421"/>
      <c r="V421"/>
      <c r="W421"/>
      <c r="X421"/>
      <c r="Y421" s="31"/>
    </row>
    <row r="422" spans="1:25" ht="14.1" customHeight="1">
      <c r="A422" s="16">
        <v>62</v>
      </c>
      <c r="B422" s="66"/>
      <c r="C422" s="160" t="s">
        <v>187</v>
      </c>
      <c r="D422" s="330" t="str">
        <f t="shared" si="107"/>
        <v/>
      </c>
      <c r="E422" s="331" t="str">
        <f>IF(Q358="","",Q358)</f>
        <v/>
      </c>
      <c r="G422"/>
      <c r="M422" s="68"/>
      <c r="O422" s="29"/>
      <c r="P422" s="613">
        <v>0</v>
      </c>
      <c r="Q422" s="663" t="str">
        <f>IF(AO17="","",AO17)</f>
        <v/>
      </c>
      <c r="R422" s="663" t="str">
        <f>IF(AO28="","",AO28)</f>
        <v/>
      </c>
      <c r="S422" s="690" t="str">
        <f>IF(AO39="","",AVERAGE(AO39:AO40))</f>
        <v/>
      </c>
      <c r="T422"/>
      <c r="U422"/>
      <c r="V422"/>
      <c r="W422"/>
      <c r="X422"/>
      <c r="Y422" s="31"/>
    </row>
    <row r="423" spans="1:25" ht="14.1" customHeight="1">
      <c r="A423" s="16">
        <v>63</v>
      </c>
      <c r="B423" s="66"/>
      <c r="C423" s="160" t="s">
        <v>189</v>
      </c>
      <c r="D423" s="330" t="str">
        <f t="shared" si="107"/>
        <v/>
      </c>
      <c r="E423" s="331" t="str">
        <f>IF(Q359="","",Q359)</f>
        <v/>
      </c>
      <c r="G423"/>
      <c r="M423" s="68"/>
      <c r="O423" s="29"/>
      <c r="P423" s="613" t="s">
        <v>350</v>
      </c>
      <c r="Q423" s="663" t="str">
        <f>IF(AQ16="","",AVERAGE(AQ15:AQ21))</f>
        <v/>
      </c>
      <c r="R423" s="663" t="str">
        <f>IF(AQ27="","",AVERAGE(AQ27:AQ28))</f>
        <v/>
      </c>
      <c r="S423" s="690" t="str">
        <f>IF(AQ37="","",AVERAGE(AQ37:AQ40))</f>
        <v/>
      </c>
      <c r="T423"/>
      <c r="U423"/>
      <c r="V423"/>
      <c r="W423"/>
      <c r="X423"/>
      <c r="Y423" s="31"/>
    </row>
    <row r="424" spans="1:25" ht="14.1" customHeight="1" thickBot="1">
      <c r="A424" s="16">
        <v>64</v>
      </c>
      <c r="B424" s="66"/>
      <c r="C424" s="160" t="s">
        <v>215</v>
      </c>
      <c r="D424" s="379" t="str">
        <f t="shared" si="107"/>
        <v/>
      </c>
      <c r="E424" s="380" t="str">
        <f>IF(Q360="","",Q360)</f>
        <v/>
      </c>
      <c r="G424"/>
      <c r="M424" s="68"/>
      <c r="O424" s="29"/>
      <c r="P424" s="613" t="s">
        <v>351</v>
      </c>
      <c r="Q424" s="662" t="str">
        <f>IF(OR(Q421="",Q422=""),"",ABS(Q422-Q421)/Q421)</f>
        <v/>
      </c>
      <c r="R424" s="662" t="str">
        <f t="shared" ref="R424:S424" si="108">IF(OR(R421="",R422=""),"",ABS(R422-R421)/R421)</f>
        <v/>
      </c>
      <c r="S424" s="691" t="str">
        <f t="shared" si="108"/>
        <v/>
      </c>
      <c r="T424"/>
      <c r="U424"/>
      <c r="V424"/>
      <c r="W424"/>
      <c r="X424"/>
      <c r="Y424" s="31"/>
    </row>
    <row r="425" spans="1:25" ht="14.1" customHeight="1" thickBot="1">
      <c r="A425" s="16">
        <v>65</v>
      </c>
      <c r="B425" s="66"/>
      <c r="D425" s="112" t="str">
        <f>P353</f>
        <v>Criteria:</v>
      </c>
      <c r="E425" s="26" t="str">
        <f>Q361</f>
        <v>Must be able to see 4 fibers, 3 speck groups, 3 masses</v>
      </c>
      <c r="M425" s="68"/>
      <c r="O425" s="29"/>
      <c r="P425" s="379" t="s">
        <v>215</v>
      </c>
      <c r="Q425" s="429" t="str">
        <f t="shared" ref="Q425:R425" si="109">IF(Q423="","",IF(Q423&gt;=0.28,"Pass","Fail"))</f>
        <v/>
      </c>
      <c r="R425" s="429" t="str">
        <f t="shared" si="109"/>
        <v/>
      </c>
      <c r="S425" s="380" t="str">
        <f>IF(S423="","",IF(S423&gt;=0.28,"Pass","Fail"))</f>
        <v/>
      </c>
      <c r="T425"/>
      <c r="U425"/>
      <c r="V425"/>
      <c r="W425"/>
      <c r="X425"/>
      <c r="Y425" s="31"/>
    </row>
    <row r="426" spans="1:25" ht="14.1" customHeight="1">
      <c r="A426" s="16">
        <v>66</v>
      </c>
      <c r="B426" s="66"/>
      <c r="M426" s="68"/>
      <c r="O426" s="29"/>
      <c r="P426" s="112" t="s">
        <v>201</v>
      </c>
      <c r="Q426" s="26" t="s">
        <v>609</v>
      </c>
      <c r="R426" s="551"/>
      <c r="S426" s="551"/>
      <c r="T426" s="551"/>
      <c r="U426" s="551"/>
      <c r="V426" s="551" t="s">
        <v>547</v>
      </c>
      <c r="W426" s="299" t="s">
        <v>547</v>
      </c>
      <c r="X426" s="299" t="s">
        <v>547</v>
      </c>
      <c r="Y426" s="31"/>
    </row>
    <row r="427" spans="1:25" ht="14.1" customHeight="1" thickBot="1">
      <c r="A427" s="16">
        <v>67</v>
      </c>
      <c r="B427" s="66"/>
      <c r="C427" s="327" t="str">
        <f>IF(O362="","",IF(O362=1,"Pass",IF(O362=2,"Fail","NA")))</f>
        <v/>
      </c>
      <c r="D427" s="67" t="s">
        <v>711</v>
      </c>
      <c r="M427" s="68"/>
      <c r="O427" s="39"/>
      <c r="Q427" s="26" t="s">
        <v>777</v>
      </c>
      <c r="R427" s="4"/>
      <c r="S427" s="4"/>
      <c r="T427" s="4"/>
      <c r="U427" s="4"/>
      <c r="V427" s="4"/>
      <c r="W427" s="4"/>
      <c r="X427" s="4"/>
      <c r="Y427" s="41"/>
    </row>
    <row r="428" spans="1:25" ht="14.1" customHeight="1">
      <c r="A428" s="16">
        <v>68</v>
      </c>
      <c r="B428" s="66"/>
      <c r="C428" s="327" t="str">
        <f>IF(O363="","",IF(O363=1,"Pass",IF(O363=2,"Fail","NA")))</f>
        <v/>
      </c>
      <c r="D428" s="20" t="s">
        <v>712</v>
      </c>
      <c r="M428" s="68"/>
      <c r="O428" s="135" t="s">
        <v>319</v>
      </c>
      <c r="P428" s="22"/>
      <c r="Q428" s="22"/>
      <c r="R428" s="22"/>
      <c r="S428" s="22"/>
      <c r="T428" s="22"/>
      <c r="U428" s="22"/>
      <c r="V428" s="22"/>
      <c r="W428" s="22"/>
      <c r="X428" s="22"/>
      <c r="Y428" s="23"/>
    </row>
    <row r="429" spans="1:25" ht="14.1" customHeight="1">
      <c r="A429" s="16">
        <v>69</v>
      </c>
      <c r="B429" s="66"/>
      <c r="C429" s="327" t="str">
        <f>IF(O364="","",IF(O364=1,"Pass",IF(O364=2,"Fail","NA")))</f>
        <v/>
      </c>
      <c r="D429" s="67" t="s">
        <v>710</v>
      </c>
      <c r="J429" s="67"/>
      <c r="K429" s="67"/>
      <c r="L429" s="67"/>
      <c r="M429" s="68"/>
      <c r="O429" s="273" t="s">
        <v>320</v>
      </c>
      <c r="P429" s="34" t="s">
        <v>43</v>
      </c>
      <c r="Q429" s="260"/>
      <c r="R429" s="34" t="s">
        <v>334</v>
      </c>
      <c r="S429" s="260"/>
      <c r="U429" s="34" t="s">
        <v>352</v>
      </c>
      <c r="V429" s="260"/>
      <c r="Y429" s="31"/>
    </row>
    <row r="430" spans="1:25" ht="14.1" customHeight="1" thickBot="1">
      <c r="A430" s="16">
        <v>70</v>
      </c>
      <c r="B430" s="79"/>
      <c r="C430" s="609"/>
      <c r="D430" s="610"/>
      <c r="E430" s="604"/>
      <c r="F430" s="604"/>
      <c r="G430" s="604"/>
      <c r="H430" s="604"/>
      <c r="I430" s="604"/>
      <c r="J430" s="604"/>
      <c r="K430" s="604"/>
      <c r="L430" s="80"/>
      <c r="M430" s="81"/>
      <c r="O430" s="29"/>
      <c r="Y430" s="31"/>
    </row>
    <row r="431" spans="1:25" ht="14.1" customHeight="1" thickTop="1">
      <c r="A431" s="16">
        <v>71</v>
      </c>
      <c r="C431" s="108" t="s">
        <v>10</v>
      </c>
      <c r="D431" s="367" t="str">
        <f>IF($P$7="","",$P$7)</f>
        <v/>
      </c>
      <c r="E431" s="26"/>
      <c r="F431" s="26"/>
      <c r="G431" s="26"/>
      <c r="H431" s="26"/>
      <c r="I431" s="26"/>
      <c r="J431" s="26"/>
      <c r="K431" s="26"/>
      <c r="L431" s="108" t="s">
        <v>11</v>
      </c>
      <c r="M431" s="368" t="str">
        <f>IF($X$7="","",$X$7)</f>
        <v>Eugene Mah</v>
      </c>
      <c r="O431" s="29"/>
      <c r="P431" s="34"/>
      <c r="R431" s="20" t="s">
        <v>318</v>
      </c>
      <c r="V431" s="20" t="s">
        <v>318</v>
      </c>
      <c r="Y431" s="31"/>
    </row>
    <row r="432" spans="1:25" ht="14.1" customHeight="1">
      <c r="A432" s="16">
        <v>72</v>
      </c>
      <c r="C432" s="108" t="s">
        <v>119</v>
      </c>
      <c r="D432" s="368" t="str">
        <f>IF($R$14="","",$R$14)</f>
        <v/>
      </c>
      <c r="E432" s="26"/>
      <c r="F432" s="26"/>
      <c r="G432" s="26"/>
      <c r="H432" s="26"/>
      <c r="I432" s="26"/>
      <c r="J432" s="26"/>
      <c r="K432" s="26"/>
      <c r="L432" s="108" t="s">
        <v>36</v>
      </c>
      <c r="M432" s="368" t="str">
        <f>IF($R$13="","",$R$13)</f>
        <v/>
      </c>
      <c r="O432" s="29"/>
      <c r="P432" s="34" t="s">
        <v>171</v>
      </c>
      <c r="Q432" s="143"/>
      <c r="R432" s="121" t="str">
        <f t="shared" ref="R432:R437" si="110">IF(AB93="","",AB93)</f>
        <v/>
      </c>
      <c r="T432" s="34" t="s">
        <v>185</v>
      </c>
      <c r="U432" s="143"/>
      <c r="V432" s="121" t="str">
        <f>IF(AB99="","",AB99)</f>
        <v/>
      </c>
      <c r="Y432" s="31"/>
    </row>
    <row r="433" spans="1:25" ht="14.1" customHeight="1">
      <c r="A433" s="16">
        <v>1</v>
      </c>
      <c r="C433" s="67"/>
      <c r="D433" s="67"/>
      <c r="E433" s="67"/>
      <c r="F433" s="67"/>
      <c r="G433" s="67"/>
      <c r="H433" s="67"/>
      <c r="I433" s="67"/>
      <c r="J433" s="67"/>
      <c r="K433" s="67"/>
      <c r="L433" s="67"/>
      <c r="M433" s="521" t="str">
        <f>$H$2</f>
        <v>Medical University of South Carolina</v>
      </c>
      <c r="O433" s="29"/>
      <c r="P433" s="34" t="s">
        <v>174</v>
      </c>
      <c r="Q433" s="143"/>
      <c r="R433" s="121" t="str">
        <f t="shared" si="110"/>
        <v/>
      </c>
      <c r="T433" s="34" t="s">
        <v>187</v>
      </c>
      <c r="U433" s="143"/>
      <c r="V433" s="121" t="str">
        <f>IF(AB100="","",AB100)</f>
        <v/>
      </c>
      <c r="Y433" s="31"/>
    </row>
    <row r="434" spans="1:25" ht="14.1" customHeight="1" thickBot="1">
      <c r="A434" s="16">
        <v>2</v>
      </c>
      <c r="C434" s="67"/>
      <c r="D434" s="67"/>
      <c r="E434" s="67"/>
      <c r="F434" s="67"/>
      <c r="G434" s="67"/>
      <c r="H434" s="679" t="s">
        <v>71</v>
      </c>
      <c r="I434" s="67"/>
      <c r="J434" s="67"/>
      <c r="K434" s="67"/>
      <c r="L434" s="67"/>
      <c r="M434" s="3" t="str">
        <f>$H$5</f>
        <v>Mammography System Compliance Inspection</v>
      </c>
      <c r="O434" s="29"/>
      <c r="P434" s="34" t="s">
        <v>326</v>
      </c>
      <c r="Q434" s="143"/>
      <c r="R434" s="121" t="str">
        <f t="shared" si="110"/>
        <v/>
      </c>
      <c r="T434" s="34" t="s">
        <v>189</v>
      </c>
      <c r="U434" s="143"/>
      <c r="V434" s="121" t="str">
        <f>IF(AB101="","",AB101)</f>
        <v/>
      </c>
      <c r="Y434" s="31"/>
    </row>
    <row r="435" spans="1:25" ht="14.1" customHeight="1" thickTop="1" thickBot="1">
      <c r="A435" s="16">
        <v>3</v>
      </c>
      <c r="B435" s="57"/>
      <c r="C435" s="58"/>
      <c r="D435" s="58"/>
      <c r="E435" s="58"/>
      <c r="F435" s="58"/>
      <c r="G435" s="58"/>
      <c r="H435" s="58"/>
      <c r="I435" s="58"/>
      <c r="J435" s="58"/>
      <c r="K435" s="58"/>
      <c r="L435" s="58"/>
      <c r="M435" s="60"/>
      <c r="O435" s="29"/>
      <c r="P435" s="34" t="s">
        <v>180</v>
      </c>
      <c r="Q435" s="143"/>
      <c r="R435" s="121" t="str">
        <f t="shared" si="110"/>
        <v/>
      </c>
      <c r="T435" s="34" t="s">
        <v>215</v>
      </c>
      <c r="U435" s="142" t="str">
        <f>IF(OR(U432="",U433="",U434=""),"",IF(AND(U432&gt;=5,U433&gt;=4,U434&gt;=4),"Pass","Fail"))</f>
        <v/>
      </c>
      <c r="Y435" s="31"/>
    </row>
    <row r="436" spans="1:25" ht="14.1" customHeight="1">
      <c r="A436" s="16">
        <v>4</v>
      </c>
      <c r="B436" s="66"/>
      <c r="C436" s="583" t="s">
        <v>221</v>
      </c>
      <c r="D436" s="524" t="str">
        <f>IF(Q491="","",IF(LEN(Q491)&lt;=135,Q491,IF(LEN(Q491)&lt;=260,LEFT(Q491,SEARCH(" ",Q491,125)),LEFT(Q491,SEARCH(" ",Q491,130)))))</f>
        <v/>
      </c>
      <c r="E436" s="584"/>
      <c r="F436" s="584"/>
      <c r="G436" s="584"/>
      <c r="H436" s="584"/>
      <c r="I436" s="584"/>
      <c r="J436" s="584"/>
      <c r="K436" s="584"/>
      <c r="L436" s="584"/>
      <c r="M436" s="68"/>
      <c r="O436" s="29"/>
      <c r="P436" s="34" t="s">
        <v>182</v>
      </c>
      <c r="Q436" s="143"/>
      <c r="R436" s="121" t="str">
        <f t="shared" si="110"/>
        <v/>
      </c>
      <c r="T436" s="112" t="s">
        <v>201</v>
      </c>
      <c r="U436" s="26" t="s">
        <v>353</v>
      </c>
      <c r="Y436" s="31"/>
    </row>
    <row r="437" spans="1:25" ht="14.1" customHeight="1">
      <c r="A437" s="16">
        <v>5</v>
      </c>
      <c r="B437" s="66"/>
      <c r="C437" s="589"/>
      <c r="D437" s="525" t="str">
        <f>IF(LEN(Q491)&lt;=135,"",IF(LEN(Q491)&lt;=260,RIGHT(Q491,LEN(Q491)-SEARCH(" ",Q491,125)),MID(Q491,SEARCH(" ",Q491,130),IF(LEN(Q491)&lt;=265,LEN(Q491),SEARCH(" ",Q491,255)-SEARCH(" ",Q491,130)))))</f>
        <v/>
      </c>
      <c r="E437" s="590"/>
      <c r="F437" s="590"/>
      <c r="G437" s="590"/>
      <c r="H437" s="590"/>
      <c r="I437" s="590"/>
      <c r="J437" s="590"/>
      <c r="K437" s="590"/>
      <c r="L437" s="590"/>
      <c r="M437" s="68"/>
      <c r="O437" s="29"/>
      <c r="P437" s="34" t="s">
        <v>183</v>
      </c>
      <c r="Q437" s="15" t="str">
        <f>IF(OR(Q435="",Q436=""),"",Q436-Q435)</f>
        <v/>
      </c>
      <c r="R437" s="121" t="str">
        <f t="shared" si="110"/>
        <v/>
      </c>
      <c r="Y437" s="31"/>
    </row>
    <row r="438" spans="1:25" ht="14.1" customHeight="1">
      <c r="A438" s="16">
        <v>6</v>
      </c>
      <c r="B438" s="66"/>
      <c r="C438" s="589"/>
      <c r="D438" s="525" t="str">
        <f>IF(LEN(Q491)&lt;=265,"",RIGHT(Q491,LEN(Q491)-SEARCH(" ",Q491,255)))</f>
        <v/>
      </c>
      <c r="E438" s="590"/>
      <c r="F438" s="590"/>
      <c r="G438" s="590"/>
      <c r="H438" s="590"/>
      <c r="I438" s="590"/>
      <c r="J438" s="590"/>
      <c r="K438" s="590"/>
      <c r="L438" s="590"/>
      <c r="M438" s="68"/>
      <c r="O438" s="29"/>
      <c r="Y438" s="31"/>
    </row>
    <row r="439" spans="1:25" ht="14.1" customHeight="1">
      <c r="A439" s="16">
        <v>7</v>
      </c>
      <c r="B439" s="66"/>
      <c r="C439" s="599"/>
      <c r="D439" s="525" t="str">
        <f>IF(Q493="","",IF(LEN(Q493)&lt;=135,Q493,IF(LEN(Q493)&lt;=260,LEFT(Q493,SEARCH(" ",Q493,125)),LEFT(Q493,SEARCH(" ",Q493,130)))))</f>
        <v/>
      </c>
      <c r="E439" s="590"/>
      <c r="F439" s="590"/>
      <c r="G439" s="590"/>
      <c r="H439" s="590"/>
      <c r="I439" s="590"/>
      <c r="J439" s="590"/>
      <c r="K439" s="590"/>
      <c r="L439" s="590"/>
      <c r="M439" s="68"/>
      <c r="O439" s="273" t="s">
        <v>354</v>
      </c>
      <c r="Y439" s="31"/>
    </row>
    <row r="440" spans="1:25" ht="14.1" customHeight="1">
      <c r="A440" s="16">
        <v>8</v>
      </c>
      <c r="B440" s="66"/>
      <c r="C440" s="599"/>
      <c r="D440" s="525" t="str">
        <f>IF(LEN(Q493)&lt;=135,"",IF(LEN(Q493)&lt;=260,RIGHT(Q493,LEN(Q493)-SEARCH(" ",Q493,125)),MID(Q493,SEARCH(" ",Q493,130),IF(LEN(Q493)&lt;=265,LEN(Q493),SEARCH(" ",Q493,255)-SEARCH(" ",Q493,130)))))</f>
        <v/>
      </c>
      <c r="E440" s="590"/>
      <c r="F440" s="590"/>
      <c r="G440" s="590"/>
      <c r="H440" s="590"/>
      <c r="I440" s="590"/>
      <c r="J440" s="590"/>
      <c r="K440" s="590"/>
      <c r="L440" s="590"/>
      <c r="M440" s="68"/>
      <c r="O440" s="29"/>
      <c r="Q440" s="34" t="s">
        <v>324</v>
      </c>
      <c r="R440" s="260"/>
      <c r="U440" s="34" t="s">
        <v>324</v>
      </c>
      <c r="V440" s="260"/>
      <c r="Y440" s="31"/>
    </row>
    <row r="441" spans="1:25" ht="14.1" customHeight="1">
      <c r="A441" s="16">
        <v>9</v>
      </c>
      <c r="B441" s="66"/>
      <c r="C441" s="599"/>
      <c r="D441" s="525" t="str">
        <f>IF(LEN(Q493)&lt;=265,"",RIGHT(Q493,LEN(Q493)-SEARCH(" ",Q493,255)))</f>
        <v/>
      </c>
      <c r="E441" s="590"/>
      <c r="F441" s="590"/>
      <c r="G441" s="590"/>
      <c r="H441" s="590"/>
      <c r="I441" s="590"/>
      <c r="J441" s="590"/>
      <c r="K441" s="590"/>
      <c r="L441" s="590"/>
      <c r="M441" s="68"/>
      <c r="O441" s="29"/>
      <c r="Q441" s="684" t="s">
        <v>251</v>
      </c>
      <c r="R441" s="684" t="s">
        <v>252</v>
      </c>
      <c r="U441" s="684" t="s">
        <v>251</v>
      </c>
      <c r="V441" s="684" t="s">
        <v>252</v>
      </c>
      <c r="Y441" s="31"/>
    </row>
    <row r="442" spans="1:25" ht="14.1" customHeight="1">
      <c r="A442" s="16">
        <v>10</v>
      </c>
      <c r="B442" s="66"/>
      <c r="C442" s="601"/>
      <c r="D442" s="525" t="str">
        <f>IF(Q495="","",IF(LEN(Q495)&lt;=135,Q495,IF(LEN(Q495)&lt;=260,LEFT(Q495,SEARCH(" ",Q495,125)),LEFT(Q495,SEARCH(" ",Q495,130)))))</f>
        <v/>
      </c>
      <c r="E442" s="590"/>
      <c r="F442" s="590"/>
      <c r="G442" s="590"/>
      <c r="H442" s="590"/>
      <c r="I442" s="590"/>
      <c r="J442" s="590"/>
      <c r="K442" s="590"/>
      <c r="L442" s="590"/>
      <c r="M442" s="68"/>
      <c r="O442" s="159"/>
      <c r="P442" s="34" t="s">
        <v>185</v>
      </c>
      <c r="Q442" s="143"/>
      <c r="R442" s="143"/>
      <c r="T442" s="34" t="s">
        <v>185</v>
      </c>
      <c r="U442" s="143"/>
      <c r="V442" s="143"/>
      <c r="Y442" s="31"/>
    </row>
    <row r="443" spans="1:25" ht="14.1" customHeight="1">
      <c r="A443" s="16">
        <v>11</v>
      </c>
      <c r="B443" s="66"/>
      <c r="C443" s="601"/>
      <c r="D443" s="525" t="str">
        <f>IF(LEN(Q495)&lt;=135,"",IF(LEN(Q495)&lt;=260,RIGHT(Q495,LEN(Q495)-SEARCH(" ",Q495,125)),MID(Q495,SEARCH(" ",Q495,130),IF(LEN(Q495)&lt;=265,LEN(Q495),SEARCH(" ",Q495,255)-SEARCH(" ",Q495,130)))))</f>
        <v/>
      </c>
      <c r="E443" s="590"/>
      <c r="F443" s="590"/>
      <c r="G443" s="590"/>
      <c r="H443" s="590"/>
      <c r="I443" s="590"/>
      <c r="J443" s="590"/>
      <c r="K443" s="590"/>
      <c r="L443" s="590"/>
      <c r="M443" s="68"/>
      <c r="O443" s="159"/>
      <c r="P443" s="34" t="s">
        <v>187</v>
      </c>
      <c r="Q443" s="143"/>
      <c r="R443" s="143"/>
      <c r="T443" s="34" t="s">
        <v>187</v>
      </c>
      <c r="U443" s="143"/>
      <c r="V443" s="143"/>
      <c r="Y443" s="31"/>
    </row>
    <row r="444" spans="1:25" ht="14.1" customHeight="1">
      <c r="A444" s="16">
        <v>12</v>
      </c>
      <c r="B444" s="66"/>
      <c r="C444" s="601"/>
      <c r="D444" s="525" t="str">
        <f>IF(LEN(Q495)&lt;=265,"",RIGHT(Q495,LEN(Q495)-SEARCH(" ",Q495,255)))</f>
        <v/>
      </c>
      <c r="E444" s="590"/>
      <c r="F444" s="590"/>
      <c r="G444" s="590"/>
      <c r="H444" s="590"/>
      <c r="I444" s="590"/>
      <c r="J444" s="590"/>
      <c r="K444" s="590"/>
      <c r="L444" s="590"/>
      <c r="M444" s="68"/>
      <c r="O444" s="159"/>
      <c r="P444" s="34" t="s">
        <v>189</v>
      </c>
      <c r="Q444" s="143"/>
      <c r="R444" s="143"/>
      <c r="T444" s="34" t="s">
        <v>189</v>
      </c>
      <c r="U444" s="143"/>
      <c r="V444" s="143"/>
      <c r="Y444" s="31"/>
    </row>
    <row r="445" spans="1:25" ht="14.1" customHeight="1">
      <c r="A445" s="16">
        <v>13</v>
      </c>
      <c r="B445" s="66"/>
      <c r="C445" s="561"/>
      <c r="D445" s="525" t="str">
        <f>IF(Q497="","",IF(LEN(Q497)&lt;=135,Q497,IF(LEN(Q497)&lt;=260,LEFT(Q497,SEARCH(" ",Q497,125)),LEFT(Q497,SEARCH(" ",Q497,130)))))</f>
        <v/>
      </c>
      <c r="E445" s="590"/>
      <c r="F445" s="590"/>
      <c r="G445" s="590"/>
      <c r="H445" s="590"/>
      <c r="I445" s="590"/>
      <c r="J445" s="590"/>
      <c r="K445" s="590"/>
      <c r="L445" s="590"/>
      <c r="M445" s="68"/>
      <c r="O445" s="29"/>
      <c r="Y445" s="31"/>
    </row>
    <row r="446" spans="1:25" ht="14.1" customHeight="1">
      <c r="A446" s="16">
        <v>14</v>
      </c>
      <c r="B446" s="66"/>
      <c r="C446" s="589"/>
      <c r="D446" s="525" t="str">
        <f>IF(LEN(Q497)&lt;=135,"",IF(LEN(Q497)&lt;=260,RIGHT(Q497,LEN(Q497)-SEARCH(" ",Q497,125)),MID(Q497,SEARCH(" ",Q497,130),IF(LEN(Q497)&lt;=265,LEN(Q497),SEARCH(" ",Q497,255)-SEARCH(" ",Q497,130)))))</f>
        <v/>
      </c>
      <c r="E446" s="590"/>
      <c r="F446" s="590"/>
      <c r="G446" s="590"/>
      <c r="H446" s="590"/>
      <c r="I446" s="590"/>
      <c r="J446" s="590"/>
      <c r="K446" s="590"/>
      <c r="L446" s="590"/>
      <c r="M446" s="68"/>
      <c r="O446" s="273" t="s">
        <v>355</v>
      </c>
      <c r="Q446" s="4"/>
      <c r="R446" s="34" t="s">
        <v>356</v>
      </c>
      <c r="S446" s="863" t="str">
        <f>Q259</f>
        <v>800004-1204146</v>
      </c>
      <c r="Y446" s="31"/>
    </row>
    <row r="447" spans="1:25" ht="14.1" customHeight="1">
      <c r="A447" s="16">
        <v>15</v>
      </c>
      <c r="B447" s="66"/>
      <c r="C447" s="589"/>
      <c r="D447" s="525" t="str">
        <f>IF(LEN(Q497)&lt;=265,"",RIGHT(Q497,LEN(Q497)-SEARCH(" ",Q497,255)))</f>
        <v/>
      </c>
      <c r="E447" s="590"/>
      <c r="F447" s="590"/>
      <c r="G447" s="590"/>
      <c r="H447" s="590"/>
      <c r="I447" s="590"/>
      <c r="J447" s="590"/>
      <c r="K447" s="590"/>
      <c r="L447" s="590"/>
      <c r="M447" s="68"/>
      <c r="O447" s="29"/>
      <c r="P447" s="34" t="s">
        <v>785</v>
      </c>
      <c r="Q447" s="274" t="s">
        <v>610</v>
      </c>
      <c r="R447" s="275"/>
      <c r="S447" s="276" t="s">
        <v>786</v>
      </c>
      <c r="Y447" s="31"/>
    </row>
    <row r="448" spans="1:25" ht="14.1" customHeight="1">
      <c r="A448" s="16">
        <v>16</v>
      </c>
      <c r="B448" s="66"/>
      <c r="C448" s="561"/>
      <c r="D448" s="525" t="str">
        <f>IF(Q499="","",IF(LEN(Q499)&lt;=135,Q499,IF(LEN(Q499)&lt;=260,LEFT(Q499,SEARCH(" ",Q499,125)),LEFT(Q499,SEARCH(" ",Q499,130)))))</f>
        <v/>
      </c>
      <c r="E448" s="590"/>
      <c r="F448" s="590"/>
      <c r="G448" s="590"/>
      <c r="H448" s="590"/>
      <c r="I448" s="590"/>
      <c r="J448" s="590"/>
      <c r="K448" s="590"/>
      <c r="L448" s="590"/>
      <c r="M448" s="68"/>
      <c r="O448" s="29"/>
      <c r="P448" s="34" t="s">
        <v>93</v>
      </c>
      <c r="Q448" s="274"/>
      <c r="R448" s="275"/>
      <c r="S448" s="276"/>
      <c r="T448" s="34" t="s">
        <v>318</v>
      </c>
      <c r="U448" s="34" t="s">
        <v>69</v>
      </c>
      <c r="V448" s="277" t="str">
        <f t="shared" ref="V448:V453" si="111">IF(AB103="","",AB103)</f>
        <v/>
      </c>
      <c r="W448" s="278" t="str">
        <f t="shared" ref="W448:W453" si="112">IF(AB109="","",AB109)</f>
        <v/>
      </c>
      <c r="X448" s="279" t="str">
        <f t="shared" ref="X448:X453" si="113">IF(AB115="","",AB115)</f>
        <v/>
      </c>
      <c r="Y448" s="31"/>
    </row>
    <row r="449" spans="1:30" ht="14.1" customHeight="1">
      <c r="A449" s="16">
        <v>17</v>
      </c>
      <c r="B449" s="66"/>
      <c r="C449" s="589"/>
      <c r="D449" s="525" t="str">
        <f>IF(LEN(Q499)&lt;=135,"",IF(LEN(Q499)&lt;=260,RIGHT(Q499,LEN(Q499)-SEARCH(" ",Q499,125)),MID(Q499,SEARCH(" ",Q499,130),IF(LEN(Q499)&lt;=265,LEN(Q499),SEARCH(" ",Q499,255)-SEARCH(" ",Q499,130)))))</f>
        <v/>
      </c>
      <c r="E449" s="590"/>
      <c r="F449" s="590"/>
      <c r="G449" s="590"/>
      <c r="H449" s="590"/>
      <c r="I449" s="590"/>
      <c r="J449" s="590"/>
      <c r="K449" s="590"/>
      <c r="L449" s="590"/>
      <c r="M449" s="68"/>
      <c r="O449" s="29"/>
      <c r="P449" s="34" t="s">
        <v>171</v>
      </c>
      <c r="Q449" s="274"/>
      <c r="R449" s="275"/>
      <c r="S449" s="276"/>
      <c r="T449" s="4"/>
      <c r="U449" s="34" t="s">
        <v>266</v>
      </c>
      <c r="V449" s="277" t="str">
        <f t="shared" si="111"/>
        <v/>
      </c>
      <c r="W449" s="278" t="str">
        <f t="shared" si="112"/>
        <v/>
      </c>
      <c r="X449" s="279" t="str">
        <f t="shared" si="113"/>
        <v/>
      </c>
      <c r="Y449" s="31"/>
    </row>
    <row r="450" spans="1:30" ht="14.1" customHeight="1">
      <c r="A450" s="16">
        <v>18</v>
      </c>
      <c r="B450" s="66"/>
      <c r="C450" s="589"/>
      <c r="D450" s="525" t="str">
        <f>IF(LEN(Q499)&lt;=265,"",RIGHT(Q499,LEN(Q499)-SEARCH(" ",Q499,255)))</f>
        <v/>
      </c>
      <c r="E450" s="590"/>
      <c r="F450" s="590"/>
      <c r="G450" s="590"/>
      <c r="H450" s="590"/>
      <c r="I450" s="590"/>
      <c r="J450" s="590"/>
      <c r="K450" s="590"/>
      <c r="L450" s="590"/>
      <c r="M450" s="68"/>
      <c r="O450" s="29"/>
      <c r="P450" s="34" t="s">
        <v>216</v>
      </c>
      <c r="Q450" s="280"/>
      <c r="R450" s="281"/>
      <c r="S450" s="282"/>
      <c r="T450" s="4"/>
      <c r="U450" s="34" t="s">
        <v>70</v>
      </c>
      <c r="V450" s="283" t="str">
        <f t="shared" si="111"/>
        <v/>
      </c>
      <c r="W450" s="284" t="str">
        <f t="shared" si="112"/>
        <v/>
      </c>
      <c r="X450" s="285" t="str">
        <f t="shared" si="113"/>
        <v/>
      </c>
      <c r="Y450" s="31"/>
    </row>
    <row r="451" spans="1:30" ht="14.1" customHeight="1">
      <c r="A451" s="16">
        <v>19</v>
      </c>
      <c r="B451" s="66"/>
      <c r="C451" s="561"/>
      <c r="D451" s="525" t="str">
        <f>IF(Q501="","",IF(LEN(Q501)&lt;=135,Q501,IF(LEN(Q501)&lt;=260,LEFT(Q501,SEARCH(" ",Q501,125)),LEFT(Q501,SEARCH(" ",Q501,130)))))</f>
        <v/>
      </c>
      <c r="E451" s="590"/>
      <c r="F451" s="590"/>
      <c r="G451" s="590"/>
      <c r="H451" s="590"/>
      <c r="I451" s="590"/>
      <c r="J451" s="590"/>
      <c r="K451" s="590"/>
      <c r="L451" s="590"/>
      <c r="M451" s="68"/>
      <c r="O451" s="29"/>
      <c r="P451" s="34" t="s">
        <v>185</v>
      </c>
      <c r="Q451" s="280"/>
      <c r="R451" s="281"/>
      <c r="S451" s="282"/>
      <c r="T451" s="4"/>
      <c r="U451" s="34" t="s">
        <v>357</v>
      </c>
      <c r="V451" s="283" t="str">
        <f t="shared" si="111"/>
        <v/>
      </c>
      <c r="W451" s="284" t="str">
        <f t="shared" si="112"/>
        <v/>
      </c>
      <c r="X451" s="285" t="str">
        <f t="shared" si="113"/>
        <v/>
      </c>
      <c r="Y451" s="31"/>
    </row>
    <row r="452" spans="1:30" ht="14.1" customHeight="1">
      <c r="A452" s="16">
        <v>20</v>
      </c>
      <c r="B452" s="66"/>
      <c r="C452" s="589"/>
      <c r="D452" s="525" t="str">
        <f>IF(LEN(Q501)&lt;=135,"",IF(LEN(Q501)&lt;=260,RIGHT(Q501,LEN(Q501)-SEARCH(" ",Q501,125)),MID(Q501,SEARCH(" ",Q501,130),IF(LEN(Q501)&lt;=265,LEN(Q501),SEARCH(" ",Q501,255)-SEARCH(" ",Q501,130)))))</f>
        <v/>
      </c>
      <c r="E452" s="590"/>
      <c r="F452" s="590"/>
      <c r="G452" s="590"/>
      <c r="H452" s="590"/>
      <c r="I452" s="590"/>
      <c r="J452" s="590"/>
      <c r="K452" s="590"/>
      <c r="L452" s="590"/>
      <c r="M452" s="68"/>
      <c r="O452" s="29"/>
      <c r="P452" s="34" t="s">
        <v>187</v>
      </c>
      <c r="Q452" s="280"/>
      <c r="R452" s="281"/>
      <c r="S452" s="282"/>
      <c r="T452" s="4"/>
      <c r="U452" s="34" t="s">
        <v>358</v>
      </c>
      <c r="V452" s="283" t="str">
        <f t="shared" si="111"/>
        <v/>
      </c>
      <c r="W452" s="284" t="str">
        <f t="shared" si="112"/>
        <v/>
      </c>
      <c r="X452" s="285" t="str">
        <f t="shared" si="113"/>
        <v/>
      </c>
      <c r="Y452" s="31"/>
    </row>
    <row r="453" spans="1:30" ht="14.1" customHeight="1">
      <c r="A453" s="16">
        <v>21</v>
      </c>
      <c r="B453" s="66"/>
      <c r="C453" s="589"/>
      <c r="D453" s="525" t="str">
        <f>IF(LEN(Q501)&lt;=265,"",RIGHT(Q501,LEN(Q501)-SEARCH(" ",Q501,255)))</f>
        <v/>
      </c>
      <c r="E453" s="590"/>
      <c r="F453" s="590"/>
      <c r="G453" s="590"/>
      <c r="H453" s="590"/>
      <c r="I453" s="590"/>
      <c r="J453" s="590"/>
      <c r="K453" s="590"/>
      <c r="L453" s="475"/>
      <c r="M453" s="68"/>
      <c r="O453" s="29"/>
      <c r="P453" s="34" t="s">
        <v>189</v>
      </c>
      <c r="Q453" s="280"/>
      <c r="R453" s="281"/>
      <c r="S453" s="282"/>
      <c r="T453" s="4"/>
      <c r="U453" s="34" t="s">
        <v>359</v>
      </c>
      <c r="V453" s="283" t="str">
        <f t="shared" si="111"/>
        <v/>
      </c>
      <c r="W453" s="284" t="str">
        <f t="shared" si="112"/>
        <v/>
      </c>
      <c r="X453" s="285" t="str">
        <f t="shared" si="113"/>
        <v/>
      </c>
      <c r="Y453" s="31"/>
    </row>
    <row r="454" spans="1:30" ht="14.1" customHeight="1">
      <c r="A454" s="16">
        <v>22</v>
      </c>
      <c r="B454" s="66"/>
      <c r="C454" s="561"/>
      <c r="D454" s="525" t="str">
        <f>IF(Q503="","",IF(LEN(Q503)&lt;=135,Q503,IF(LEN(Q503)&lt;=260,LEFT(Q503,SEARCH(" ",Q503,125)),LEFT(Q503,SEARCH(" ",Q503,130)))))</f>
        <v/>
      </c>
      <c r="E454" s="590"/>
      <c r="F454" s="590"/>
      <c r="G454" s="590"/>
      <c r="H454" s="590"/>
      <c r="I454" s="590"/>
      <c r="J454" s="590"/>
      <c r="K454" s="590"/>
      <c r="L454" s="475"/>
      <c r="M454" s="68"/>
      <c r="O454" s="29"/>
      <c r="P454" s="286"/>
      <c r="Q454" s="2" t="str">
        <f>IF(Q451="","",IF(AND(Q451&gt;=5,Q452&gt;=4,Q453&gt;=4),"Pass","Fail"))</f>
        <v/>
      </c>
      <c r="R454" s="2" t="str">
        <f>IF(R451="","",IF(AND(R451&gt;=5,R452&gt;=4,R453&gt;=4),"Pass","Fail"))</f>
        <v/>
      </c>
      <c r="S454" s="2" t="str">
        <f>IF(S451="","",IF(S447="3D",IF(AND(S451&gt;=4,S452&gt;=3,S453&gt;=3),"Pass","Fail"),IF(S447="2D",IF(AND(S451&gt;=5,S452&gt;=4,S453&gt;=4),"Pass","Fail"))))</f>
        <v/>
      </c>
      <c r="T454" s="4"/>
      <c r="U454" s="4"/>
      <c r="V454" s="4"/>
      <c r="Y454" s="31"/>
      <c r="AA454" s="941"/>
      <c r="AB454" s="941"/>
      <c r="AC454" s="941"/>
      <c r="AD454" s="941"/>
    </row>
    <row r="455" spans="1:30" ht="14.1" customHeight="1">
      <c r="A455" s="16">
        <v>23</v>
      </c>
      <c r="B455" s="66"/>
      <c r="C455" s="67"/>
      <c r="D455" s="525" t="str">
        <f>IF(LEN(Q503)&lt;=135,"",IF(LEN(Q503)&lt;=260,RIGHT(Q503,LEN(Q503)-SEARCH(" ",Q503,125)),MID(Q503,SEARCH(" ",Q503,130),IF(LEN(Q503)&lt;=265,LEN(Q503),SEARCH(" ",Q503,255)-SEARCH(" ",Q503,130)))))</f>
        <v/>
      </c>
      <c r="E455" s="475"/>
      <c r="F455" s="475"/>
      <c r="G455" s="475"/>
      <c r="H455" s="475"/>
      <c r="I455" s="475"/>
      <c r="J455" s="475"/>
      <c r="K455" s="475"/>
      <c r="L455" s="475"/>
      <c r="M455" s="68"/>
      <c r="O455" s="29"/>
      <c r="P455" s="112" t="s">
        <v>201</v>
      </c>
      <c r="Q455" s="26" t="s">
        <v>783</v>
      </c>
      <c r="Y455" s="31"/>
      <c r="AA455" s="776"/>
      <c r="AB455" s="776"/>
      <c r="AC455" s="776"/>
      <c r="AD455" s="776"/>
    </row>
    <row r="456" spans="1:30" ht="14.1" customHeight="1" thickBot="1">
      <c r="A456" s="16">
        <v>24</v>
      </c>
      <c r="B456" s="66"/>
      <c r="C456" s="67"/>
      <c r="D456" s="525" t="str">
        <f>IF(LEN(Q503)&lt;=265,"",RIGHT(Q503,LEN(Q503)-SEARCH(" ",Q503,255)))</f>
        <v/>
      </c>
      <c r="E456" s="475"/>
      <c r="F456" s="475"/>
      <c r="G456" s="475"/>
      <c r="H456" s="475"/>
      <c r="I456" s="475"/>
      <c r="J456" s="475"/>
      <c r="K456" s="475"/>
      <c r="L456" s="475"/>
      <c r="M456" s="68"/>
      <c r="O456" s="39"/>
      <c r="P456" s="287"/>
      <c r="Q456" s="859" t="s">
        <v>784</v>
      </c>
      <c r="R456" s="189"/>
      <c r="S456" s="189"/>
      <c r="T456" s="40"/>
      <c r="U456" s="40"/>
      <c r="V456" s="40"/>
      <c r="W456" s="40"/>
      <c r="X456" s="40"/>
      <c r="Y456" s="41"/>
    </row>
    <row r="457" spans="1:30" ht="14.1" customHeight="1">
      <c r="A457" s="16">
        <v>25</v>
      </c>
      <c r="B457" s="66"/>
      <c r="C457" s="67"/>
      <c r="D457" s="525" t="str">
        <f>IF(Q505="","",IF(LEN(Q505)&lt;=135,Q505,IF(LEN(Q505)&lt;=260,LEFT(Q505,SEARCH(" ",Q505,125)),LEFT(Q505,SEARCH(" ",Q505,130)))))</f>
        <v/>
      </c>
      <c r="E457" s="475"/>
      <c r="F457" s="475"/>
      <c r="G457" s="475"/>
      <c r="H457" s="475"/>
      <c r="I457" s="475"/>
      <c r="J457" s="475"/>
      <c r="K457" s="475"/>
      <c r="L457" s="475"/>
      <c r="M457" s="68"/>
      <c r="O457" s="137" t="s">
        <v>361</v>
      </c>
      <c r="Y457" s="31"/>
    </row>
    <row r="458" spans="1:30" ht="14.1" customHeight="1">
      <c r="A458" s="16">
        <v>26</v>
      </c>
      <c r="B458" s="66"/>
      <c r="C458" s="589"/>
      <c r="D458" s="525" t="str">
        <f>IF(LEN(Q505)&lt;=135,"",IF(LEN(Q505)&lt;=260,RIGHT(Q505,LEN(Q505)-SEARCH(" ",Q505,125)),MID(Q505,SEARCH(" ",Q505,130),IF(LEN(Q505)&lt;=265,LEN(Q505),SEARCH(" ",Q505,255)-SEARCH(" ",Q505,130)))))</f>
        <v/>
      </c>
      <c r="E458" s="590"/>
      <c r="F458" s="590"/>
      <c r="G458" s="590"/>
      <c r="H458" s="590"/>
      <c r="I458" s="590"/>
      <c r="J458" s="590"/>
      <c r="K458" s="590"/>
      <c r="L458" s="608"/>
      <c r="M458" s="68"/>
      <c r="O458" s="29"/>
      <c r="T458" s="684" t="s">
        <v>362</v>
      </c>
      <c r="U458" s="684" t="s">
        <v>363</v>
      </c>
      <c r="Y458" s="31"/>
    </row>
    <row r="459" spans="1:30" ht="14.1" customHeight="1">
      <c r="A459" s="16">
        <v>27</v>
      </c>
      <c r="B459" s="66"/>
      <c r="C459" s="67"/>
      <c r="D459" s="525" t="str">
        <f>IF(LEN(Q505)&lt;=265,"",RIGHT(Q505,LEN(Q505)-SEARCH(" ",Q505,255)))</f>
        <v/>
      </c>
      <c r="E459" s="475"/>
      <c r="F459" s="475"/>
      <c r="G459" s="475"/>
      <c r="H459" s="475"/>
      <c r="I459" s="475"/>
      <c r="J459" s="475"/>
      <c r="K459" s="475"/>
      <c r="L459" s="475"/>
      <c r="M459" s="68"/>
      <c r="O459" s="29"/>
      <c r="P459" s="34" t="s">
        <v>171</v>
      </c>
      <c r="Q459" s="136">
        <f>U228</f>
        <v>28</v>
      </c>
      <c r="R459" s="34"/>
      <c r="S459" s="34" t="s">
        <v>364</v>
      </c>
      <c r="T459" s="143" t="str">
        <f>Q237</f>
        <v/>
      </c>
      <c r="U459" s="143"/>
      <c r="Y459" s="31"/>
    </row>
    <row r="460" spans="1:30" ht="14.1" customHeight="1">
      <c r="A460" s="16">
        <v>28</v>
      </c>
      <c r="B460" s="66"/>
      <c r="M460" s="68"/>
      <c r="O460" s="29"/>
      <c r="P460" s="34" t="s">
        <v>174</v>
      </c>
      <c r="Q460" s="136">
        <f>T260</f>
        <v>100</v>
      </c>
      <c r="R460" s="34"/>
      <c r="S460" s="34" t="s">
        <v>365</v>
      </c>
      <c r="T460" s="143" t="str">
        <f>R237</f>
        <v/>
      </c>
      <c r="U460" s="143" t="str">
        <f>S237</f>
        <v/>
      </c>
      <c r="Y460" s="31"/>
    </row>
    <row r="461" spans="1:30" ht="14.1" customHeight="1">
      <c r="A461" s="16">
        <v>29</v>
      </c>
      <c r="B461" s="66"/>
      <c r="M461" s="68"/>
      <c r="O461" s="29"/>
      <c r="P461" s="34" t="s">
        <v>50</v>
      </c>
      <c r="Q461" s="260" t="str">
        <f>V21</f>
        <v/>
      </c>
      <c r="Y461" s="31"/>
    </row>
    <row r="462" spans="1:30" ht="14.1" customHeight="1">
      <c r="A462" s="16">
        <v>30</v>
      </c>
      <c r="B462" s="66"/>
      <c r="M462" s="68"/>
      <c r="O462" s="29"/>
      <c r="P462" s="34" t="s">
        <v>52</v>
      </c>
      <c r="Q462" s="260" t="str">
        <f>V24</f>
        <v/>
      </c>
      <c r="T462" s="684" t="s">
        <v>317</v>
      </c>
      <c r="U462" s="684" t="s">
        <v>318</v>
      </c>
      <c r="V462" s="684" t="s">
        <v>287</v>
      </c>
      <c r="W462" s="684" t="s">
        <v>366</v>
      </c>
      <c r="X462" s="684" t="s">
        <v>288</v>
      </c>
      <c r="Y462" s="31"/>
    </row>
    <row r="463" spans="1:30" ht="14.1" customHeight="1">
      <c r="A463" s="16">
        <v>31</v>
      </c>
      <c r="B463" s="66"/>
      <c r="M463" s="68"/>
      <c r="O463" s="29"/>
      <c r="S463" s="34" t="s">
        <v>196</v>
      </c>
      <c r="T463" s="246" t="str">
        <f>IF(OR(T460="",U460=""),"",(T460-50)/U460)</f>
        <v/>
      </c>
      <c r="U463" s="708" t="str">
        <f>IF(AB121="","",AB121)</f>
        <v/>
      </c>
      <c r="V463" s="247" t="str">
        <f>IF(OR(T463="",W463=""),"",ABS(T463-W463)/W463)</f>
        <v/>
      </c>
      <c r="W463" s="288"/>
      <c r="X463" s="248" t="str">
        <f>IF(OR(T463="",V463=""),"",IF(AND(T463&gt;=40,V463&lt;=0.15),"Pass","Fail"))</f>
        <v/>
      </c>
      <c r="Y463" s="31"/>
    </row>
    <row r="464" spans="1:30" ht="14.1" customHeight="1">
      <c r="A464" s="16">
        <v>32</v>
      </c>
      <c r="B464" s="66"/>
      <c r="M464" s="68"/>
      <c r="O464" s="29"/>
      <c r="S464" s="34" t="s">
        <v>197</v>
      </c>
      <c r="T464" s="246" t="str">
        <f>IF(OR(T460="",T459=""),"",(T460-T459)/U460)</f>
        <v/>
      </c>
      <c r="U464" s="708" t="str">
        <f>IF(AB122="","",AB122)</f>
        <v/>
      </c>
      <c r="V464" s="247" t="str">
        <f>IF(OR(T464="",W464=""),"",ABS(T464-W464)/W464)</f>
        <v/>
      </c>
      <c r="W464" s="288"/>
      <c r="X464" s="15" t="str">
        <f>IF(OR(T464="",V464=""),"",IF(AND(T464&gt;=2,V464&lt;=0.15),"Pass","Fail"))</f>
        <v/>
      </c>
      <c r="Y464" s="31"/>
    </row>
    <row r="465" spans="1:28" ht="14.1" customHeight="1">
      <c r="A465" s="16">
        <v>33</v>
      </c>
      <c r="B465" s="66"/>
      <c r="M465" s="68"/>
      <c r="O465" s="29"/>
      <c r="P465" s="112" t="s">
        <v>201</v>
      </c>
      <c r="Q465" s="190" t="s">
        <v>367</v>
      </c>
      <c r="R465" s="67"/>
      <c r="S465" s="67"/>
      <c r="T465" s="67"/>
      <c r="U465" s="67"/>
      <c r="V465" s="67"/>
      <c r="W465" s="67"/>
      <c r="X465" s="67"/>
      <c r="Y465" s="31"/>
    </row>
    <row r="466" spans="1:28" ht="14.1" customHeight="1">
      <c r="A466" s="16">
        <v>34</v>
      </c>
      <c r="B466" s="66"/>
      <c r="M466" s="68"/>
      <c r="O466" s="29"/>
      <c r="Q466" s="26" t="s">
        <v>368</v>
      </c>
      <c r="Y466" s="31"/>
    </row>
    <row r="467" spans="1:28" ht="14.1" customHeight="1" thickBot="1">
      <c r="A467" s="16">
        <v>35</v>
      </c>
      <c r="B467" s="66"/>
      <c r="M467" s="68"/>
      <c r="O467" s="39"/>
      <c r="P467" s="40"/>
      <c r="Q467" s="40"/>
      <c r="R467" s="40"/>
      <c r="S467" s="40"/>
      <c r="T467" s="40"/>
      <c r="U467" s="40"/>
      <c r="V467" s="40"/>
      <c r="W467" s="40"/>
      <c r="X467" s="40"/>
      <c r="Y467" s="41"/>
    </row>
    <row r="468" spans="1:28" ht="14.1" customHeight="1">
      <c r="A468" s="16">
        <v>36</v>
      </c>
      <c r="B468" s="66"/>
      <c r="M468" s="68"/>
      <c r="O468"/>
      <c r="P468"/>
      <c r="Q468"/>
      <c r="R468"/>
      <c r="S468"/>
      <c r="T468"/>
      <c r="U468"/>
      <c r="V468"/>
      <c r="W468"/>
      <c r="X468"/>
      <c r="Y468"/>
      <c r="AA468"/>
      <c r="AB468"/>
    </row>
    <row r="469" spans="1:28" ht="14.1" customHeight="1">
      <c r="A469" s="16">
        <v>37</v>
      </c>
      <c r="B469" s="66"/>
      <c r="M469" s="68"/>
      <c r="O469"/>
      <c r="P469"/>
      <c r="Q469"/>
      <c r="R469"/>
      <c r="S469"/>
      <c r="T469"/>
      <c r="U469"/>
      <c r="V469"/>
      <c r="W469"/>
      <c r="X469"/>
      <c r="Y469"/>
      <c r="AA469"/>
      <c r="AB469"/>
    </row>
    <row r="470" spans="1:28" ht="14.1" customHeight="1">
      <c r="A470" s="16">
        <v>38</v>
      </c>
      <c r="B470" s="66"/>
      <c r="M470" s="68"/>
      <c r="O470"/>
      <c r="P470"/>
      <c r="Q470"/>
      <c r="R470"/>
      <c r="S470"/>
      <c r="T470"/>
      <c r="U470"/>
      <c r="V470"/>
      <c r="W470"/>
      <c r="X470"/>
      <c r="Y470"/>
      <c r="AA470"/>
      <c r="AB470"/>
    </row>
    <row r="471" spans="1:28" ht="14.1" customHeight="1">
      <c r="A471" s="16">
        <v>39</v>
      </c>
      <c r="B471" s="66"/>
      <c r="M471" s="68"/>
      <c r="O471"/>
      <c r="P471"/>
      <c r="Q471"/>
      <c r="R471"/>
      <c r="S471"/>
      <c r="T471"/>
      <c r="U471"/>
      <c r="V471"/>
      <c r="W471"/>
      <c r="X471"/>
      <c r="Y471"/>
      <c r="AA471"/>
      <c r="AB471"/>
    </row>
    <row r="472" spans="1:28" ht="14.1" customHeight="1">
      <c r="A472" s="16">
        <v>40</v>
      </c>
      <c r="B472" s="66"/>
      <c r="C472" s="67"/>
      <c r="D472" s="67"/>
      <c r="E472" s="67"/>
      <c r="F472" s="67"/>
      <c r="G472" s="67"/>
      <c r="H472" s="67"/>
      <c r="I472" s="67"/>
      <c r="J472" s="67"/>
      <c r="K472" s="67"/>
      <c r="L472" s="67"/>
      <c r="M472" s="68"/>
      <c r="O472"/>
      <c r="P472"/>
      <c r="Q472"/>
      <c r="R472"/>
      <c r="S472"/>
      <c r="T472"/>
      <c r="U472"/>
      <c r="V472"/>
      <c r="W472"/>
      <c r="X472"/>
      <c r="Y472"/>
      <c r="AA472"/>
      <c r="AB472"/>
    </row>
    <row r="473" spans="1:28" ht="14.1" customHeight="1">
      <c r="A473" s="16">
        <v>41</v>
      </c>
      <c r="B473" s="66"/>
      <c r="C473" s="67"/>
      <c r="D473" s="67"/>
      <c r="E473" s="67"/>
      <c r="F473" s="67"/>
      <c r="G473" s="67"/>
      <c r="H473" s="67"/>
      <c r="I473" s="67"/>
      <c r="J473" s="67"/>
      <c r="K473" s="67"/>
      <c r="L473" s="67"/>
      <c r="M473" s="68"/>
      <c r="O473"/>
      <c r="P473"/>
      <c r="Q473"/>
      <c r="R473"/>
      <c r="S473"/>
      <c r="T473"/>
      <c r="U473"/>
      <c r="V473"/>
      <c r="W473"/>
      <c r="X473"/>
      <c r="Y473"/>
      <c r="AA473"/>
      <c r="AB473"/>
    </row>
    <row r="474" spans="1:28" ht="14.1" customHeight="1">
      <c r="A474" s="16">
        <v>42</v>
      </c>
      <c r="B474" s="66"/>
      <c r="C474" s="67"/>
      <c r="D474" s="67"/>
      <c r="E474" s="67"/>
      <c r="F474" s="67"/>
      <c r="G474" s="67"/>
      <c r="H474" s="67"/>
      <c r="I474" s="67"/>
      <c r="J474" s="67"/>
      <c r="K474" s="67"/>
      <c r="L474" s="67"/>
      <c r="M474" s="68"/>
      <c r="O474"/>
      <c r="P474"/>
      <c r="Q474"/>
      <c r="R474"/>
      <c r="S474"/>
      <c r="T474"/>
      <c r="U474"/>
      <c r="V474"/>
      <c r="W474"/>
      <c r="X474"/>
      <c r="Y474"/>
      <c r="AA474"/>
      <c r="AB474"/>
    </row>
    <row r="475" spans="1:28" ht="14.1" customHeight="1">
      <c r="A475" s="16">
        <v>43</v>
      </c>
      <c r="B475" s="66"/>
      <c r="C475" s="67"/>
      <c r="D475" s="67"/>
      <c r="E475" s="67"/>
      <c r="F475" s="67"/>
      <c r="G475" s="67"/>
      <c r="H475" s="67"/>
      <c r="I475" s="67"/>
      <c r="J475" s="67"/>
      <c r="K475" s="67"/>
      <c r="L475" s="67"/>
      <c r="M475" s="68"/>
      <c r="O475"/>
      <c r="P475"/>
      <c r="Q475"/>
      <c r="R475"/>
      <c r="S475"/>
      <c r="T475"/>
      <c r="U475"/>
      <c r="V475"/>
      <c r="W475"/>
      <c r="X475"/>
      <c r="Y475"/>
    </row>
    <row r="476" spans="1:28" ht="14.1" customHeight="1">
      <c r="A476" s="16">
        <v>44</v>
      </c>
      <c r="B476" s="66"/>
      <c r="C476" s="67"/>
      <c r="D476" s="67"/>
      <c r="E476" s="67"/>
      <c r="F476" s="67"/>
      <c r="G476" s="67"/>
      <c r="H476" s="67"/>
      <c r="I476" s="67"/>
      <c r="J476" s="67"/>
      <c r="K476" s="67"/>
      <c r="L476" s="67"/>
      <c r="M476" s="68"/>
      <c r="O476"/>
      <c r="P476"/>
      <c r="Q476"/>
      <c r="R476"/>
      <c r="S476"/>
      <c r="T476"/>
      <c r="U476"/>
      <c r="V476"/>
      <c r="W476"/>
      <c r="X476"/>
      <c r="Y476"/>
    </row>
    <row r="477" spans="1:28" ht="14.1" customHeight="1">
      <c r="A477" s="16">
        <v>45</v>
      </c>
      <c r="B477" s="66"/>
      <c r="C477" s="67"/>
      <c r="D477" s="67"/>
      <c r="E477" s="67"/>
      <c r="F477" s="67"/>
      <c r="G477" s="67"/>
      <c r="H477" s="67"/>
      <c r="I477" s="67"/>
      <c r="J477" s="67"/>
      <c r="K477" s="67"/>
      <c r="L477" s="67"/>
      <c r="M477" s="68"/>
    </row>
    <row r="478" spans="1:28" ht="14.1" customHeight="1">
      <c r="A478" s="16">
        <v>46</v>
      </c>
      <c r="B478" s="66"/>
      <c r="C478" s="67"/>
      <c r="D478" s="67"/>
      <c r="E478" s="67"/>
      <c r="F478" s="67"/>
      <c r="G478" s="67"/>
      <c r="H478" s="67"/>
      <c r="I478" s="67"/>
      <c r="J478" s="67"/>
      <c r="K478" s="67"/>
      <c r="L478" s="67"/>
      <c r="M478" s="68"/>
    </row>
    <row r="479" spans="1:28" ht="14.1" customHeight="1">
      <c r="A479" s="16">
        <v>47</v>
      </c>
      <c r="B479" s="66"/>
      <c r="C479" s="67"/>
      <c r="D479" s="67"/>
      <c r="E479" s="67"/>
      <c r="F479" s="67"/>
      <c r="G479" s="67"/>
      <c r="H479" s="67"/>
      <c r="I479" s="67"/>
      <c r="J479" s="67"/>
      <c r="K479" s="67"/>
      <c r="L479" s="67"/>
      <c r="M479" s="68"/>
    </row>
    <row r="480" spans="1:28" ht="14.1" customHeight="1">
      <c r="A480" s="16">
        <v>48</v>
      </c>
      <c r="B480" s="66"/>
      <c r="C480" s="67"/>
      <c r="D480" s="67"/>
      <c r="E480" s="67"/>
      <c r="F480" s="67"/>
      <c r="G480" s="67"/>
      <c r="H480" s="67"/>
      <c r="I480" s="67"/>
      <c r="J480" s="67"/>
      <c r="K480" s="67"/>
      <c r="L480" s="67"/>
      <c r="M480" s="68"/>
    </row>
    <row r="481" spans="1:25" ht="14.1" customHeight="1">
      <c r="A481" s="16">
        <v>49</v>
      </c>
      <c r="B481" s="66"/>
      <c r="C481" s="67"/>
      <c r="D481" s="67"/>
      <c r="E481" s="67"/>
      <c r="F481" s="67"/>
      <c r="G481" s="67"/>
      <c r="H481" s="67"/>
      <c r="I481" s="67"/>
      <c r="J481" s="67"/>
      <c r="K481" s="67"/>
      <c r="L481" s="67"/>
      <c r="M481" s="68"/>
    </row>
    <row r="482" spans="1:25" ht="14.1" customHeight="1">
      <c r="A482" s="16">
        <v>50</v>
      </c>
      <c r="B482" s="66"/>
      <c r="C482" s="67"/>
      <c r="D482" s="67"/>
      <c r="E482" s="67"/>
      <c r="F482" s="67"/>
      <c r="G482" s="67"/>
      <c r="H482" s="67"/>
      <c r="I482" s="67"/>
      <c r="J482" s="67"/>
      <c r="K482" s="67"/>
      <c r="L482" s="67"/>
      <c r="M482" s="68"/>
    </row>
    <row r="483" spans="1:25" ht="14.1" customHeight="1">
      <c r="A483" s="16">
        <v>51</v>
      </c>
      <c r="B483" s="66"/>
      <c r="C483" s="67"/>
      <c r="D483" s="67"/>
      <c r="E483" s="67"/>
      <c r="F483" s="67"/>
      <c r="G483" s="67"/>
      <c r="H483" s="67"/>
      <c r="I483" s="67"/>
      <c r="J483" s="67"/>
      <c r="K483" s="67"/>
      <c r="L483" s="67"/>
      <c r="M483" s="68"/>
    </row>
    <row r="484" spans="1:25" ht="14.1" customHeight="1">
      <c r="A484" s="16">
        <v>52</v>
      </c>
      <c r="B484" s="66"/>
      <c r="C484" s="67"/>
      <c r="D484" s="67"/>
      <c r="E484" s="67"/>
      <c r="F484" s="67"/>
      <c r="G484" s="67"/>
      <c r="H484" s="67"/>
      <c r="I484" s="67"/>
      <c r="J484" s="67"/>
      <c r="K484" s="67"/>
      <c r="L484" s="67"/>
      <c r="M484" s="68"/>
    </row>
    <row r="485" spans="1:25" ht="14.1" customHeight="1">
      <c r="A485" s="16">
        <v>53</v>
      </c>
      <c r="B485" s="66"/>
      <c r="C485" s="67"/>
      <c r="D485" s="67"/>
      <c r="E485" s="67"/>
      <c r="F485" s="67"/>
      <c r="G485" s="67"/>
      <c r="H485" s="67"/>
      <c r="I485" s="67"/>
      <c r="J485" s="67"/>
      <c r="K485" s="67"/>
      <c r="L485" s="67"/>
      <c r="M485" s="68"/>
    </row>
    <row r="486" spans="1:25" ht="14.1" customHeight="1">
      <c r="A486" s="16">
        <v>54</v>
      </c>
      <c r="B486" s="66"/>
      <c r="C486" s="67"/>
      <c r="D486" s="67"/>
      <c r="E486" s="67"/>
      <c r="F486" s="67"/>
      <c r="G486" s="67"/>
      <c r="H486" s="67"/>
      <c r="I486" s="67"/>
      <c r="J486" s="67"/>
      <c r="K486" s="67"/>
      <c r="L486" s="67"/>
      <c r="M486" s="68"/>
    </row>
    <row r="487" spans="1:25" ht="14.1" customHeight="1">
      <c r="A487" s="16">
        <v>55</v>
      </c>
      <c r="B487" s="66"/>
      <c r="C487" s="67"/>
      <c r="D487" s="67"/>
      <c r="E487" s="67"/>
      <c r="F487" s="67"/>
      <c r="G487" s="67"/>
      <c r="H487" s="67"/>
      <c r="I487" s="67"/>
      <c r="J487" s="67"/>
      <c r="K487" s="67"/>
      <c r="L487" s="67"/>
      <c r="M487" s="68"/>
    </row>
    <row r="488" spans="1:25" ht="14.1" customHeight="1">
      <c r="A488" s="16">
        <v>56</v>
      </c>
      <c r="B488" s="66"/>
      <c r="C488" s="67"/>
      <c r="D488" s="67"/>
      <c r="E488" s="67"/>
      <c r="F488" s="67"/>
      <c r="G488" s="67"/>
      <c r="H488" s="67"/>
      <c r="I488" s="67"/>
      <c r="J488" s="67"/>
      <c r="K488" s="67"/>
      <c r="L488" s="67"/>
      <c r="M488" s="68"/>
      <c r="O488" s="552"/>
      <c r="P488" s="552"/>
      <c r="Q488" s="552"/>
      <c r="R488" s="552"/>
      <c r="S488" s="552"/>
      <c r="T488" s="553" t="s">
        <v>528</v>
      </c>
      <c r="U488" s="552"/>
      <c r="V488" s="552"/>
      <c r="W488" s="552"/>
      <c r="X488" s="552"/>
      <c r="Y488" s="552"/>
    </row>
    <row r="489" spans="1:25" ht="14.1" customHeight="1" thickBot="1">
      <c r="A489" s="16">
        <v>57</v>
      </c>
      <c r="B489" s="66"/>
      <c r="C489" s="67"/>
      <c r="D489" s="67"/>
      <c r="E489" s="67"/>
      <c r="F489" s="67"/>
      <c r="G489" s="67"/>
      <c r="H489" s="67"/>
      <c r="I489" s="67"/>
      <c r="J489" s="67"/>
      <c r="K489" s="67"/>
      <c r="L489" s="67"/>
      <c r="M489" s="68"/>
      <c r="O489" s="552"/>
      <c r="P489" s="554" t="s">
        <v>529</v>
      </c>
      <c r="Q489" s="552"/>
      <c r="R489" s="552"/>
      <c r="S489" s="552"/>
      <c r="T489" s="552"/>
      <c r="U489" s="552"/>
      <c r="V489" s="552"/>
      <c r="W489" s="552"/>
      <c r="X489" s="552"/>
      <c r="Y489" s="552"/>
    </row>
    <row r="490" spans="1:25" ht="14.1" customHeight="1" thickTop="1" thickBot="1">
      <c r="A490" s="16">
        <v>58</v>
      </c>
      <c r="B490" s="79"/>
      <c r="C490" s="80"/>
      <c r="D490" s="80"/>
      <c r="E490" s="80"/>
      <c r="F490" s="80"/>
      <c r="G490" s="80"/>
      <c r="H490" s="80"/>
      <c r="I490" s="80"/>
      <c r="J490" s="80"/>
      <c r="K490" s="80"/>
      <c r="L490" s="80"/>
      <c r="M490" s="81"/>
      <c r="O490" s="555"/>
      <c r="P490" s="556"/>
      <c r="Q490" s="556"/>
      <c r="R490" s="557"/>
      <c r="S490" s="558" t="s">
        <v>530</v>
      </c>
      <c r="T490" s="556"/>
      <c r="U490" s="556"/>
      <c r="V490" s="556"/>
      <c r="W490" s="556"/>
      <c r="X490" s="556"/>
      <c r="Y490" s="559"/>
    </row>
    <row r="491" spans="1:25" ht="14.1" customHeight="1" thickTop="1">
      <c r="A491" s="16">
        <v>59</v>
      </c>
      <c r="O491" s="560"/>
      <c r="P491" s="561" t="s">
        <v>221</v>
      </c>
      <c r="Q491" s="562"/>
      <c r="R491" s="563"/>
      <c r="S491" s="564" t="str">
        <f>IF(OR(AD720=0,AD720=""),"",AD720)</f>
        <v/>
      </c>
      <c r="T491" s="565"/>
      <c r="U491" s="565"/>
      <c r="V491" s="565"/>
      <c r="W491" s="565"/>
      <c r="X491" s="565"/>
      <c r="Y491" s="566"/>
    </row>
    <row r="492" spans="1:25" ht="14.1" customHeight="1">
      <c r="A492" s="16">
        <v>60</v>
      </c>
      <c r="O492" s="567"/>
      <c r="P492" s="568" t="s">
        <v>531</v>
      </c>
      <c r="Q492" s="569"/>
      <c r="R492" s="570">
        <f>LEN(Q491)</f>
        <v>0</v>
      </c>
      <c r="S492" s="571"/>
      <c r="T492" s="572">
        <f>LEN(S491)</f>
        <v>0</v>
      </c>
      <c r="U492" s="573"/>
      <c r="V492" s="574"/>
      <c r="W492" s="574"/>
      <c r="X492" s="574"/>
      <c r="Y492" s="575"/>
    </row>
    <row r="493" spans="1:25" ht="14.1" customHeight="1">
      <c r="A493" s="16">
        <v>61</v>
      </c>
      <c r="O493" s="567"/>
      <c r="P493" s="561" t="s">
        <v>532</v>
      </c>
      <c r="Q493" s="562"/>
      <c r="R493" s="563"/>
      <c r="S493" s="564" t="str">
        <f>IF(OR(AD722=0,AD722=""),"",AD722)</f>
        <v/>
      </c>
      <c r="T493" s="565"/>
      <c r="U493" s="565"/>
      <c r="V493" s="565"/>
      <c r="W493" s="565"/>
      <c r="X493" s="565"/>
      <c r="Y493" s="566"/>
    </row>
    <row r="494" spans="1:25" ht="14.1" customHeight="1">
      <c r="A494" s="16">
        <v>62</v>
      </c>
      <c r="O494" s="567"/>
      <c r="P494" s="568" t="s">
        <v>531</v>
      </c>
      <c r="Q494" s="569"/>
      <c r="R494" s="570">
        <f>LEN(Q493)</f>
        <v>0</v>
      </c>
      <c r="S494" s="571"/>
      <c r="T494" s="572">
        <f>LEN(S493)</f>
        <v>0</v>
      </c>
      <c r="U494" s="573"/>
      <c r="V494" s="565"/>
      <c r="W494" s="565"/>
      <c r="X494" s="565"/>
      <c r="Y494" s="566"/>
    </row>
    <row r="495" spans="1:25" ht="14.1" customHeight="1">
      <c r="A495" s="16">
        <v>63</v>
      </c>
      <c r="O495" s="576"/>
      <c r="P495" s="561" t="s">
        <v>532</v>
      </c>
      <c r="Q495" s="562"/>
      <c r="R495" s="563"/>
      <c r="S495" s="564" t="str">
        <f>IF(OR(AD724=0,AD724=""),"",AD724)</f>
        <v/>
      </c>
      <c r="T495" s="574"/>
      <c r="U495" s="574"/>
      <c r="V495" s="574"/>
      <c r="W495" s="574"/>
      <c r="X495" s="574"/>
      <c r="Y495" s="575"/>
    </row>
    <row r="496" spans="1:25" ht="14.1" customHeight="1">
      <c r="A496" s="16">
        <v>64</v>
      </c>
      <c r="O496" s="567"/>
      <c r="P496" s="568" t="s">
        <v>531</v>
      </c>
      <c r="Q496" s="569"/>
      <c r="R496" s="570">
        <f>LEN(Q495)</f>
        <v>0</v>
      </c>
      <c r="S496" s="571"/>
      <c r="T496" s="572">
        <f>LEN(S495)</f>
        <v>0</v>
      </c>
      <c r="U496" s="573"/>
      <c r="V496" s="565"/>
      <c r="W496" s="565"/>
      <c r="X496" s="565"/>
      <c r="Y496" s="566"/>
    </row>
    <row r="497" spans="1:25" ht="14.1" customHeight="1">
      <c r="A497" s="16">
        <v>65</v>
      </c>
      <c r="O497" s="567"/>
      <c r="P497" s="561" t="s">
        <v>532</v>
      </c>
      <c r="Q497" s="562"/>
      <c r="R497" s="563"/>
      <c r="S497" s="564" t="str">
        <f>IF(OR(AD726=0,AD726=""),"",AD726)</f>
        <v/>
      </c>
      <c r="T497" s="565"/>
      <c r="U497" s="565"/>
      <c r="V497" s="565"/>
      <c r="W497" s="565"/>
      <c r="X497" s="565"/>
      <c r="Y497" s="566"/>
    </row>
    <row r="498" spans="1:25" ht="14.1" customHeight="1">
      <c r="A498" s="16">
        <v>66</v>
      </c>
      <c r="O498" s="576"/>
      <c r="P498" s="568" t="s">
        <v>531</v>
      </c>
      <c r="Q498" s="569"/>
      <c r="R498" s="570">
        <f>LEN(Q497)</f>
        <v>0</v>
      </c>
      <c r="S498" s="571"/>
      <c r="T498" s="572">
        <f>LEN(S497)</f>
        <v>0</v>
      </c>
      <c r="U498" s="573"/>
      <c r="V498" s="574"/>
      <c r="W498" s="574"/>
      <c r="X498" s="574"/>
      <c r="Y498" s="575"/>
    </row>
    <row r="499" spans="1:25" ht="14.1" customHeight="1">
      <c r="A499" s="16">
        <v>67</v>
      </c>
      <c r="O499" s="567"/>
      <c r="P499" s="561" t="s">
        <v>532</v>
      </c>
      <c r="Q499" s="562"/>
      <c r="R499" s="563"/>
      <c r="S499" s="564" t="str">
        <f>IF(OR(AD728=0,AD728=""),"",AD728)</f>
        <v/>
      </c>
      <c r="T499" s="565"/>
      <c r="U499" s="565"/>
      <c r="V499" s="565"/>
      <c r="W499" s="565"/>
      <c r="X499" s="565"/>
      <c r="Y499" s="566"/>
    </row>
    <row r="500" spans="1:25" ht="14.1" customHeight="1">
      <c r="A500" s="16">
        <v>68</v>
      </c>
      <c r="O500" s="567"/>
      <c r="P500" s="568" t="s">
        <v>531</v>
      </c>
      <c r="Q500" s="569"/>
      <c r="R500" s="570">
        <f>LEN(Q499)</f>
        <v>0</v>
      </c>
      <c r="S500" s="571"/>
      <c r="T500" s="572">
        <f>LEN(S499)</f>
        <v>0</v>
      </c>
      <c r="U500" s="573"/>
      <c r="V500" s="565"/>
      <c r="W500" s="565"/>
      <c r="X500" s="565"/>
      <c r="Y500" s="566"/>
    </row>
    <row r="501" spans="1:25" ht="14.1" customHeight="1">
      <c r="A501" s="16">
        <v>69</v>
      </c>
      <c r="O501" s="576"/>
      <c r="P501" s="561" t="s">
        <v>532</v>
      </c>
      <c r="Q501" s="562"/>
      <c r="R501" s="563"/>
      <c r="S501" s="564" t="str">
        <f>IF(OR(AD730=0,AD730=""),"",AD730)</f>
        <v/>
      </c>
      <c r="T501" s="574"/>
      <c r="U501" s="574"/>
      <c r="V501" s="574"/>
      <c r="W501" s="574"/>
      <c r="X501" s="574"/>
      <c r="Y501" s="575"/>
    </row>
    <row r="502" spans="1:25" ht="14.1" customHeight="1">
      <c r="A502" s="16">
        <v>70</v>
      </c>
      <c r="O502" s="567"/>
      <c r="P502" s="568" t="s">
        <v>531</v>
      </c>
      <c r="Q502" s="577"/>
      <c r="R502" s="578">
        <f>LEN(Q501)</f>
        <v>0</v>
      </c>
      <c r="S502" s="579"/>
      <c r="T502" s="580">
        <f>LEN(S501)</f>
        <v>0</v>
      </c>
      <c r="U502" s="581"/>
      <c r="V502" s="582"/>
      <c r="W502" s="582"/>
      <c r="X502" s="582"/>
      <c r="Y502" s="566"/>
    </row>
    <row r="503" spans="1:25" ht="14.1" customHeight="1">
      <c r="A503" s="16">
        <v>71</v>
      </c>
      <c r="C503" s="108" t="s">
        <v>10</v>
      </c>
      <c r="D503" s="367" t="str">
        <f>IF($P$7="","",$P$7)</f>
        <v/>
      </c>
      <c r="E503" s="26"/>
      <c r="F503" s="26"/>
      <c r="G503" s="26"/>
      <c r="H503" s="26"/>
      <c r="I503" s="26"/>
      <c r="J503" s="26"/>
      <c r="K503" s="26"/>
      <c r="L503" s="108" t="s">
        <v>11</v>
      </c>
      <c r="M503" s="368" t="str">
        <f>IF($X$7="","",$X$7)</f>
        <v>Eugene Mah</v>
      </c>
      <c r="O503" s="567"/>
      <c r="P503" s="561" t="s">
        <v>532</v>
      </c>
      <c r="Q503" s="562"/>
      <c r="R503" s="563"/>
      <c r="S503" s="564" t="str">
        <f>IF(OR(AD732=0,AD732=""),"",AD732)</f>
        <v/>
      </c>
      <c r="T503" s="574"/>
      <c r="U503" s="574"/>
      <c r="V503" s="574"/>
      <c r="W503" s="574"/>
      <c r="X503" s="574"/>
      <c r="Y503" s="566"/>
    </row>
    <row r="504" spans="1:25" ht="14.1" customHeight="1">
      <c r="A504" s="16">
        <v>72</v>
      </c>
      <c r="C504" s="108" t="s">
        <v>119</v>
      </c>
      <c r="D504" s="368" t="str">
        <f>IF($R$14="","",$R$14)</f>
        <v/>
      </c>
      <c r="E504" s="26"/>
      <c r="F504" s="26"/>
      <c r="G504" s="26"/>
      <c r="H504" s="26"/>
      <c r="I504" s="26"/>
      <c r="J504" s="26"/>
      <c r="K504" s="26"/>
      <c r="L504" s="108" t="s">
        <v>36</v>
      </c>
      <c r="M504" s="368" t="str">
        <f>IF($R$13="","",$R$13)</f>
        <v/>
      </c>
      <c r="O504" s="576"/>
      <c r="P504" s="568" t="s">
        <v>531</v>
      </c>
      <c r="Q504" s="577"/>
      <c r="R504" s="578">
        <f>LEN(Q503)</f>
        <v>0</v>
      </c>
      <c r="S504" s="579"/>
      <c r="T504" s="580">
        <f>LEN(S503)</f>
        <v>0</v>
      </c>
      <c r="U504" s="581"/>
      <c r="V504" s="582"/>
      <c r="W504" s="582"/>
      <c r="X504" s="582"/>
      <c r="Y504" s="575"/>
    </row>
    <row r="505" spans="1:25" ht="14.1" customHeight="1">
      <c r="O505" s="567"/>
      <c r="P505" s="561" t="s">
        <v>532</v>
      </c>
      <c r="Q505" s="562"/>
      <c r="R505" s="563"/>
      <c r="S505" s="564" t="str">
        <f>IF(OR(AD734=0,AD734=""),"",AD734)</f>
        <v/>
      </c>
      <c r="T505" s="574"/>
      <c r="U505" s="574"/>
      <c r="V505" s="574"/>
      <c r="W505" s="574"/>
      <c r="X505" s="574"/>
      <c r="Y505" s="566"/>
    </row>
    <row r="506" spans="1:25" ht="14.1" customHeight="1">
      <c r="O506" s="567"/>
      <c r="P506" s="568" t="s">
        <v>531</v>
      </c>
      <c r="Q506" s="577"/>
      <c r="R506" s="578">
        <f>LEN(Q505)</f>
        <v>0</v>
      </c>
      <c r="S506" s="579"/>
      <c r="T506" s="580">
        <f>LEN(S505)</f>
        <v>0</v>
      </c>
      <c r="U506" s="581"/>
      <c r="V506" s="582"/>
      <c r="W506" s="582"/>
      <c r="X506" s="582"/>
      <c r="Y506" s="566"/>
    </row>
    <row r="507" spans="1:25" ht="14.1" customHeight="1">
      <c r="O507" s="576"/>
      <c r="P507" s="561"/>
      <c r="Q507" s="585"/>
      <c r="R507" s="586"/>
      <c r="S507" s="587"/>
      <c r="T507" s="588"/>
      <c r="U507" s="588"/>
      <c r="V507" s="588"/>
      <c r="W507" s="588"/>
      <c r="X507" s="588"/>
      <c r="Y507" s="575"/>
    </row>
    <row r="508" spans="1:25" ht="14.1" customHeight="1">
      <c r="O508" s="567"/>
      <c r="P508" s="568"/>
      <c r="Q508" s="591"/>
      <c r="R508" s="592"/>
      <c r="S508" s="592"/>
      <c r="T508" s="592"/>
      <c r="U508" s="593"/>
      <c r="V508" s="594"/>
      <c r="W508" s="594"/>
      <c r="X508" s="594"/>
      <c r="Y508" s="566"/>
    </row>
    <row r="509" spans="1:25" ht="14.1" customHeight="1">
      <c r="O509" s="567"/>
      <c r="P509" s="595"/>
      <c r="Q509" s="596"/>
      <c r="R509" s="597"/>
      <c r="S509" s="598"/>
      <c r="T509" s="582"/>
      <c r="U509" s="582"/>
      <c r="V509" s="582"/>
      <c r="W509" s="582"/>
      <c r="X509" s="582"/>
      <c r="Y509" s="566"/>
    </row>
    <row r="510" spans="1:25" ht="14.1" customHeight="1">
      <c r="O510" s="576"/>
      <c r="P510" s="600"/>
      <c r="Q510" s="600"/>
      <c r="R510" s="586"/>
      <c r="S510" s="588"/>
      <c r="T510" s="588"/>
      <c r="U510" s="588"/>
      <c r="V510" s="588"/>
      <c r="W510" s="588"/>
      <c r="X510" s="588"/>
      <c r="Y510" s="575"/>
    </row>
    <row r="511" spans="1:25" ht="14.1" customHeight="1">
      <c r="O511" s="567"/>
      <c r="P511" s="600"/>
      <c r="Q511" s="600"/>
      <c r="R511" s="586"/>
      <c r="S511" s="594"/>
      <c r="T511" s="594"/>
      <c r="U511" s="594"/>
      <c r="V511" s="594"/>
      <c r="W511" s="594"/>
      <c r="X511" s="594"/>
      <c r="Y511" s="566"/>
    </row>
    <row r="512" spans="1:25" ht="14.1" customHeight="1">
      <c r="O512" s="567"/>
      <c r="P512" s="600"/>
      <c r="Q512" s="600"/>
      <c r="R512" s="586"/>
      <c r="S512" s="594"/>
      <c r="T512" s="594"/>
      <c r="U512" s="594"/>
      <c r="V512" s="594"/>
      <c r="W512" s="594"/>
      <c r="X512" s="594"/>
      <c r="Y512" s="566"/>
    </row>
    <row r="513" spans="15:25" ht="14.1" customHeight="1">
      <c r="O513" s="576"/>
      <c r="P513" s="600"/>
      <c r="Q513" s="600"/>
      <c r="R513" s="586"/>
      <c r="S513" s="602"/>
      <c r="T513" s="588"/>
      <c r="U513" s="588"/>
      <c r="V513" s="594"/>
      <c r="W513" s="594"/>
      <c r="X513" s="594"/>
      <c r="Y513" s="575"/>
    </row>
    <row r="514" spans="15:25" ht="14.1" customHeight="1">
      <c r="O514" s="567"/>
      <c r="P514" s="600"/>
      <c r="Q514" s="600"/>
      <c r="R514" s="586"/>
      <c r="S514" s="594"/>
      <c r="T514" s="586"/>
      <c r="U514" s="594"/>
      <c r="V514" s="586"/>
      <c r="W514" s="594"/>
      <c r="X514" s="594"/>
      <c r="Y514" s="566"/>
    </row>
    <row r="515" spans="15:25" ht="14.1" customHeight="1">
      <c r="O515" s="567"/>
      <c r="P515" s="600"/>
      <c r="Q515" s="600"/>
      <c r="R515" s="586"/>
      <c r="S515" s="594"/>
      <c r="T515" s="586"/>
      <c r="U515" s="594"/>
      <c r="V515" s="586"/>
      <c r="W515" s="594"/>
      <c r="X515" s="594"/>
      <c r="Y515" s="566"/>
    </row>
    <row r="516" spans="15:25" ht="14.1" customHeight="1">
      <c r="O516" s="576"/>
      <c r="P516" s="600"/>
      <c r="Q516" s="600"/>
      <c r="R516" s="586"/>
      <c r="S516" s="594"/>
      <c r="T516" s="586"/>
      <c r="U516" s="594"/>
      <c r="V516" s="586"/>
      <c r="W516" s="594"/>
      <c r="X516" s="594"/>
      <c r="Y516" s="575"/>
    </row>
    <row r="517" spans="15:25" ht="14.1" customHeight="1" thickBot="1">
      <c r="O517" s="603"/>
      <c r="P517" s="604"/>
      <c r="Q517" s="605"/>
      <c r="R517" s="606"/>
      <c r="S517" s="604"/>
      <c r="T517" s="604"/>
      <c r="U517" s="604"/>
      <c r="V517" s="604"/>
      <c r="W517" s="604"/>
      <c r="X517" s="604"/>
      <c r="Y517" s="607"/>
    </row>
    <row r="518" spans="15:25" ht="14.1" customHeight="1" thickTop="1"/>
  </sheetData>
  <mergeCells count="66">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 ref="K24:L24"/>
    <mergeCell ref="F10:G10"/>
    <mergeCell ref="K10:L10"/>
    <mergeCell ref="F11:G11"/>
    <mergeCell ref="K11:L11"/>
    <mergeCell ref="F12:G12"/>
    <mergeCell ref="K12:L12"/>
    <mergeCell ref="F13:G13"/>
    <mergeCell ref="K13:L13"/>
    <mergeCell ref="F16:G16"/>
    <mergeCell ref="K16:L16"/>
    <mergeCell ref="F17:G17"/>
    <mergeCell ref="K17:L17"/>
    <mergeCell ref="F25:G25"/>
    <mergeCell ref="F26:G26"/>
    <mergeCell ref="F28:G28"/>
    <mergeCell ref="K28:L28"/>
    <mergeCell ref="K27:L27"/>
    <mergeCell ref="K25:L25"/>
    <mergeCell ref="F29:G29"/>
    <mergeCell ref="K29:L29"/>
    <mergeCell ref="F30:G30"/>
    <mergeCell ref="K30:L30"/>
    <mergeCell ref="D35:F35"/>
    <mergeCell ref="G35:I35"/>
    <mergeCell ref="J35:L35"/>
    <mergeCell ref="G36:I36"/>
    <mergeCell ref="L44:M44"/>
    <mergeCell ref="P121:R122"/>
    <mergeCell ref="V121:X122"/>
    <mergeCell ref="S121:U122"/>
    <mergeCell ref="P129:R130"/>
    <mergeCell ref="S129:U130"/>
    <mergeCell ref="V129:X130"/>
    <mergeCell ref="P173:S173"/>
    <mergeCell ref="Q182:S182"/>
    <mergeCell ref="U182:W182"/>
    <mergeCell ref="Q194:S194"/>
    <mergeCell ref="U194:W194"/>
    <mergeCell ref="U245:W245"/>
    <mergeCell ref="S369:W369"/>
    <mergeCell ref="P371:P377"/>
    <mergeCell ref="C296:C302"/>
    <mergeCell ref="C303:C307"/>
    <mergeCell ref="C308:C312"/>
    <mergeCell ref="AA454:AB454"/>
    <mergeCell ref="AC454:AD454"/>
    <mergeCell ref="P378:P383"/>
    <mergeCell ref="P384:P388"/>
    <mergeCell ref="Q420:S420"/>
  </mergeCells>
  <conditionalFormatting sqref="R260:S260">
    <cfRule type="cellIs" dxfId="161" priority="230" stopIfTrue="1" operator="equal">
      <formula>"Fail"</formula>
    </cfRule>
  </conditionalFormatting>
  <conditionalFormatting sqref="Q392">
    <cfRule type="cellIs" dxfId="160" priority="232" stopIfTrue="1" operator="equal">
      <formula>"Fail"</formula>
    </cfRule>
  </conditionalFormatting>
  <conditionalFormatting sqref="Q407">
    <cfRule type="cellIs" dxfId="159" priority="234" stopIfTrue="1" operator="equal">
      <formula>"Fail"</formula>
    </cfRule>
  </conditionalFormatting>
  <conditionalFormatting sqref="R260:S260">
    <cfRule type="cellIs" dxfId="158" priority="229" stopIfTrue="1" operator="equal">
      <formula>"Pass"</formula>
    </cfRule>
  </conditionalFormatting>
  <conditionalFormatting sqref="Q392">
    <cfRule type="cellIs" dxfId="157" priority="231" stopIfTrue="1" operator="equal">
      <formula>"Pass"</formula>
    </cfRule>
  </conditionalFormatting>
  <conditionalFormatting sqref="Q407">
    <cfRule type="cellIs" dxfId="156" priority="233" stopIfTrue="1" operator="equal">
      <formula>"Pass"</formula>
    </cfRule>
  </conditionalFormatting>
  <conditionalFormatting sqref="U218:U220">
    <cfRule type="cellIs" dxfId="155" priority="222" operator="lessThan">
      <formula>0.1</formula>
    </cfRule>
    <cfRule type="cellIs" dxfId="154" priority="223" operator="greaterThan">
      <formula>0.1</formula>
    </cfRule>
  </conditionalFormatting>
  <conditionalFormatting sqref="T464">
    <cfRule type="cellIs" dxfId="153" priority="219" operator="lessThan">
      <formula>2</formula>
    </cfRule>
    <cfRule type="cellIs" dxfId="152" priority="220" operator="greaterThan">
      <formula>2</formula>
    </cfRule>
  </conditionalFormatting>
  <conditionalFormatting sqref="T463">
    <cfRule type="cellIs" dxfId="151" priority="217" operator="lessThan">
      <formula>40</formula>
    </cfRule>
    <cfRule type="cellIs" dxfId="150" priority="218" operator="greaterThan">
      <formula>40</formula>
    </cfRule>
  </conditionalFormatting>
  <conditionalFormatting sqref="V463:V464">
    <cfRule type="cellIs" dxfId="149" priority="215" operator="greaterThan">
      <formula>0.15</formula>
    </cfRule>
    <cfRule type="cellIs" dxfId="148" priority="216" operator="lessThan">
      <formula>0.15</formula>
    </cfRule>
  </conditionalFormatting>
  <conditionalFormatting sqref="X237:Y237">
    <cfRule type="cellIs" dxfId="147" priority="213" operator="lessThan">
      <formula>0.15</formula>
    </cfRule>
    <cfRule type="cellIs" dxfId="146" priority="214" operator="greaterThan">
      <formula>0.15</formula>
    </cfRule>
  </conditionalFormatting>
  <conditionalFormatting sqref="P239:V239">
    <cfRule type="cellIs" dxfId="145" priority="211" operator="lessThan">
      <formula>0.05</formula>
    </cfRule>
    <cfRule type="cellIs" dxfId="144" priority="212" operator="greaterThan">
      <formula>0.05</formula>
    </cfRule>
  </conditionalFormatting>
  <conditionalFormatting sqref="X220">
    <cfRule type="cellIs" dxfId="143" priority="209" operator="lessThan">
      <formula>0.05</formula>
    </cfRule>
    <cfRule type="cellIs" dxfId="142" priority="210" operator="greaterThan">
      <formula>0.05</formula>
    </cfRule>
  </conditionalFormatting>
  <conditionalFormatting sqref="Q188:S189 U188:W189">
    <cfRule type="cellIs" dxfId="141" priority="207" operator="lessThan">
      <formula>13</formula>
    </cfRule>
    <cfRule type="cellIs" dxfId="140" priority="208" operator="greaterThan">
      <formula>13</formula>
    </cfRule>
  </conditionalFormatting>
  <conditionalFormatting sqref="Q200:S200 U200:W200">
    <cfRule type="cellIs" dxfId="139" priority="205" operator="lessThan">
      <formula>6.5</formula>
    </cfRule>
    <cfRule type="cellIs" dxfId="138" priority="206" operator="greaterThan">
      <formula>6.5</formula>
    </cfRule>
  </conditionalFormatting>
  <conditionalFormatting sqref="Q201:S201 U201:W201">
    <cfRule type="cellIs" dxfId="137" priority="203" operator="lessThan">
      <formula>5</formula>
    </cfRule>
    <cfRule type="cellIs" dxfId="136" priority="204" operator="greaterThan">
      <formula>5</formula>
    </cfRule>
  </conditionalFormatting>
  <conditionalFormatting sqref="X265">
    <cfRule type="cellIs" dxfId="135" priority="199" operator="lessThan">
      <formula>3</formula>
    </cfRule>
    <cfRule type="cellIs" dxfId="134" priority="200" operator="greaterThan">
      <formula>3</formula>
    </cfRule>
  </conditionalFormatting>
  <conditionalFormatting sqref="X269">
    <cfRule type="cellIs" dxfId="133" priority="198" operator="between">
      <formula>-0.15</formula>
      <formula>0.15</formula>
    </cfRule>
  </conditionalFormatting>
  <conditionalFormatting sqref="P401:S401">
    <cfRule type="cellIs" dxfId="132" priority="195" operator="greaterThan">
      <formula>0.02</formula>
    </cfRule>
    <cfRule type="cellIs" dxfId="131" priority="196" operator="lessThan">
      <formula>0.02</formula>
    </cfRule>
  </conditionalFormatting>
  <conditionalFormatting sqref="Q211:R211">
    <cfRule type="containsText" dxfId="130" priority="186" operator="containsText" text="Fail">
      <formula>NOT(ISERROR(SEARCH("Fail",Q211)))</formula>
    </cfRule>
    <cfRule type="containsText" dxfId="129" priority="187" operator="containsText" text="Pass">
      <formula>NOT(ISERROR(SEARCH("Pass",Q211)))</formula>
    </cfRule>
  </conditionalFormatting>
  <conditionalFormatting sqref="V392">
    <cfRule type="cellIs" dxfId="128" priority="185" stopIfTrue="1" operator="equal">
      <formula>"Fail"</formula>
    </cfRule>
  </conditionalFormatting>
  <conditionalFormatting sqref="V392">
    <cfRule type="cellIs" dxfId="127" priority="184" stopIfTrue="1" operator="equal">
      <formula>"Pass"</formula>
    </cfRule>
  </conditionalFormatting>
  <conditionalFormatting sqref="U401:X401">
    <cfRule type="cellIs" dxfId="126" priority="182" operator="greaterThan">
      <formula>0.02</formula>
    </cfRule>
    <cfRule type="cellIs" dxfId="125" priority="183" operator="lessThan">
      <formula>0.02</formula>
    </cfRule>
  </conditionalFormatting>
  <conditionalFormatting sqref="T399">
    <cfRule type="cellIs" dxfId="124" priority="180" operator="lessThan">
      <formula>2.7</formula>
    </cfRule>
    <cfRule type="cellIs" dxfId="123" priority="181" operator="greaterThan">
      <formula>2.7</formula>
    </cfRule>
  </conditionalFormatting>
  <conditionalFormatting sqref="Y399">
    <cfRule type="cellIs" dxfId="122" priority="178" operator="lessThan">
      <formula>2.7</formula>
    </cfRule>
    <cfRule type="cellIs" dxfId="121" priority="179" operator="greaterThan">
      <formula>2.7</formula>
    </cfRule>
  </conditionalFormatting>
  <conditionalFormatting sqref="U247:W251">
    <cfRule type="cellIs" dxfId="120" priority="75" operator="lessThan">
      <formula>0.07</formula>
    </cfRule>
    <cfRule type="cellIs" dxfId="119" priority="76" operator="greaterThanOrEqual">
      <formula>0.07</formula>
    </cfRule>
  </conditionalFormatting>
  <conditionalFormatting sqref="J343">
    <cfRule type="cellIs" dxfId="118" priority="166" stopIfTrue="1" operator="equal">
      <formula>"Fail"</formula>
    </cfRule>
  </conditionalFormatting>
  <conditionalFormatting sqref="J343">
    <cfRule type="cellIs" dxfId="117" priority="165" stopIfTrue="1" operator="equal">
      <formula>"Pass"</formula>
    </cfRule>
  </conditionalFormatting>
  <conditionalFormatting sqref="E343">
    <cfRule type="cellIs" dxfId="116" priority="168" stopIfTrue="1" operator="equal">
      <formula>"Fail"</formula>
    </cfRule>
  </conditionalFormatting>
  <conditionalFormatting sqref="E343">
    <cfRule type="cellIs" dxfId="115" priority="167" stopIfTrue="1" operator="equal">
      <formula>"Pass"</formula>
    </cfRule>
  </conditionalFormatting>
  <conditionalFormatting sqref="Q254:S254">
    <cfRule type="cellIs" dxfId="114" priority="161" operator="lessThan">
      <formula>0.07</formula>
    </cfRule>
    <cfRule type="cellIs" dxfId="113" priority="162" operator="greaterThan">
      <formula>0.07</formula>
    </cfRule>
  </conditionalFormatting>
  <conditionalFormatting sqref="R349:R350 U349:U350 X349:X350">
    <cfRule type="containsText" dxfId="112" priority="155" operator="containsText" text="Fail">
      <formula>NOT(ISERROR(SEARCH("Fail",R349)))</formula>
    </cfRule>
  </conditionalFormatting>
  <conditionalFormatting sqref="R349:R350 U349:U350 X349:X350">
    <cfRule type="containsText" dxfId="111" priority="154" operator="containsText" text="Pass">
      <formula>NOT(ISERROR(SEARCH("Pass",R349)))</formula>
    </cfRule>
  </conditionalFormatting>
  <conditionalFormatting sqref="R313:R315">
    <cfRule type="cellIs" dxfId="110" priority="30" operator="equal">
      <formula>"Fail"</formula>
    </cfRule>
    <cfRule type="cellIs" dxfId="109" priority="31" operator="equal">
      <formula>"Pass"</formula>
    </cfRule>
  </conditionalFormatting>
  <conditionalFormatting sqref="V274:V276">
    <cfRule type="cellIs" dxfId="108" priority="40" operator="equal">
      <formula>"Pass"</formula>
    </cfRule>
    <cfRule type="cellIs" dxfId="107" priority="41" operator="equal">
      <formula>"Fail"</formula>
    </cfRule>
    <cfRule type="containsText" dxfId="106" priority="150" operator="containsText" text="Pass">
      <formula>NOT(ISERROR(SEARCH("Pass",V274)))</formula>
    </cfRule>
    <cfRule type="containsText" dxfId="105" priority="151" operator="containsText" text="Fail">
      <formula>NOT(ISERROR(SEARCH("Fail",V274)))</formula>
    </cfRule>
  </conditionalFormatting>
  <conditionalFormatting sqref="X288">
    <cfRule type="cellIs" dxfId="104" priority="145" operator="between">
      <formula>-0.15</formula>
      <formula>0.15</formula>
    </cfRule>
  </conditionalFormatting>
  <conditionalFormatting sqref="X284">
    <cfRule type="cellIs" dxfId="103" priority="143" operator="lessThan">
      <formula>3</formula>
    </cfRule>
    <cfRule type="cellIs" dxfId="102" priority="144" operator="greaterThan">
      <formula>3</formula>
    </cfRule>
  </conditionalFormatting>
  <conditionalFormatting sqref="X299">
    <cfRule type="cellIs" dxfId="101" priority="140" operator="between">
      <formula>-0.15</formula>
      <formula>0.15</formula>
    </cfRule>
  </conditionalFormatting>
  <conditionalFormatting sqref="X295">
    <cfRule type="cellIs" dxfId="100" priority="138" operator="lessThan">
      <formula>3</formula>
    </cfRule>
    <cfRule type="cellIs" dxfId="99" priority="139" operator="greaterThan">
      <formula>3</formula>
    </cfRule>
  </conditionalFormatting>
  <conditionalFormatting sqref="R147:R154">
    <cfRule type="cellIs" dxfId="98" priority="121" operator="lessThan">
      <formula>0.5</formula>
    </cfRule>
    <cfRule type="cellIs" dxfId="97" priority="122" operator="greaterThan">
      <formula>0.5</formula>
    </cfRule>
  </conditionalFormatting>
  <conditionalFormatting sqref="U175">
    <cfRule type="cellIs" dxfId="96" priority="119" operator="lessThan">
      <formula>160</formula>
    </cfRule>
    <cfRule type="cellIs" dxfId="95" priority="120" operator="greaterThan">
      <formula>160</formula>
    </cfRule>
  </conditionalFormatting>
  <conditionalFormatting sqref="Q210:R210">
    <cfRule type="cellIs" dxfId="94" priority="117" operator="lessThan">
      <formula>6</formula>
    </cfRule>
    <cfRule type="cellIs" dxfId="93" priority="118" operator="greaterThan">
      <formula>6</formula>
    </cfRule>
  </conditionalFormatting>
  <conditionalFormatting sqref="X269 X288 X299">
    <cfRule type="cellIs" dxfId="92" priority="114" operator="lessThan">
      <formula>-0.15</formula>
    </cfRule>
    <cfRule type="cellIs" dxfId="91" priority="115" operator="greaterThan">
      <formula>0.15</formula>
    </cfRule>
    <cfRule type="cellIs" dxfId="90" priority="116" operator="between">
      <formula>-0.15</formula>
      <formula>0.15</formula>
    </cfRule>
  </conditionalFormatting>
  <conditionalFormatting sqref="S306:T306">
    <cfRule type="cellIs" dxfId="89" priority="112" operator="lessThan">
      <formula>3</formula>
    </cfRule>
    <cfRule type="cellIs" dxfId="88" priority="113" operator="greaterThanOrEqual">
      <formula>3</formula>
    </cfRule>
  </conditionalFormatting>
  <conditionalFormatting sqref="P357:Q357">
    <cfRule type="cellIs" dxfId="87" priority="106" operator="lessThan">
      <formula>4</formula>
    </cfRule>
    <cfRule type="cellIs" dxfId="86" priority="107" operator="greaterThanOrEqual">
      <formula>4</formula>
    </cfRule>
  </conditionalFormatting>
  <conditionalFormatting sqref="P358:Q359">
    <cfRule type="cellIs" dxfId="85" priority="104" operator="lessThan">
      <formula>3</formula>
    </cfRule>
    <cfRule type="cellIs" dxfId="84" priority="105" operator="greaterThanOrEqual">
      <formula>3</formula>
    </cfRule>
  </conditionalFormatting>
  <conditionalFormatting sqref="X371:X388">
    <cfRule type="cellIs" dxfId="83" priority="101" operator="lessThan">
      <formula>-0.05</formula>
    </cfRule>
    <cfRule type="cellIs" dxfId="82" priority="102" operator="greaterThan">
      <formula>0.05</formula>
    </cfRule>
    <cfRule type="cellIs" dxfId="81" priority="103" operator="between">
      <formula>-0.05</formula>
      <formula>0.05</formula>
    </cfRule>
  </conditionalFormatting>
  <conditionalFormatting sqref="T413">
    <cfRule type="cellIs" dxfId="80" priority="99" operator="lessThan">
      <formula>0.1</formula>
    </cfRule>
    <cfRule type="cellIs" dxfId="79" priority="100" operator="greaterThan">
      <formula>0.1</formula>
    </cfRule>
  </conditionalFormatting>
  <conditionalFormatting sqref="Q423:S423">
    <cfRule type="cellIs" dxfId="78" priority="97" operator="lessThan">
      <formula>0.28</formula>
    </cfRule>
    <cfRule type="cellIs" dxfId="77" priority="98" operator="greaterThan">
      <formula>0.28</formula>
    </cfRule>
  </conditionalFormatting>
  <conditionalFormatting sqref="Q349 T349 W349">
    <cfRule type="cellIs" dxfId="76" priority="91" operator="lessThan">
      <formula>0.9</formula>
    </cfRule>
    <cfRule type="cellIs" dxfId="75" priority="92" operator="greaterThanOrEqual">
      <formula>0.9</formula>
    </cfRule>
  </conditionalFormatting>
  <conditionalFormatting sqref="Q350 T350 W350">
    <cfRule type="cellIs" dxfId="74" priority="89" operator="lessThan">
      <formula>0.6</formula>
    </cfRule>
    <cfRule type="cellIs" dxfId="73" priority="90" operator="greaterThanOrEqual">
      <formula>0.6</formula>
    </cfRule>
  </conditionalFormatting>
  <conditionalFormatting sqref="S274">
    <cfRule type="cellIs" dxfId="72" priority="87" operator="lessThan">
      <formula>$U$274</formula>
    </cfRule>
    <cfRule type="cellIs" dxfId="71" priority="88" operator="greaterThan">
      <formula>$U$274</formula>
    </cfRule>
  </conditionalFormatting>
  <conditionalFormatting sqref="S275">
    <cfRule type="cellIs" dxfId="70" priority="85" operator="lessThan">
      <formula>$U$275</formula>
    </cfRule>
    <cfRule type="cellIs" dxfId="69" priority="86" operator="greaterThan">
      <formula>$U$274</formula>
    </cfRule>
  </conditionalFormatting>
  <conditionalFormatting sqref="S276">
    <cfRule type="cellIs" dxfId="68" priority="83" operator="lessThan">
      <formula>$U$276</formula>
    </cfRule>
    <cfRule type="cellIs" dxfId="67" priority="84" operator="greaterThan">
      <formula>$U$276</formula>
    </cfRule>
  </conditionalFormatting>
  <conditionalFormatting sqref="Q454:S454">
    <cfRule type="cellIs" dxfId="66" priority="33" operator="equal">
      <formula>"Pass"</formula>
    </cfRule>
    <cfRule type="cellIs" dxfId="65" priority="81" operator="equal">
      <formula>"Pass"</formula>
    </cfRule>
    <cfRule type="cellIs" dxfId="64" priority="82" operator="equal">
      <formula>"Fail"</formula>
    </cfRule>
  </conditionalFormatting>
  <conditionalFormatting sqref="R141">
    <cfRule type="cellIs" dxfId="63" priority="77" operator="equal">
      <formula>"Pass"</formula>
    </cfRule>
    <cfRule type="cellIs" dxfId="62" priority="78" operator="equal">
      <formula>"Fail"</formula>
    </cfRule>
  </conditionalFormatting>
  <conditionalFormatting sqref="X463:X464">
    <cfRule type="cellIs" dxfId="61" priority="73" operator="equal">
      <formula>"Pass"</formula>
    </cfRule>
    <cfRule type="cellIs" dxfId="60" priority="74" operator="equal">
      <formula>"Fail"</formula>
    </cfRule>
  </conditionalFormatting>
  <conditionalFormatting sqref="V304">
    <cfRule type="cellIs" dxfId="59" priority="71" operator="equal">
      <formula>"Pass"</formula>
    </cfRule>
    <cfRule type="cellIs" dxfId="58" priority="72" operator="equal">
      <formula>"Fail"</formula>
    </cfRule>
  </conditionalFormatting>
  <conditionalFormatting sqref="P313:P315">
    <cfRule type="cellIs" dxfId="57" priority="70" operator="between">
      <formula>$R$310*0.98</formula>
      <formula>$R$310*1.02</formula>
    </cfRule>
  </conditionalFormatting>
  <conditionalFormatting sqref="Q313:Q315">
    <cfRule type="cellIs" dxfId="56" priority="69" operator="between">
      <formula>$R$311*0.98</formula>
      <formula>$R$311*1.02</formula>
    </cfRule>
  </conditionalFormatting>
  <conditionalFormatting sqref="M45:M49 M51:M63 M76:M107 M109:M125 M128:M132 M135:M141">
    <cfRule type="cellIs" dxfId="55" priority="63" operator="equal">
      <formula>"NO"</formula>
    </cfRule>
  </conditionalFormatting>
  <conditionalFormatting sqref="L45:L49 L51:L63 L76:L107 L109:L125 L128:L132 L135:L141">
    <cfRule type="cellIs" dxfId="54" priority="62" operator="equal">
      <formula>"TBD"</formula>
    </cfRule>
  </conditionalFormatting>
  <conditionalFormatting sqref="K154:K155">
    <cfRule type="cellIs" dxfId="53" priority="60" operator="equal">
      <formula>"NO"</formula>
    </cfRule>
  </conditionalFormatting>
  <conditionalFormatting sqref="J154:J156">
    <cfRule type="cellIs" dxfId="52" priority="59" operator="equal">
      <formula>"TBD"</formula>
    </cfRule>
  </conditionalFormatting>
  <conditionalFormatting sqref="J156 P360:Q360 D424:E424">
    <cfRule type="cellIs" dxfId="51" priority="58" operator="equal">
      <formula>"Fail"</formula>
    </cfRule>
  </conditionalFormatting>
  <conditionalFormatting sqref="X175">
    <cfRule type="cellIs" dxfId="50" priority="56" operator="equal">
      <formula>"NO"</formula>
    </cfRule>
    <cfRule type="cellIs" dxfId="49" priority="57" operator="equal">
      <formula>"YES"</formula>
    </cfRule>
  </conditionalFormatting>
  <conditionalFormatting sqref="X221">
    <cfRule type="cellIs" dxfId="48" priority="54" operator="equal">
      <formula>"Fail"</formula>
    </cfRule>
    <cfRule type="cellIs" dxfId="47" priority="55" operator="equal">
      <formula>"Pass"</formula>
    </cfRule>
  </conditionalFormatting>
  <conditionalFormatting sqref="L181">
    <cfRule type="cellIs" dxfId="46" priority="53" operator="equal">
      <formula>"NO"</formula>
    </cfRule>
  </conditionalFormatting>
  <conditionalFormatting sqref="H194:H196">
    <cfRule type="cellIs" dxfId="45" priority="52" operator="equal">
      <formula>"Fail"</formula>
    </cfRule>
  </conditionalFormatting>
  <conditionalFormatting sqref="H205">
    <cfRule type="cellIs" dxfId="44" priority="51" operator="equal">
      <formula>"Fail"</formula>
    </cfRule>
  </conditionalFormatting>
  <conditionalFormatting sqref="K226">
    <cfRule type="cellIs" dxfId="43" priority="50" operator="equal">
      <formula>"Fail"</formula>
    </cfRule>
  </conditionalFormatting>
  <conditionalFormatting sqref="C229:C230">
    <cfRule type="cellIs" dxfId="42" priority="48" operator="equal">
      <formula>"NO"</formula>
    </cfRule>
    <cfRule type="cellIs" dxfId="41" priority="49" operator="equal">
      <formula>"TBD"</formula>
    </cfRule>
  </conditionalFormatting>
  <conditionalFormatting sqref="P240 D245 J245 V240 X238:Y238 K243:L243">
    <cfRule type="cellIs" dxfId="40" priority="47" operator="equal">
      <formula>"Fail"</formula>
    </cfRule>
  </conditionalFormatting>
  <conditionalFormatting sqref="P240 V240 X238:Y238 P360:Q360">
    <cfRule type="cellIs" dxfId="39" priority="46" operator="equal">
      <formula>"Pass"</formula>
    </cfRule>
  </conditionalFormatting>
  <conditionalFormatting sqref="Q255:S255 D260:F260">
    <cfRule type="cellIs" dxfId="38" priority="45" operator="equal">
      <formula>"Fail"</formula>
    </cfRule>
  </conditionalFormatting>
  <conditionalFormatting sqref="Q255:S255">
    <cfRule type="cellIs" dxfId="37" priority="44" operator="equal">
      <formula>"Pass"</formula>
    </cfRule>
  </conditionalFormatting>
  <conditionalFormatting sqref="K270">
    <cfRule type="cellIs" dxfId="36" priority="43" operator="greaterThan">
      <formula>3</formula>
    </cfRule>
  </conditionalFormatting>
  <conditionalFormatting sqref="H279:H281">
    <cfRule type="cellIs" dxfId="35" priority="42" operator="equal">
      <formula>"Fail"</formula>
    </cfRule>
  </conditionalFormatting>
  <conditionalFormatting sqref="M283">
    <cfRule type="cellIs" dxfId="34" priority="39" operator="equal">
      <formula>"Fail"</formula>
    </cfRule>
  </conditionalFormatting>
  <conditionalFormatting sqref="C427:C429">
    <cfRule type="cellIs" dxfId="33" priority="37" operator="equal">
      <formula>"Fail"</formula>
    </cfRule>
  </conditionalFormatting>
  <conditionalFormatting sqref="I366:I367">
    <cfRule type="cellIs" dxfId="32" priority="36" operator="equal">
      <formula>"Fail"</formula>
    </cfRule>
  </conditionalFormatting>
  <conditionalFormatting sqref="Q425:S425">
    <cfRule type="cellIs" dxfId="31" priority="35" operator="equal">
      <formula>"Pass"</formula>
    </cfRule>
  </conditionalFormatting>
  <conditionalFormatting sqref="Q425:S425 D378:F378">
    <cfRule type="cellIs" dxfId="30" priority="34" operator="equal">
      <formula>"Fail"</formula>
    </cfRule>
  </conditionalFormatting>
  <conditionalFormatting sqref="Q454:S454 H398:J398">
    <cfRule type="cellIs" dxfId="29" priority="32" operator="equal">
      <formula>"Fail"</formula>
    </cfRule>
  </conditionalFormatting>
  <conditionalFormatting sqref="F407:F409 G414:G416">
    <cfRule type="cellIs" dxfId="28" priority="29" operator="equal">
      <formula>"Fail"</formula>
    </cfRule>
  </conditionalFormatting>
  <conditionalFormatting sqref="L383:L384">
    <cfRule type="cellIs" dxfId="27" priority="26" operator="equal">
      <formula>"Fail"</formula>
    </cfRule>
  </conditionalFormatting>
  <conditionalFormatting sqref="M353 H353">
    <cfRule type="cellIs" dxfId="26" priority="24" operator="equal">
      <formula>"Fail"</formula>
    </cfRule>
  </conditionalFormatting>
  <conditionalFormatting sqref="Q260">
    <cfRule type="cellIs" dxfId="25" priority="23" stopIfTrue="1" operator="equal">
      <formula>"Fail"</formula>
    </cfRule>
  </conditionalFormatting>
  <conditionalFormatting sqref="Q260">
    <cfRule type="cellIs" dxfId="24" priority="22" stopIfTrue="1" operator="equal">
      <formula>"Pass"</formula>
    </cfRule>
  </conditionalFormatting>
  <conditionalFormatting sqref="T232:T236">
    <cfRule type="cellIs" dxfId="23" priority="20" operator="lessThan">
      <formula>40</formula>
    </cfRule>
    <cfRule type="cellIs" dxfId="22" priority="21" operator="greaterThan">
      <formula>40</formula>
    </cfRule>
  </conditionalFormatting>
  <conditionalFormatting sqref="U232:U236">
    <cfRule type="cellIs" dxfId="21" priority="18" operator="lessThan">
      <formula>2</formula>
    </cfRule>
    <cfRule type="cellIs" dxfId="20" priority="19" operator="greaterThan">
      <formula>2</formula>
    </cfRule>
  </conditionalFormatting>
  <conditionalFormatting sqref="Q424:S424">
    <cfRule type="cellIs" dxfId="19" priority="16" operator="lessThan">
      <formula>0.02</formula>
    </cfRule>
    <cfRule type="cellIs" dxfId="18" priority="17" operator="greaterThan">
      <formula>0.02</formula>
    </cfRule>
  </conditionalFormatting>
  <conditionalFormatting sqref="L302 L307 L312">
    <cfRule type="cellIs" dxfId="17" priority="14" operator="equal">
      <formula>"Fail"</formula>
    </cfRule>
  </conditionalFormatting>
  <conditionalFormatting sqref="F279">
    <cfRule type="cellIs" dxfId="16" priority="13" operator="greaterThan">
      <formula>$G$279</formula>
    </cfRule>
  </conditionalFormatting>
  <conditionalFormatting sqref="F280">
    <cfRule type="cellIs" dxfId="15" priority="12" operator="greaterThan">
      <formula>$G$280</formula>
    </cfRule>
  </conditionalFormatting>
  <conditionalFormatting sqref="F281">
    <cfRule type="cellIs" dxfId="14" priority="11" operator="greaterThan">
      <formula>$G$281</formula>
    </cfRule>
  </conditionalFormatting>
  <conditionalFormatting sqref="Q166:S166">
    <cfRule type="cellIs" dxfId="13" priority="9" operator="equal">
      <formula>"Pass"</formula>
    </cfRule>
    <cfRule type="cellIs" dxfId="12" priority="10" operator="equal">
      <formula>"Fail"</formula>
    </cfRule>
  </conditionalFormatting>
  <conditionalFormatting sqref="E414:E416">
    <cfRule type="cellIs" dxfId="11" priority="8" operator="greaterThan">
      <formula>0.9</formula>
    </cfRule>
  </conditionalFormatting>
  <conditionalFormatting sqref="F414:F416">
    <cfRule type="cellIs" dxfId="10" priority="7" operator="greaterThan">
      <formula>0.6</formula>
    </cfRule>
  </conditionalFormatting>
  <conditionalFormatting sqref="D421:E421">
    <cfRule type="cellIs" dxfId="9" priority="6" operator="lessThan">
      <formula>4</formula>
    </cfRule>
  </conditionalFormatting>
  <conditionalFormatting sqref="D422:E423">
    <cfRule type="cellIs" dxfId="8" priority="5" operator="lessThan">
      <formula>3</formula>
    </cfRule>
  </conditionalFormatting>
  <conditionalFormatting sqref="H395:J395">
    <cfRule type="cellIs" dxfId="7" priority="4" operator="lessThan">
      <formula>5</formula>
    </cfRule>
  </conditionalFormatting>
  <conditionalFormatting sqref="H396:J397">
    <cfRule type="cellIs" dxfId="6" priority="3" operator="lessThan">
      <formula>4</formula>
    </cfRule>
  </conditionalFormatting>
  <conditionalFormatting sqref="I368">
    <cfRule type="cellIs" dxfId="5" priority="2" operator="equal">
      <formula>"Fail"</formula>
    </cfRule>
  </conditionalFormatting>
  <conditionalFormatting sqref="I368">
    <cfRule type="cellIs" dxfId="4" priority="1" operator="equal">
      <formula>"Fail"</formula>
    </cfRule>
  </conditionalFormatting>
  <conditionalFormatting sqref="U432 Q442:R442 U442:V442 Q451:R451">
    <cfRule type="cellIs" dxfId="3" priority="95" operator="lessThan">
      <formula>5</formula>
    </cfRule>
    <cfRule type="cellIs" dxfId="2" priority="96" operator="greaterThanOrEqual">
      <formula>5</formula>
    </cfRule>
  </conditionalFormatting>
  <conditionalFormatting sqref="U433:U434 Q443:R444 U443:V444 Q452:R453">
    <cfRule type="cellIs" dxfId="1" priority="93" operator="lessThan">
      <formula>4</formula>
    </cfRule>
    <cfRule type="cellIs" dxfId="0" priority="94" operator="greaterThanOrEqual">
      <formula>4</formula>
    </cfRule>
  </conditionalFormatting>
  <pageMargins left="0.7" right="0.7" top="0.75" bottom="0.75" header="0.3" footer="0.3"/>
  <pageSetup scale="69" fitToHeight="0" pageOrder="overThenDown" orientation="portrait" r:id="rId1"/>
  <headerFooter>
    <oddFooter>&amp;CPage &amp;P</oddFooter>
  </headerFooter>
  <rowBreaks count="6" manualBreakCount="6">
    <brk id="72" max="16383" man="1"/>
    <brk id="144" max="16383" man="1"/>
    <brk id="216" max="16383" man="1"/>
    <brk id="288" max="16383" man="1"/>
    <brk id="360" max="16383" man="1"/>
    <brk id="432"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30"/>
  <sheetViews>
    <sheetView topLeftCell="A53" zoomScale="75" zoomScaleNormal="75" workbookViewId="0">
      <selection activeCell="G84" sqref="G84"/>
    </sheetView>
  </sheetViews>
  <sheetFormatPr defaultColWidth="9" defaultRowHeight="14.1" customHeight="1"/>
  <cols>
    <col min="1" max="30" width="10.59765625" style="20" customWidth="1"/>
    <col min="31" max="16384" width="9" style="20"/>
  </cols>
  <sheetData>
    <row r="1" spans="1:30" ht="14.1" customHeight="1" thickBot="1">
      <c r="A1" s="74" t="s">
        <v>416</v>
      </c>
      <c r="K1" s="74" t="s">
        <v>417</v>
      </c>
      <c r="U1" s="20" t="s">
        <v>418</v>
      </c>
    </row>
    <row r="2" spans="1:30" ht="14.1" customHeight="1">
      <c r="A2" s="297"/>
      <c r="B2" s="979" t="s">
        <v>24</v>
      </c>
      <c r="C2" s="979"/>
      <c r="D2" s="979"/>
      <c r="E2" s="979"/>
      <c r="F2" s="979"/>
      <c r="G2" s="979"/>
      <c r="H2" s="979"/>
      <c r="I2" s="979"/>
      <c r="J2" s="979"/>
      <c r="K2" s="297"/>
      <c r="L2" s="979" t="s">
        <v>24</v>
      </c>
      <c r="M2" s="979"/>
      <c r="N2" s="979"/>
      <c r="O2" s="979"/>
      <c r="P2" s="979"/>
      <c r="Q2" s="979"/>
      <c r="R2" s="979"/>
      <c r="S2" s="979"/>
      <c r="T2" s="979"/>
      <c r="U2" s="297"/>
      <c r="V2" s="979" t="s">
        <v>24</v>
      </c>
      <c r="W2" s="979"/>
      <c r="X2" s="979"/>
      <c r="Y2" s="979"/>
      <c r="Z2" s="979"/>
      <c r="AA2" s="979"/>
      <c r="AB2" s="979"/>
      <c r="AC2" s="979"/>
      <c r="AD2" s="979"/>
    </row>
    <row r="3" spans="1:30" ht="14.1" customHeight="1">
      <c r="A3" s="203" t="s">
        <v>350</v>
      </c>
      <c r="B3" s="10">
        <v>23</v>
      </c>
      <c r="C3" s="10">
        <v>24</v>
      </c>
      <c r="D3" s="10">
        <v>25</v>
      </c>
      <c r="E3" s="10">
        <v>26</v>
      </c>
      <c r="F3" s="10">
        <v>27</v>
      </c>
      <c r="G3" s="10">
        <v>28</v>
      </c>
      <c r="H3" s="10">
        <v>29</v>
      </c>
      <c r="I3" s="10">
        <v>30</v>
      </c>
      <c r="J3" s="218">
        <v>31</v>
      </c>
      <c r="K3" s="203" t="s">
        <v>350</v>
      </c>
      <c r="L3" s="10">
        <v>23</v>
      </c>
      <c r="M3" s="10">
        <v>24</v>
      </c>
      <c r="N3" s="10">
        <v>25</v>
      </c>
      <c r="O3" s="10">
        <v>26</v>
      </c>
      <c r="P3" s="10">
        <v>27</v>
      </c>
      <c r="Q3" s="10">
        <v>28</v>
      </c>
      <c r="R3" s="10">
        <v>29</v>
      </c>
      <c r="S3" s="10">
        <v>30</v>
      </c>
      <c r="T3" s="218">
        <v>31</v>
      </c>
      <c r="U3" s="203" t="s">
        <v>350</v>
      </c>
      <c r="V3" s="10">
        <v>23</v>
      </c>
      <c r="W3" s="10">
        <v>24</v>
      </c>
      <c r="X3" s="10">
        <v>25</v>
      </c>
      <c r="Y3" s="10">
        <v>26</v>
      </c>
      <c r="Z3" s="10">
        <v>27</v>
      </c>
      <c r="AA3" s="10">
        <v>28</v>
      </c>
      <c r="AB3" s="10">
        <v>29</v>
      </c>
      <c r="AC3" s="10">
        <v>30</v>
      </c>
      <c r="AD3" s="218">
        <v>31</v>
      </c>
    </row>
    <row r="4" spans="1:30" ht="14.1" customHeight="1">
      <c r="A4" s="203">
        <v>0.23</v>
      </c>
      <c r="B4" s="10">
        <v>116</v>
      </c>
      <c r="C4" s="10"/>
      <c r="D4" s="10"/>
      <c r="E4" s="10"/>
      <c r="F4" s="10"/>
      <c r="G4" s="10"/>
      <c r="H4" s="10"/>
      <c r="I4" s="10"/>
      <c r="J4" s="218"/>
      <c r="K4" s="203">
        <v>0.23</v>
      </c>
      <c r="L4" s="10"/>
      <c r="M4" s="10"/>
      <c r="N4" s="10"/>
      <c r="O4" s="10"/>
      <c r="P4" s="10"/>
      <c r="Q4" s="10"/>
      <c r="R4" s="10"/>
      <c r="S4" s="10"/>
      <c r="T4" s="218"/>
      <c r="U4" s="203">
        <v>0.23</v>
      </c>
      <c r="V4" s="10"/>
      <c r="W4" s="10"/>
      <c r="X4" s="10"/>
      <c r="Y4" s="10"/>
      <c r="Z4" s="10"/>
      <c r="AA4" s="10"/>
      <c r="AB4" s="10"/>
      <c r="AC4" s="10"/>
      <c r="AD4" s="218"/>
    </row>
    <row r="5" spans="1:30" ht="14.1" customHeight="1">
      <c r="A5" s="203">
        <v>0.24</v>
      </c>
      <c r="B5" s="10">
        <v>121</v>
      </c>
      <c r="C5" s="10">
        <v>124</v>
      </c>
      <c r="D5" s="10"/>
      <c r="E5" s="10"/>
      <c r="F5" s="10"/>
      <c r="G5" s="10"/>
      <c r="H5" s="10"/>
      <c r="I5" s="10"/>
      <c r="J5" s="218"/>
      <c r="K5" s="203">
        <v>0.24</v>
      </c>
      <c r="L5" s="10"/>
      <c r="M5" s="10"/>
      <c r="N5" s="10"/>
      <c r="O5" s="10"/>
      <c r="P5" s="10"/>
      <c r="Q5" s="10"/>
      <c r="R5" s="10"/>
      <c r="S5" s="10"/>
      <c r="T5" s="218"/>
      <c r="U5" s="203">
        <v>0.24</v>
      </c>
      <c r="V5" s="10"/>
      <c r="W5" s="10"/>
      <c r="X5" s="10"/>
      <c r="Y5" s="10"/>
      <c r="Z5" s="10"/>
      <c r="AA5" s="10"/>
      <c r="AB5" s="10"/>
      <c r="AC5" s="10"/>
      <c r="AD5" s="218"/>
    </row>
    <row r="6" spans="1:30" ht="14.1" customHeight="1">
      <c r="A6" s="203">
        <v>0.25</v>
      </c>
      <c r="B6" s="10">
        <v>126</v>
      </c>
      <c r="C6" s="10">
        <v>129</v>
      </c>
      <c r="D6" s="10">
        <v>131</v>
      </c>
      <c r="E6" s="10"/>
      <c r="F6" s="10"/>
      <c r="G6" s="10"/>
      <c r="H6" s="10"/>
      <c r="I6" s="10"/>
      <c r="J6" s="218"/>
      <c r="K6" s="203">
        <v>0.25</v>
      </c>
      <c r="L6" s="10"/>
      <c r="M6" s="10"/>
      <c r="N6" s="10"/>
      <c r="O6" s="10"/>
      <c r="P6" s="10"/>
      <c r="Q6" s="10"/>
      <c r="R6" s="10"/>
      <c r="S6" s="10"/>
      <c r="T6" s="218"/>
      <c r="U6" s="203">
        <v>0.25</v>
      </c>
      <c r="V6" s="10"/>
      <c r="W6" s="10"/>
      <c r="X6" s="10"/>
      <c r="Y6" s="10"/>
      <c r="Z6" s="10"/>
      <c r="AA6" s="10"/>
      <c r="AB6" s="10"/>
      <c r="AC6" s="10"/>
      <c r="AD6" s="218"/>
    </row>
    <row r="7" spans="1:30" ht="14.1" customHeight="1">
      <c r="A7" s="203">
        <v>0.26</v>
      </c>
      <c r="B7" s="10">
        <v>130</v>
      </c>
      <c r="C7" s="10">
        <v>133</v>
      </c>
      <c r="D7" s="10">
        <v>135</v>
      </c>
      <c r="E7" s="10">
        <v>138</v>
      </c>
      <c r="F7" s="10"/>
      <c r="G7" s="10"/>
      <c r="H7" s="10"/>
      <c r="I7" s="10"/>
      <c r="J7" s="218"/>
      <c r="K7" s="203">
        <v>0.26</v>
      </c>
      <c r="L7" s="10"/>
      <c r="M7" s="10"/>
      <c r="N7" s="10"/>
      <c r="O7" s="10"/>
      <c r="P7" s="10"/>
      <c r="Q7" s="10"/>
      <c r="R7" s="10"/>
      <c r="S7" s="10"/>
      <c r="T7" s="218"/>
      <c r="U7" s="203">
        <v>0.26</v>
      </c>
      <c r="V7" s="10"/>
      <c r="W7" s="10"/>
      <c r="X7" s="10"/>
      <c r="Y7" s="10"/>
      <c r="Z7" s="10"/>
      <c r="AA7" s="10"/>
      <c r="AB7" s="10"/>
      <c r="AC7" s="10"/>
      <c r="AD7" s="218"/>
    </row>
    <row r="8" spans="1:30" ht="14.1" customHeight="1">
      <c r="A8" s="203">
        <v>0.27</v>
      </c>
      <c r="B8" s="10">
        <v>135</v>
      </c>
      <c r="C8" s="10">
        <v>138</v>
      </c>
      <c r="D8" s="10">
        <v>140</v>
      </c>
      <c r="E8" s="10">
        <v>142</v>
      </c>
      <c r="F8" s="10">
        <v>143</v>
      </c>
      <c r="G8" s="10"/>
      <c r="H8" s="10"/>
      <c r="I8" s="10"/>
      <c r="J8" s="218"/>
      <c r="K8" s="203">
        <v>0.27</v>
      </c>
      <c r="L8" s="10"/>
      <c r="M8" s="10"/>
      <c r="N8" s="10"/>
      <c r="O8" s="10"/>
      <c r="P8" s="10"/>
      <c r="Q8" s="10"/>
      <c r="R8" s="10"/>
      <c r="S8" s="10"/>
      <c r="T8" s="218"/>
      <c r="U8" s="203">
        <v>0.27</v>
      </c>
      <c r="V8" s="10"/>
      <c r="W8" s="10"/>
      <c r="X8" s="10"/>
      <c r="Y8" s="10"/>
      <c r="Z8" s="10"/>
      <c r="AA8" s="10"/>
      <c r="AB8" s="10"/>
      <c r="AC8" s="10"/>
      <c r="AD8" s="218"/>
    </row>
    <row r="9" spans="1:30" ht="14.1" customHeight="1">
      <c r="A9" s="203">
        <v>0.28000000000000003</v>
      </c>
      <c r="B9" s="10">
        <v>140</v>
      </c>
      <c r="C9" s="10">
        <v>142</v>
      </c>
      <c r="D9" s="10">
        <v>144</v>
      </c>
      <c r="E9" s="10">
        <v>146</v>
      </c>
      <c r="F9" s="10">
        <v>147</v>
      </c>
      <c r="G9" s="10">
        <v>149</v>
      </c>
      <c r="H9" s="10"/>
      <c r="I9" s="10"/>
      <c r="J9" s="218"/>
      <c r="K9" s="203">
        <v>0.28000000000000003</v>
      </c>
      <c r="L9" s="10"/>
      <c r="M9" s="10"/>
      <c r="N9" s="10">
        <v>149</v>
      </c>
      <c r="O9" s="10">
        <v>151</v>
      </c>
      <c r="P9" s="10">
        <v>154</v>
      </c>
      <c r="Q9" s="10"/>
      <c r="R9" s="10"/>
      <c r="S9" s="10"/>
      <c r="T9" s="218"/>
      <c r="U9" s="203">
        <v>0.28000000000000003</v>
      </c>
      <c r="V9" s="10"/>
      <c r="W9" s="10"/>
      <c r="X9" s="10">
        <v>150</v>
      </c>
      <c r="Y9" s="10">
        <v>155</v>
      </c>
      <c r="Z9" s="10">
        <v>159</v>
      </c>
      <c r="AA9" s="10"/>
      <c r="AB9" s="10"/>
      <c r="AC9" s="10"/>
      <c r="AD9" s="218"/>
    </row>
    <row r="10" spans="1:30" ht="14.1" customHeight="1">
      <c r="A10" s="203">
        <v>0.28999999999999998</v>
      </c>
      <c r="B10" s="10">
        <v>144</v>
      </c>
      <c r="C10" s="10">
        <v>146</v>
      </c>
      <c r="D10" s="10">
        <v>148</v>
      </c>
      <c r="E10" s="10">
        <v>150</v>
      </c>
      <c r="F10" s="10">
        <v>151</v>
      </c>
      <c r="G10" s="10">
        <v>153</v>
      </c>
      <c r="H10" s="10">
        <v>154</v>
      </c>
      <c r="I10" s="10"/>
      <c r="J10" s="218"/>
      <c r="K10" s="203">
        <v>0.28999999999999998</v>
      </c>
      <c r="L10" s="10"/>
      <c r="M10" s="10"/>
      <c r="N10" s="10">
        <v>154</v>
      </c>
      <c r="O10" s="10">
        <v>156</v>
      </c>
      <c r="P10" s="10">
        <v>158</v>
      </c>
      <c r="Q10" s="10">
        <v>159</v>
      </c>
      <c r="R10" s="10"/>
      <c r="S10" s="10"/>
      <c r="T10" s="218"/>
      <c r="U10" s="203">
        <v>0.28999999999999998</v>
      </c>
      <c r="V10" s="10"/>
      <c r="W10" s="10"/>
      <c r="X10" s="10">
        <v>155</v>
      </c>
      <c r="Y10" s="10">
        <v>160</v>
      </c>
      <c r="Z10" s="10">
        <v>164</v>
      </c>
      <c r="AA10" s="10">
        <v>168</v>
      </c>
      <c r="AB10" s="10"/>
      <c r="AC10" s="10"/>
      <c r="AD10" s="218"/>
    </row>
    <row r="11" spans="1:30" ht="14.1" customHeight="1">
      <c r="A11" s="203">
        <v>0.3</v>
      </c>
      <c r="B11" s="10">
        <v>149</v>
      </c>
      <c r="C11" s="10">
        <v>151</v>
      </c>
      <c r="D11" s="10">
        <v>153</v>
      </c>
      <c r="E11" s="10">
        <v>155</v>
      </c>
      <c r="F11" s="10">
        <v>156</v>
      </c>
      <c r="G11" s="10">
        <v>157</v>
      </c>
      <c r="H11" s="10">
        <v>158</v>
      </c>
      <c r="I11" s="10">
        <v>159</v>
      </c>
      <c r="J11" s="218"/>
      <c r="K11" s="203">
        <v>0.3</v>
      </c>
      <c r="L11" s="10"/>
      <c r="M11" s="10"/>
      <c r="N11" s="10">
        <v>158</v>
      </c>
      <c r="O11" s="10">
        <v>160</v>
      </c>
      <c r="P11" s="10">
        <v>162</v>
      </c>
      <c r="Q11" s="10">
        <v>162</v>
      </c>
      <c r="R11" s="10">
        <v>163</v>
      </c>
      <c r="S11" s="10"/>
      <c r="T11" s="218"/>
      <c r="U11" s="203">
        <v>0.3</v>
      </c>
      <c r="V11" s="10"/>
      <c r="W11" s="10"/>
      <c r="X11" s="10">
        <v>160</v>
      </c>
      <c r="Y11" s="10">
        <v>164</v>
      </c>
      <c r="Z11" s="10">
        <v>168</v>
      </c>
      <c r="AA11" s="10">
        <v>172</v>
      </c>
      <c r="AB11" s="10">
        <v>176</v>
      </c>
      <c r="AC11" s="10"/>
      <c r="AD11" s="218"/>
    </row>
    <row r="12" spans="1:30" ht="14.1" customHeight="1">
      <c r="A12" s="203">
        <v>0.31</v>
      </c>
      <c r="B12" s="10">
        <v>154</v>
      </c>
      <c r="C12" s="10">
        <v>156</v>
      </c>
      <c r="D12" s="10">
        <v>157</v>
      </c>
      <c r="E12" s="10">
        <v>159</v>
      </c>
      <c r="F12" s="10">
        <v>160</v>
      </c>
      <c r="G12" s="10">
        <v>161</v>
      </c>
      <c r="H12" s="10">
        <v>162</v>
      </c>
      <c r="I12" s="10">
        <v>163</v>
      </c>
      <c r="J12" s="218">
        <v>164</v>
      </c>
      <c r="K12" s="203">
        <v>0.31</v>
      </c>
      <c r="L12" s="10"/>
      <c r="M12" s="10"/>
      <c r="N12" s="10">
        <v>163</v>
      </c>
      <c r="O12" s="10">
        <v>164</v>
      </c>
      <c r="P12" s="10">
        <v>166</v>
      </c>
      <c r="Q12" s="10">
        <v>166</v>
      </c>
      <c r="R12" s="10">
        <v>167</v>
      </c>
      <c r="S12" s="10">
        <v>167</v>
      </c>
      <c r="T12" s="218"/>
      <c r="U12" s="203">
        <v>0.31</v>
      </c>
      <c r="V12" s="10"/>
      <c r="W12" s="10"/>
      <c r="X12" s="10">
        <v>165</v>
      </c>
      <c r="Y12" s="10">
        <v>168</v>
      </c>
      <c r="Z12" s="10">
        <v>172</v>
      </c>
      <c r="AA12" s="10">
        <v>174</v>
      </c>
      <c r="AB12" s="10">
        <v>180</v>
      </c>
      <c r="AC12" s="10">
        <v>182</v>
      </c>
      <c r="AD12" s="218"/>
    </row>
    <row r="13" spans="1:30" ht="14.1" customHeight="1">
      <c r="A13" s="203">
        <v>0.32</v>
      </c>
      <c r="B13" s="10">
        <v>158</v>
      </c>
      <c r="C13" s="10">
        <v>160</v>
      </c>
      <c r="D13" s="10">
        <v>162</v>
      </c>
      <c r="E13" s="10">
        <v>163</v>
      </c>
      <c r="F13" s="10">
        <v>164</v>
      </c>
      <c r="G13" s="10">
        <v>166</v>
      </c>
      <c r="H13" s="10">
        <v>167</v>
      </c>
      <c r="I13" s="10">
        <v>168</v>
      </c>
      <c r="J13" s="218">
        <v>168</v>
      </c>
      <c r="K13" s="203">
        <v>0.32</v>
      </c>
      <c r="L13" s="10"/>
      <c r="M13" s="10"/>
      <c r="N13" s="10">
        <v>167</v>
      </c>
      <c r="O13" s="10">
        <v>169</v>
      </c>
      <c r="P13" s="10">
        <v>171</v>
      </c>
      <c r="Q13" s="10">
        <v>171</v>
      </c>
      <c r="R13" s="10">
        <v>171</v>
      </c>
      <c r="S13" s="10">
        <v>172</v>
      </c>
      <c r="T13" s="218">
        <v>172</v>
      </c>
      <c r="U13" s="203">
        <v>0.32</v>
      </c>
      <c r="V13" s="10"/>
      <c r="W13" s="10"/>
      <c r="X13" s="10">
        <v>169</v>
      </c>
      <c r="Y13" s="10">
        <v>173</v>
      </c>
      <c r="Z13" s="10">
        <v>177</v>
      </c>
      <c r="AA13" s="10">
        <v>181</v>
      </c>
      <c r="AB13" s="10">
        <v>184</v>
      </c>
      <c r="AC13" s="10">
        <v>186</v>
      </c>
      <c r="AD13" s="218">
        <v>188</v>
      </c>
    </row>
    <row r="14" spans="1:30" ht="14.1" customHeight="1">
      <c r="A14" s="203">
        <v>0.33</v>
      </c>
      <c r="B14" s="10">
        <v>163</v>
      </c>
      <c r="C14" s="10">
        <v>165</v>
      </c>
      <c r="D14" s="10">
        <v>166</v>
      </c>
      <c r="E14" s="10">
        <v>168</v>
      </c>
      <c r="F14" s="10">
        <v>169</v>
      </c>
      <c r="G14" s="10">
        <v>170</v>
      </c>
      <c r="H14" s="10">
        <v>171</v>
      </c>
      <c r="I14" s="10">
        <v>173</v>
      </c>
      <c r="J14" s="218">
        <v>173</v>
      </c>
      <c r="K14" s="203">
        <v>0.33</v>
      </c>
      <c r="L14" s="10"/>
      <c r="M14" s="10"/>
      <c r="N14" s="10">
        <v>171</v>
      </c>
      <c r="O14" s="10">
        <v>173</v>
      </c>
      <c r="P14" s="10">
        <v>175</v>
      </c>
      <c r="Q14" s="10">
        <v>176</v>
      </c>
      <c r="R14" s="10">
        <v>176</v>
      </c>
      <c r="S14" s="10">
        <v>176</v>
      </c>
      <c r="T14" s="218">
        <v>176</v>
      </c>
      <c r="U14" s="203">
        <v>0.33</v>
      </c>
      <c r="V14" s="10"/>
      <c r="W14" s="10"/>
      <c r="X14" s="10">
        <v>174</v>
      </c>
      <c r="Y14" s="10">
        <v>178</v>
      </c>
      <c r="Z14" s="10">
        <v>181</v>
      </c>
      <c r="AA14" s="10">
        <v>185</v>
      </c>
      <c r="AB14" s="10">
        <v>188</v>
      </c>
      <c r="AC14" s="10">
        <v>190</v>
      </c>
      <c r="AD14" s="218">
        <v>192</v>
      </c>
    </row>
    <row r="15" spans="1:30" ht="14.1" customHeight="1">
      <c r="A15" s="203">
        <v>0.34</v>
      </c>
      <c r="B15" s="10">
        <v>168</v>
      </c>
      <c r="C15" s="10">
        <v>170</v>
      </c>
      <c r="D15" s="10">
        <v>171</v>
      </c>
      <c r="E15" s="10">
        <v>172</v>
      </c>
      <c r="F15" s="10">
        <v>173</v>
      </c>
      <c r="G15" s="10">
        <v>174</v>
      </c>
      <c r="H15" s="10">
        <v>175</v>
      </c>
      <c r="I15" s="10">
        <v>176</v>
      </c>
      <c r="J15" s="218">
        <v>177</v>
      </c>
      <c r="K15" s="203">
        <v>0.34</v>
      </c>
      <c r="L15" s="10"/>
      <c r="M15" s="10"/>
      <c r="N15" s="10">
        <v>176</v>
      </c>
      <c r="O15" s="10">
        <v>178</v>
      </c>
      <c r="P15" s="10">
        <v>179</v>
      </c>
      <c r="Q15" s="10">
        <v>179</v>
      </c>
      <c r="R15" s="10">
        <v>180</v>
      </c>
      <c r="S15" s="10">
        <v>180</v>
      </c>
      <c r="T15" s="218">
        <v>180</v>
      </c>
      <c r="U15" s="203">
        <v>0.34</v>
      </c>
      <c r="V15" s="10"/>
      <c r="W15" s="10"/>
      <c r="X15" s="10">
        <v>179</v>
      </c>
      <c r="Y15" s="10">
        <v>183</v>
      </c>
      <c r="Z15" s="10">
        <v>186</v>
      </c>
      <c r="AA15" s="10">
        <v>190</v>
      </c>
      <c r="AB15" s="10">
        <v>193</v>
      </c>
      <c r="AC15" s="10">
        <v>195</v>
      </c>
      <c r="AD15" s="218">
        <v>196</v>
      </c>
    </row>
    <row r="16" spans="1:30" ht="14.1" customHeight="1">
      <c r="A16" s="203">
        <v>0.35</v>
      </c>
      <c r="B16" s="10"/>
      <c r="C16" s="10">
        <v>174</v>
      </c>
      <c r="D16" s="10">
        <v>175</v>
      </c>
      <c r="E16" s="10">
        <v>176</v>
      </c>
      <c r="F16" s="10">
        <v>177</v>
      </c>
      <c r="G16" s="10">
        <v>178</v>
      </c>
      <c r="H16" s="10">
        <v>179</v>
      </c>
      <c r="I16" s="10">
        <v>180</v>
      </c>
      <c r="J16" s="218">
        <v>181</v>
      </c>
      <c r="K16" s="203">
        <v>0.35</v>
      </c>
      <c r="L16" s="10"/>
      <c r="M16" s="10"/>
      <c r="N16" s="10">
        <v>180</v>
      </c>
      <c r="O16" s="10">
        <v>181</v>
      </c>
      <c r="P16" s="10">
        <v>183</v>
      </c>
      <c r="Q16" s="10">
        <v>183</v>
      </c>
      <c r="R16" s="10">
        <v>184</v>
      </c>
      <c r="S16" s="10">
        <v>185</v>
      </c>
      <c r="T16" s="218">
        <v>185</v>
      </c>
      <c r="U16" s="203">
        <v>0.35</v>
      </c>
      <c r="V16" s="10"/>
      <c r="W16" s="10"/>
      <c r="X16" s="10">
        <v>184</v>
      </c>
      <c r="Y16" s="10">
        <v>187</v>
      </c>
      <c r="Z16" s="10">
        <v>190</v>
      </c>
      <c r="AA16" s="10">
        <v>194</v>
      </c>
      <c r="AB16" s="10">
        <v>197</v>
      </c>
      <c r="AC16" s="10">
        <v>199</v>
      </c>
      <c r="AD16" s="218">
        <v>201</v>
      </c>
    </row>
    <row r="17" spans="1:30" ht="14.1" customHeight="1">
      <c r="A17" s="203">
        <v>0.36</v>
      </c>
      <c r="B17" s="10"/>
      <c r="C17" s="10"/>
      <c r="D17" s="10">
        <v>179</v>
      </c>
      <c r="E17" s="10">
        <v>181</v>
      </c>
      <c r="F17" s="10">
        <v>182</v>
      </c>
      <c r="G17" s="10">
        <v>183</v>
      </c>
      <c r="H17" s="10">
        <v>184</v>
      </c>
      <c r="I17" s="10">
        <v>185</v>
      </c>
      <c r="J17" s="218">
        <v>185</v>
      </c>
      <c r="K17" s="203">
        <v>0.36</v>
      </c>
      <c r="L17" s="10"/>
      <c r="M17" s="10"/>
      <c r="N17" s="10">
        <v>185</v>
      </c>
      <c r="O17" s="10">
        <v>186</v>
      </c>
      <c r="P17" s="10">
        <v>187</v>
      </c>
      <c r="Q17" s="10">
        <v>187</v>
      </c>
      <c r="R17" s="10">
        <v>188</v>
      </c>
      <c r="S17" s="10">
        <v>188</v>
      </c>
      <c r="T17" s="218">
        <v>189</v>
      </c>
      <c r="U17" s="203">
        <v>0.36</v>
      </c>
      <c r="V17" s="10"/>
      <c r="W17" s="10"/>
      <c r="X17" s="10">
        <v>189</v>
      </c>
      <c r="Y17" s="10">
        <v>192</v>
      </c>
      <c r="Z17" s="10">
        <v>195</v>
      </c>
      <c r="AA17" s="10">
        <v>198</v>
      </c>
      <c r="AB17" s="10">
        <v>201</v>
      </c>
      <c r="AC17" s="10">
        <v>204</v>
      </c>
      <c r="AD17" s="218">
        <v>205</v>
      </c>
    </row>
    <row r="18" spans="1:30" ht="14.1" customHeight="1">
      <c r="A18" s="203">
        <v>0.37</v>
      </c>
      <c r="B18" s="10"/>
      <c r="C18" s="10"/>
      <c r="D18" s="10"/>
      <c r="E18" s="10">
        <v>185</v>
      </c>
      <c r="F18" s="10">
        <v>186</v>
      </c>
      <c r="G18" s="10">
        <v>187</v>
      </c>
      <c r="H18" s="10">
        <v>188</v>
      </c>
      <c r="I18" s="10">
        <v>189</v>
      </c>
      <c r="J18" s="218">
        <v>190</v>
      </c>
      <c r="K18" s="203">
        <v>0.37</v>
      </c>
      <c r="L18" s="10"/>
      <c r="M18" s="10"/>
      <c r="N18" s="10">
        <v>189</v>
      </c>
      <c r="O18" s="10">
        <v>190</v>
      </c>
      <c r="P18" s="10">
        <v>191</v>
      </c>
      <c r="Q18" s="10">
        <v>191</v>
      </c>
      <c r="R18" s="10">
        <v>192</v>
      </c>
      <c r="S18" s="10">
        <v>193</v>
      </c>
      <c r="T18" s="218">
        <v>193</v>
      </c>
      <c r="U18" s="203">
        <v>0.37</v>
      </c>
      <c r="V18" s="10"/>
      <c r="W18" s="10"/>
      <c r="X18" s="10">
        <v>193</v>
      </c>
      <c r="Y18" s="10">
        <v>196</v>
      </c>
      <c r="Z18" s="10">
        <v>199</v>
      </c>
      <c r="AA18" s="10">
        <v>202</v>
      </c>
      <c r="AB18" s="10">
        <v>205</v>
      </c>
      <c r="AC18" s="10">
        <v>207</v>
      </c>
      <c r="AD18" s="218">
        <v>209</v>
      </c>
    </row>
    <row r="19" spans="1:30" ht="14.1" customHeight="1">
      <c r="A19" s="203">
        <v>0.38</v>
      </c>
      <c r="B19" s="10"/>
      <c r="C19" s="10"/>
      <c r="D19" s="10"/>
      <c r="E19" s="10"/>
      <c r="F19" s="10">
        <v>190</v>
      </c>
      <c r="G19" s="10">
        <v>191</v>
      </c>
      <c r="H19" s="10">
        <v>192</v>
      </c>
      <c r="I19" s="10">
        <v>193</v>
      </c>
      <c r="J19" s="218">
        <v>194</v>
      </c>
      <c r="K19" s="203">
        <v>0.38</v>
      </c>
      <c r="L19" s="10"/>
      <c r="M19" s="10"/>
      <c r="N19" s="10">
        <v>193</v>
      </c>
      <c r="O19" s="10">
        <v>194</v>
      </c>
      <c r="P19" s="10">
        <v>196</v>
      </c>
      <c r="Q19" s="10">
        <v>196</v>
      </c>
      <c r="R19" s="10">
        <v>197</v>
      </c>
      <c r="S19" s="10">
        <v>197</v>
      </c>
      <c r="T19" s="218">
        <v>197</v>
      </c>
      <c r="U19" s="203">
        <v>0.38</v>
      </c>
      <c r="V19" s="10"/>
      <c r="W19" s="10"/>
      <c r="X19" s="10">
        <v>198</v>
      </c>
      <c r="Y19" s="10">
        <v>201</v>
      </c>
      <c r="Z19" s="10">
        <v>204</v>
      </c>
      <c r="AA19" s="10">
        <v>207</v>
      </c>
      <c r="AB19" s="10">
        <v>209</v>
      </c>
      <c r="AC19" s="10">
        <v>211</v>
      </c>
      <c r="AD19" s="218">
        <v>213</v>
      </c>
    </row>
    <row r="20" spans="1:30" ht="14.1" customHeight="1">
      <c r="A20" s="203">
        <v>0.39</v>
      </c>
      <c r="B20" s="10"/>
      <c r="C20" s="10"/>
      <c r="D20" s="10"/>
      <c r="E20" s="10"/>
      <c r="F20" s="10"/>
      <c r="G20" s="10">
        <v>196</v>
      </c>
      <c r="H20" s="10">
        <v>197</v>
      </c>
      <c r="I20" s="10">
        <v>198</v>
      </c>
      <c r="J20" s="218">
        <v>198</v>
      </c>
      <c r="K20" s="203">
        <v>0.39</v>
      </c>
      <c r="L20" s="10"/>
      <c r="M20" s="10"/>
      <c r="N20" s="10">
        <v>198</v>
      </c>
      <c r="O20" s="10">
        <v>199</v>
      </c>
      <c r="P20" s="10">
        <v>200</v>
      </c>
      <c r="Q20" s="10">
        <v>200</v>
      </c>
      <c r="R20" s="10">
        <v>201</v>
      </c>
      <c r="S20" s="10">
        <v>201</v>
      </c>
      <c r="T20" s="218">
        <v>202</v>
      </c>
      <c r="U20" s="203">
        <v>0.39</v>
      </c>
      <c r="V20" s="10"/>
      <c r="W20" s="10"/>
      <c r="X20" s="10">
        <v>203</v>
      </c>
      <c r="Y20" s="10">
        <v>206</v>
      </c>
      <c r="Z20" s="10">
        <v>208</v>
      </c>
      <c r="AA20" s="10">
        <v>211</v>
      </c>
      <c r="AB20" s="10">
        <v>214</v>
      </c>
      <c r="AC20" s="10">
        <v>216</v>
      </c>
      <c r="AD20" s="218">
        <v>217</v>
      </c>
    </row>
    <row r="21" spans="1:30" ht="14.1" customHeight="1">
      <c r="A21" s="203">
        <v>0.4</v>
      </c>
      <c r="B21" s="10"/>
      <c r="C21" s="10"/>
      <c r="D21" s="10"/>
      <c r="E21" s="10"/>
      <c r="F21" s="10"/>
      <c r="G21" s="10"/>
      <c r="H21" s="10">
        <v>201</v>
      </c>
      <c r="I21" s="10">
        <v>202</v>
      </c>
      <c r="J21" s="218">
        <v>203</v>
      </c>
      <c r="K21" s="203">
        <v>0.4</v>
      </c>
      <c r="L21" s="10"/>
      <c r="M21" s="10"/>
      <c r="N21" s="10">
        <v>202</v>
      </c>
      <c r="O21" s="10">
        <v>203</v>
      </c>
      <c r="P21" s="10">
        <v>204</v>
      </c>
      <c r="Q21" s="10">
        <v>204</v>
      </c>
      <c r="R21" s="10">
        <v>205</v>
      </c>
      <c r="S21" s="10">
        <v>205</v>
      </c>
      <c r="T21" s="218">
        <v>206</v>
      </c>
      <c r="U21" s="203">
        <v>0.4</v>
      </c>
      <c r="V21" s="10"/>
      <c r="W21" s="10"/>
      <c r="X21" s="10">
        <v>208</v>
      </c>
      <c r="Y21" s="10">
        <v>211</v>
      </c>
      <c r="Z21" s="10">
        <v>213</v>
      </c>
      <c r="AA21" s="10">
        <v>216</v>
      </c>
      <c r="AB21" s="10">
        <v>218</v>
      </c>
      <c r="AC21" s="10">
        <v>220</v>
      </c>
      <c r="AD21" s="218">
        <v>221</v>
      </c>
    </row>
    <row r="22" spans="1:30" ht="14.1" customHeight="1">
      <c r="A22" s="203">
        <v>0.41</v>
      </c>
      <c r="B22" s="10"/>
      <c r="C22" s="10"/>
      <c r="D22" s="10"/>
      <c r="E22" s="10"/>
      <c r="F22" s="10"/>
      <c r="G22" s="10"/>
      <c r="H22" s="10"/>
      <c r="I22" s="10">
        <v>206</v>
      </c>
      <c r="J22" s="218">
        <v>207</v>
      </c>
      <c r="K22" s="203">
        <v>0.41</v>
      </c>
      <c r="L22" s="10"/>
      <c r="M22" s="10"/>
      <c r="N22" s="10">
        <v>206</v>
      </c>
      <c r="O22" s="10">
        <v>207</v>
      </c>
      <c r="P22" s="10">
        <v>208</v>
      </c>
      <c r="Q22" s="10">
        <v>208</v>
      </c>
      <c r="R22" s="10">
        <v>209</v>
      </c>
      <c r="S22" s="10">
        <v>209</v>
      </c>
      <c r="T22" s="218">
        <v>210</v>
      </c>
      <c r="U22" s="203">
        <v>0.41</v>
      </c>
      <c r="V22" s="10"/>
      <c r="W22" s="10"/>
      <c r="X22" s="10">
        <v>213</v>
      </c>
      <c r="Y22" s="10">
        <v>215</v>
      </c>
      <c r="Z22" s="10">
        <v>217</v>
      </c>
      <c r="AA22" s="10">
        <v>220</v>
      </c>
      <c r="AB22" s="10">
        <v>222</v>
      </c>
      <c r="AC22" s="10">
        <v>224</v>
      </c>
      <c r="AD22" s="218">
        <v>225</v>
      </c>
    </row>
    <row r="23" spans="1:30" ht="14.1" customHeight="1" thickBot="1">
      <c r="A23" s="204">
        <v>0.42</v>
      </c>
      <c r="B23" s="205"/>
      <c r="C23" s="205"/>
      <c r="D23" s="205"/>
      <c r="E23" s="205"/>
      <c r="F23" s="205"/>
      <c r="G23" s="205"/>
      <c r="H23" s="205"/>
      <c r="I23" s="205"/>
      <c r="J23" s="175">
        <v>211</v>
      </c>
      <c r="K23" s="204">
        <v>0.42</v>
      </c>
      <c r="L23" s="205"/>
      <c r="M23" s="205"/>
      <c r="N23" s="205">
        <v>211</v>
      </c>
      <c r="O23" s="205">
        <v>211</v>
      </c>
      <c r="P23" s="205">
        <v>212</v>
      </c>
      <c r="Q23" s="205">
        <v>212</v>
      </c>
      <c r="R23" s="205">
        <v>213</v>
      </c>
      <c r="S23" s="205">
        <v>213</v>
      </c>
      <c r="T23" s="175">
        <v>214</v>
      </c>
      <c r="U23" s="204">
        <v>0.42</v>
      </c>
      <c r="V23" s="205"/>
      <c r="W23" s="205"/>
      <c r="X23" s="205">
        <v>218</v>
      </c>
      <c r="Y23" s="205">
        <v>220</v>
      </c>
      <c r="Z23" s="205">
        <v>222</v>
      </c>
      <c r="AA23" s="205">
        <v>224</v>
      </c>
      <c r="AB23" s="205">
        <v>226</v>
      </c>
      <c r="AC23" s="205">
        <v>228</v>
      </c>
      <c r="AD23" s="175">
        <v>229</v>
      </c>
    </row>
    <row r="25" spans="1:30" ht="14.1" customHeight="1" thickBot="1">
      <c r="A25" s="74" t="s">
        <v>419</v>
      </c>
      <c r="N25" s="74" t="s">
        <v>420</v>
      </c>
    </row>
    <row r="26" spans="1:30" ht="14.1" customHeight="1">
      <c r="A26" s="297"/>
      <c r="B26" s="980" t="s">
        <v>24</v>
      </c>
      <c r="C26" s="980"/>
      <c r="D26" s="980"/>
      <c r="E26" s="980"/>
      <c r="F26" s="980"/>
      <c r="G26" s="980"/>
      <c r="H26" s="980"/>
      <c r="I26" s="980"/>
      <c r="J26" s="980"/>
      <c r="K26" s="980"/>
      <c r="L26" s="980"/>
      <c r="M26" s="215"/>
      <c r="N26" s="297"/>
      <c r="O26" s="979" t="s">
        <v>24</v>
      </c>
      <c r="P26" s="979"/>
      <c r="Q26" s="979"/>
      <c r="R26" s="979"/>
      <c r="S26" s="979"/>
      <c r="T26" s="979"/>
      <c r="U26" s="979"/>
      <c r="V26" s="979"/>
      <c r="W26" s="979"/>
      <c r="X26" s="979"/>
      <c r="Y26" s="979"/>
      <c r="Z26" s="979"/>
      <c r="AA26" s="979"/>
    </row>
    <row r="27" spans="1:30" ht="14.1" customHeight="1">
      <c r="A27" s="203" t="s">
        <v>350</v>
      </c>
      <c r="B27" s="10">
        <v>22</v>
      </c>
      <c r="C27" s="10">
        <v>23</v>
      </c>
      <c r="D27" s="10">
        <v>24</v>
      </c>
      <c r="E27" s="10">
        <v>25</v>
      </c>
      <c r="F27" s="10">
        <v>26</v>
      </c>
      <c r="G27" s="10">
        <v>27</v>
      </c>
      <c r="H27" s="10">
        <v>28</v>
      </c>
      <c r="I27" s="10">
        <v>29</v>
      </c>
      <c r="J27" s="10">
        <v>30</v>
      </c>
      <c r="K27" s="10">
        <v>31</v>
      </c>
      <c r="L27" s="10">
        <v>32</v>
      </c>
      <c r="M27" s="218">
        <v>33</v>
      </c>
      <c r="N27" s="203" t="s">
        <v>350</v>
      </c>
      <c r="O27" s="10">
        <v>27</v>
      </c>
      <c r="P27" s="10">
        <v>28</v>
      </c>
      <c r="Q27" s="10">
        <v>29</v>
      </c>
      <c r="R27" s="10">
        <v>30</v>
      </c>
      <c r="S27" s="10">
        <v>31</v>
      </c>
      <c r="T27" s="10">
        <v>32</v>
      </c>
      <c r="U27" s="10">
        <v>33</v>
      </c>
      <c r="V27" s="10">
        <v>34</v>
      </c>
      <c r="W27" s="10">
        <v>35</v>
      </c>
      <c r="X27" s="10">
        <v>36</v>
      </c>
      <c r="Y27" s="10">
        <v>37</v>
      </c>
      <c r="Z27" s="10">
        <v>38</v>
      </c>
      <c r="AA27" s="218">
        <v>39</v>
      </c>
    </row>
    <row r="28" spans="1:30" ht="14.1" customHeight="1">
      <c r="A28" s="203">
        <v>0.3</v>
      </c>
      <c r="B28" s="10">
        <v>152</v>
      </c>
      <c r="C28" s="10">
        <v>157</v>
      </c>
      <c r="D28" s="10">
        <v>163</v>
      </c>
      <c r="E28" s="10">
        <v>166</v>
      </c>
      <c r="F28" s="10">
        <v>170</v>
      </c>
      <c r="G28" s="10">
        <v>173</v>
      </c>
      <c r="H28" s="10">
        <v>175</v>
      </c>
      <c r="I28" s="10">
        <v>177</v>
      </c>
      <c r="J28" s="10">
        <v>179</v>
      </c>
      <c r="K28" s="10">
        <v>182</v>
      </c>
      <c r="L28" s="10">
        <v>184</v>
      </c>
      <c r="M28" s="218">
        <v>187</v>
      </c>
      <c r="N28" s="203">
        <v>0.4</v>
      </c>
      <c r="O28" s="10">
        <v>222</v>
      </c>
      <c r="P28" s="10">
        <v>226</v>
      </c>
      <c r="Q28" s="10">
        <v>229</v>
      </c>
      <c r="R28" s="10">
        <v>231</v>
      </c>
      <c r="S28" s="10">
        <v>234</v>
      </c>
      <c r="T28" s="10">
        <v>236</v>
      </c>
      <c r="U28" s="10">
        <v>239</v>
      </c>
      <c r="V28" s="10">
        <v>241</v>
      </c>
      <c r="W28" s="10">
        <v>244</v>
      </c>
      <c r="X28" s="10">
        <v>246</v>
      </c>
      <c r="Y28" s="10">
        <v>248</v>
      </c>
      <c r="Z28" s="10">
        <v>250</v>
      </c>
      <c r="AA28" s="218">
        <v>252</v>
      </c>
    </row>
    <row r="29" spans="1:30" ht="14.1" customHeight="1">
      <c r="A29" s="203">
        <v>0.32500000000000001</v>
      </c>
      <c r="B29" s="10">
        <v>163</v>
      </c>
      <c r="C29" s="10">
        <v>169</v>
      </c>
      <c r="D29" s="10">
        <v>174</v>
      </c>
      <c r="E29" s="10">
        <v>177</v>
      </c>
      <c r="F29" s="10">
        <v>181</v>
      </c>
      <c r="G29" s="10">
        <v>183</v>
      </c>
      <c r="H29" s="10">
        <v>186</v>
      </c>
      <c r="I29" s="10">
        <v>188</v>
      </c>
      <c r="J29" s="10">
        <v>190</v>
      </c>
      <c r="K29" s="10">
        <v>192</v>
      </c>
      <c r="L29" s="10">
        <v>195</v>
      </c>
      <c r="M29" s="218">
        <v>197</v>
      </c>
      <c r="N29" s="203">
        <v>0.42499999999999999</v>
      </c>
      <c r="O29" s="10">
        <v>233</v>
      </c>
      <c r="P29" s="10">
        <v>236</v>
      </c>
      <c r="Q29" s="10">
        <v>239</v>
      </c>
      <c r="R29" s="10">
        <v>242</v>
      </c>
      <c r="S29" s="10">
        <v>244</v>
      </c>
      <c r="T29" s="10">
        <v>246</v>
      </c>
      <c r="U29" s="10">
        <v>248</v>
      </c>
      <c r="V29" s="10">
        <v>251</v>
      </c>
      <c r="W29" s="10">
        <v>253</v>
      </c>
      <c r="X29" s="10">
        <v>256</v>
      </c>
      <c r="Y29" s="10">
        <v>258</v>
      </c>
      <c r="Z29" s="10">
        <v>260</v>
      </c>
      <c r="AA29" s="218">
        <v>262</v>
      </c>
    </row>
    <row r="30" spans="1:30" ht="14.1" customHeight="1">
      <c r="A30" s="203">
        <v>0.35</v>
      </c>
      <c r="B30" s="10">
        <v>175</v>
      </c>
      <c r="C30" s="10">
        <v>180</v>
      </c>
      <c r="D30" s="10">
        <v>185</v>
      </c>
      <c r="E30" s="10">
        <v>188</v>
      </c>
      <c r="F30" s="10">
        <v>191</v>
      </c>
      <c r="G30" s="10">
        <v>194</v>
      </c>
      <c r="H30" s="10">
        <v>196</v>
      </c>
      <c r="I30" s="10">
        <v>198</v>
      </c>
      <c r="J30" s="10">
        <v>200</v>
      </c>
      <c r="K30" s="10">
        <v>202</v>
      </c>
      <c r="L30" s="10">
        <v>205</v>
      </c>
      <c r="M30" s="218">
        <v>207</v>
      </c>
      <c r="N30" s="203">
        <v>0.45</v>
      </c>
      <c r="O30" s="10">
        <v>244</v>
      </c>
      <c r="P30" s="10">
        <v>247</v>
      </c>
      <c r="Q30" s="10">
        <v>249</v>
      </c>
      <c r="R30" s="10">
        <v>252</v>
      </c>
      <c r="S30" s="10">
        <v>254</v>
      </c>
      <c r="T30" s="10">
        <v>256</v>
      </c>
      <c r="U30" s="10">
        <v>258</v>
      </c>
      <c r="V30" s="10">
        <v>260</v>
      </c>
      <c r="W30" s="10">
        <v>263</v>
      </c>
      <c r="X30" s="10">
        <v>265</v>
      </c>
      <c r="Y30" s="10">
        <v>267</v>
      </c>
      <c r="Z30" s="10">
        <v>269</v>
      </c>
      <c r="AA30" s="218">
        <v>271</v>
      </c>
    </row>
    <row r="31" spans="1:30" ht="14.1" customHeight="1">
      <c r="A31" s="203">
        <v>0.375</v>
      </c>
      <c r="B31" s="10">
        <v>186</v>
      </c>
      <c r="C31" s="10">
        <v>191</v>
      </c>
      <c r="D31" s="10">
        <v>196</v>
      </c>
      <c r="E31" s="10">
        <v>199</v>
      </c>
      <c r="F31" s="10">
        <v>202</v>
      </c>
      <c r="G31" s="10">
        <v>205</v>
      </c>
      <c r="H31" s="10">
        <v>207</v>
      </c>
      <c r="I31" s="10">
        <v>209</v>
      </c>
      <c r="J31" s="10">
        <v>211</v>
      </c>
      <c r="K31" s="10">
        <v>213</v>
      </c>
      <c r="L31" s="10">
        <v>215</v>
      </c>
      <c r="M31" s="218">
        <v>218</v>
      </c>
      <c r="N31" s="203">
        <v>0.47499999999999998</v>
      </c>
      <c r="O31" s="10">
        <v>254</v>
      </c>
      <c r="P31" s="10">
        <v>257</v>
      </c>
      <c r="Q31" s="10">
        <v>260</v>
      </c>
      <c r="R31" s="10">
        <v>262</v>
      </c>
      <c r="S31" s="10">
        <v>264</v>
      </c>
      <c r="T31" s="10">
        <v>266</v>
      </c>
      <c r="U31" s="10">
        <v>268</v>
      </c>
      <c r="V31" s="10">
        <v>270</v>
      </c>
      <c r="W31" s="10">
        <v>273</v>
      </c>
      <c r="X31" s="10">
        <v>275</v>
      </c>
      <c r="Y31" s="10">
        <v>277</v>
      </c>
      <c r="Z31" s="10">
        <v>279</v>
      </c>
      <c r="AA31" s="218">
        <v>281</v>
      </c>
    </row>
    <row r="32" spans="1:30" ht="14.1" customHeight="1">
      <c r="A32" s="203">
        <v>0.4</v>
      </c>
      <c r="B32" s="10">
        <v>198</v>
      </c>
      <c r="C32" s="10">
        <v>203</v>
      </c>
      <c r="D32" s="10">
        <v>207</v>
      </c>
      <c r="E32" s="10">
        <v>210</v>
      </c>
      <c r="F32" s="10">
        <v>213</v>
      </c>
      <c r="G32" s="10">
        <v>215</v>
      </c>
      <c r="H32" s="10">
        <v>217</v>
      </c>
      <c r="I32" s="10">
        <v>219</v>
      </c>
      <c r="J32" s="10">
        <v>221</v>
      </c>
      <c r="K32" s="10">
        <v>223</v>
      </c>
      <c r="L32" s="10">
        <v>226</v>
      </c>
      <c r="M32" s="218">
        <v>228</v>
      </c>
      <c r="N32" s="203">
        <v>0.5</v>
      </c>
      <c r="O32" s="10">
        <v>265</v>
      </c>
      <c r="P32" s="10">
        <v>267</v>
      </c>
      <c r="Q32" s="10">
        <v>270</v>
      </c>
      <c r="R32" s="10">
        <v>272</v>
      </c>
      <c r="S32" s="10">
        <v>274</v>
      </c>
      <c r="T32" s="10">
        <v>276</v>
      </c>
      <c r="U32" s="10">
        <v>278</v>
      </c>
      <c r="V32" s="10">
        <v>280</v>
      </c>
      <c r="W32" s="10">
        <v>282</v>
      </c>
      <c r="X32" s="10">
        <v>284</v>
      </c>
      <c r="Y32" s="10">
        <v>286</v>
      </c>
      <c r="Z32" s="10">
        <v>288</v>
      </c>
      <c r="AA32" s="218">
        <v>290</v>
      </c>
    </row>
    <row r="33" spans="1:27" ht="14.1" customHeight="1">
      <c r="A33" s="203">
        <v>0.42499999999999999</v>
      </c>
      <c r="B33" s="10">
        <v>209</v>
      </c>
      <c r="C33" s="10">
        <v>214</v>
      </c>
      <c r="D33" s="10">
        <v>218</v>
      </c>
      <c r="E33" s="10">
        <v>221</v>
      </c>
      <c r="F33" s="10">
        <v>224</v>
      </c>
      <c r="G33" s="10">
        <v>226</v>
      </c>
      <c r="H33" s="10">
        <v>228</v>
      </c>
      <c r="I33" s="10">
        <v>230</v>
      </c>
      <c r="J33" s="10">
        <v>232</v>
      </c>
      <c r="K33" s="10">
        <v>234</v>
      </c>
      <c r="L33" s="10">
        <v>236</v>
      </c>
      <c r="M33" s="218">
        <v>238</v>
      </c>
      <c r="N33" s="203">
        <v>0.52500000000000002</v>
      </c>
      <c r="O33" s="10">
        <v>275</v>
      </c>
      <c r="P33" s="10">
        <v>278</v>
      </c>
      <c r="Q33" s="10">
        <v>280</v>
      </c>
      <c r="R33" s="10">
        <v>282</v>
      </c>
      <c r="S33" s="10">
        <v>284</v>
      </c>
      <c r="T33" s="10">
        <v>286</v>
      </c>
      <c r="U33" s="10">
        <v>288</v>
      </c>
      <c r="V33" s="10">
        <v>290</v>
      </c>
      <c r="W33" s="10">
        <v>292</v>
      </c>
      <c r="X33" s="10">
        <v>294</v>
      </c>
      <c r="Y33" s="10">
        <v>296</v>
      </c>
      <c r="Z33" s="10">
        <v>298</v>
      </c>
      <c r="AA33" s="218">
        <v>300</v>
      </c>
    </row>
    <row r="34" spans="1:27" ht="14.1" customHeight="1">
      <c r="A34" s="203">
        <v>0.45</v>
      </c>
      <c r="B34" s="10">
        <v>221</v>
      </c>
      <c r="C34" s="10">
        <v>226</v>
      </c>
      <c r="D34" s="10">
        <v>230</v>
      </c>
      <c r="E34" s="10">
        <v>232</v>
      </c>
      <c r="F34" s="10">
        <v>235</v>
      </c>
      <c r="G34" s="10">
        <v>237</v>
      </c>
      <c r="H34" s="10">
        <v>238</v>
      </c>
      <c r="I34" s="10">
        <v>240</v>
      </c>
      <c r="J34" s="10">
        <v>242</v>
      </c>
      <c r="K34" s="10">
        <v>244</v>
      </c>
      <c r="L34" s="10">
        <v>246</v>
      </c>
      <c r="M34" s="218">
        <v>248</v>
      </c>
      <c r="N34" s="203">
        <v>0.55000000000000004</v>
      </c>
      <c r="O34" s="10">
        <v>286</v>
      </c>
      <c r="P34" s="10">
        <v>288</v>
      </c>
      <c r="Q34" s="10">
        <v>290</v>
      </c>
      <c r="R34" s="10">
        <v>292</v>
      </c>
      <c r="S34" s="10">
        <v>294</v>
      </c>
      <c r="T34" s="10">
        <v>296</v>
      </c>
      <c r="U34" s="10">
        <v>298</v>
      </c>
      <c r="V34" s="10">
        <v>299</v>
      </c>
      <c r="W34" s="10">
        <v>301</v>
      </c>
      <c r="X34" s="10">
        <v>303</v>
      </c>
      <c r="Y34" s="10">
        <v>305</v>
      </c>
      <c r="Z34" s="10">
        <v>307</v>
      </c>
      <c r="AA34" s="218">
        <v>309</v>
      </c>
    </row>
    <row r="35" spans="1:27" ht="14.1" customHeight="1">
      <c r="A35" s="203">
        <v>0.47499999999999998</v>
      </c>
      <c r="B35" s="10">
        <v>233</v>
      </c>
      <c r="C35" s="10">
        <v>237</v>
      </c>
      <c r="D35" s="10">
        <v>241</v>
      </c>
      <c r="E35" s="10">
        <v>243</v>
      </c>
      <c r="F35" s="10">
        <v>245</v>
      </c>
      <c r="G35" s="10">
        <v>247</v>
      </c>
      <c r="H35" s="10">
        <v>249</v>
      </c>
      <c r="I35" s="10">
        <v>251</v>
      </c>
      <c r="J35" s="10">
        <v>253</v>
      </c>
      <c r="K35" s="10">
        <v>254</v>
      </c>
      <c r="L35" s="10">
        <v>256</v>
      </c>
      <c r="M35" s="218">
        <v>258</v>
      </c>
      <c r="N35" s="203">
        <v>0.57499999999999996</v>
      </c>
      <c r="O35" s="10">
        <v>296</v>
      </c>
      <c r="P35" s="10">
        <v>298</v>
      </c>
      <c r="Q35" s="10">
        <v>3090</v>
      </c>
      <c r="R35" s="10">
        <v>302</v>
      </c>
      <c r="S35" s="10">
        <v>304</v>
      </c>
      <c r="T35" s="10">
        <v>305</v>
      </c>
      <c r="U35" s="10">
        <v>307</v>
      </c>
      <c r="V35" s="10">
        <v>309</v>
      </c>
      <c r="W35" s="10">
        <v>311</v>
      </c>
      <c r="X35" s="10">
        <v>313</v>
      </c>
      <c r="Y35" s="10">
        <v>315</v>
      </c>
      <c r="Z35" s="10">
        <v>317</v>
      </c>
      <c r="AA35" s="218">
        <v>318</v>
      </c>
    </row>
    <row r="36" spans="1:27" ht="14.1" customHeight="1">
      <c r="A36" s="203">
        <v>0.5</v>
      </c>
      <c r="B36" s="10">
        <v>244</v>
      </c>
      <c r="C36" s="10">
        <v>248</v>
      </c>
      <c r="D36" s="10">
        <v>252</v>
      </c>
      <c r="E36" s="10">
        <v>254</v>
      </c>
      <c r="F36" s="10">
        <v>256</v>
      </c>
      <c r="G36" s="10">
        <v>258</v>
      </c>
      <c r="H36" s="10">
        <v>260</v>
      </c>
      <c r="I36" s="10">
        <v>261</v>
      </c>
      <c r="J36" s="10">
        <v>263</v>
      </c>
      <c r="K36" s="10">
        <v>265</v>
      </c>
      <c r="L36" s="10">
        <v>267</v>
      </c>
      <c r="M36" s="218">
        <v>269</v>
      </c>
      <c r="N36" s="203">
        <v>0.6</v>
      </c>
      <c r="O36" s="10">
        <v>306</v>
      </c>
      <c r="P36" s="10">
        <v>308</v>
      </c>
      <c r="Q36" s="10">
        <v>310</v>
      </c>
      <c r="R36" s="10">
        <v>312</v>
      </c>
      <c r="S36" s="10">
        <v>313</v>
      </c>
      <c r="T36" s="10">
        <v>315</v>
      </c>
      <c r="U36" s="10">
        <v>317</v>
      </c>
      <c r="V36" s="10">
        <v>319</v>
      </c>
      <c r="W36" s="10">
        <v>320</v>
      </c>
      <c r="X36" s="10">
        <v>322</v>
      </c>
      <c r="Y36" s="10">
        <v>324</v>
      </c>
      <c r="Z36" s="10">
        <v>326</v>
      </c>
      <c r="AA36" s="218">
        <v>328</v>
      </c>
    </row>
    <row r="37" spans="1:27" ht="14.1" customHeight="1">
      <c r="A37" s="203">
        <v>0.52500000000000002</v>
      </c>
      <c r="B37" s="10">
        <v>256</v>
      </c>
      <c r="C37" s="10">
        <v>260</v>
      </c>
      <c r="D37" s="10">
        <v>263</v>
      </c>
      <c r="E37" s="10">
        <v>265</v>
      </c>
      <c r="F37" s="10">
        <v>267</v>
      </c>
      <c r="G37" s="10">
        <v>269</v>
      </c>
      <c r="H37" s="10">
        <v>270</v>
      </c>
      <c r="I37" s="10">
        <v>272</v>
      </c>
      <c r="J37" s="10">
        <v>273</v>
      </c>
      <c r="K37" s="10">
        <v>275</v>
      </c>
      <c r="L37" s="10">
        <v>277</v>
      </c>
      <c r="M37" s="218">
        <v>279</v>
      </c>
      <c r="N37" s="203">
        <v>0.625</v>
      </c>
      <c r="O37" s="10">
        <v>316</v>
      </c>
      <c r="P37" s="10">
        <v>318</v>
      </c>
      <c r="Q37" s="10">
        <v>320</v>
      </c>
      <c r="R37" s="10">
        <v>322</v>
      </c>
      <c r="S37" s="10">
        <v>323</v>
      </c>
      <c r="T37" s="10">
        <v>325</v>
      </c>
      <c r="U37" s="10">
        <v>326</v>
      </c>
      <c r="V37" s="10">
        <v>328</v>
      </c>
      <c r="W37" s="10">
        <v>330</v>
      </c>
      <c r="X37" s="10">
        <v>332</v>
      </c>
      <c r="Y37" s="10">
        <v>333</v>
      </c>
      <c r="Z37" s="10">
        <v>335</v>
      </c>
      <c r="AA37" s="218">
        <v>337</v>
      </c>
    </row>
    <row r="38" spans="1:27" ht="14.1" customHeight="1">
      <c r="A38" s="203">
        <v>0.55000000000000004</v>
      </c>
      <c r="B38" s="10">
        <v>267</v>
      </c>
      <c r="C38" s="10">
        <v>271</v>
      </c>
      <c r="D38" s="10">
        <v>274</v>
      </c>
      <c r="E38" s="10">
        <v>276</v>
      </c>
      <c r="F38" s="10">
        <v>278</v>
      </c>
      <c r="G38" s="10">
        <v>279</v>
      </c>
      <c r="H38" s="10">
        <v>281</v>
      </c>
      <c r="I38" s="10">
        <v>282</v>
      </c>
      <c r="J38" s="10">
        <v>284</v>
      </c>
      <c r="K38" s="10">
        <v>285</v>
      </c>
      <c r="L38" s="10">
        <v>287</v>
      </c>
      <c r="M38" s="218">
        <v>289</v>
      </c>
      <c r="N38" s="203">
        <v>0.65</v>
      </c>
      <c r="O38" s="10">
        <v>326</v>
      </c>
      <c r="P38" s="10">
        <v>328</v>
      </c>
      <c r="Q38" s="10">
        <v>330</v>
      </c>
      <c r="R38" s="10">
        <v>331</v>
      </c>
      <c r="S38" s="10">
        <v>333</v>
      </c>
      <c r="T38" s="10">
        <v>334</v>
      </c>
      <c r="U38" s="10">
        <v>336</v>
      </c>
      <c r="V38" s="10">
        <v>338</v>
      </c>
      <c r="W38" s="10">
        <v>339</v>
      </c>
      <c r="X38" s="10">
        <v>341</v>
      </c>
      <c r="Y38" s="10">
        <v>343</v>
      </c>
      <c r="Z38" s="10">
        <v>344</v>
      </c>
      <c r="AA38" s="218">
        <v>346</v>
      </c>
    </row>
    <row r="39" spans="1:27" ht="14.1" customHeight="1">
      <c r="A39" s="203">
        <v>0.57499999999999996</v>
      </c>
      <c r="B39" s="10">
        <v>279</v>
      </c>
      <c r="C39" s="10">
        <v>282</v>
      </c>
      <c r="D39" s="10">
        <v>285</v>
      </c>
      <c r="E39" s="10">
        <v>287</v>
      </c>
      <c r="F39" s="10">
        <v>288</v>
      </c>
      <c r="G39" s="10">
        <v>290</v>
      </c>
      <c r="H39" s="10">
        <v>291</v>
      </c>
      <c r="I39" s="10">
        <v>292</v>
      </c>
      <c r="J39" s="10">
        <v>294</v>
      </c>
      <c r="K39" s="10">
        <v>296</v>
      </c>
      <c r="L39" s="10">
        <v>297</v>
      </c>
      <c r="M39" s="218">
        <v>299</v>
      </c>
      <c r="N39" s="203">
        <v>0.67500000000000004</v>
      </c>
      <c r="O39" s="10">
        <v>336</v>
      </c>
      <c r="P39" s="10">
        <v>338</v>
      </c>
      <c r="Q39" s="10">
        <v>339</v>
      </c>
      <c r="R39" s="10">
        <v>341</v>
      </c>
      <c r="S39" s="10">
        <v>342</v>
      </c>
      <c r="T39" s="10">
        <v>344</v>
      </c>
      <c r="U39" s="10">
        <v>345</v>
      </c>
      <c r="V39" s="10">
        <v>347</v>
      </c>
      <c r="W39" s="10">
        <v>349</v>
      </c>
      <c r="X39" s="10">
        <v>350</v>
      </c>
      <c r="Y39" s="10">
        <v>352</v>
      </c>
      <c r="Z39" s="10">
        <v>354</v>
      </c>
      <c r="AA39" s="218">
        <v>355</v>
      </c>
    </row>
    <row r="40" spans="1:27" ht="14.1" customHeight="1">
      <c r="A40" s="203">
        <v>0.6</v>
      </c>
      <c r="B40" s="10">
        <v>290</v>
      </c>
      <c r="C40" s="10">
        <v>293</v>
      </c>
      <c r="D40" s="10">
        <v>296</v>
      </c>
      <c r="E40" s="10">
        <v>297</v>
      </c>
      <c r="F40" s="10">
        <v>299</v>
      </c>
      <c r="G40" s="10">
        <v>300</v>
      </c>
      <c r="H40" s="10">
        <v>301</v>
      </c>
      <c r="I40" s="10">
        <v>303</v>
      </c>
      <c r="J40" s="10">
        <v>304</v>
      </c>
      <c r="K40" s="10">
        <v>306</v>
      </c>
      <c r="L40" s="10">
        <v>308</v>
      </c>
      <c r="M40" s="218">
        <v>310</v>
      </c>
      <c r="N40" s="203">
        <v>0.7</v>
      </c>
      <c r="O40" s="10">
        <v>346</v>
      </c>
      <c r="P40" s="10">
        <v>348</v>
      </c>
      <c r="Q40" s="10">
        <v>349</v>
      </c>
      <c r="R40" s="10">
        <v>350</v>
      </c>
      <c r="S40" s="10">
        <v>352</v>
      </c>
      <c r="T40" s="10">
        <v>353</v>
      </c>
      <c r="U40" s="10">
        <v>355</v>
      </c>
      <c r="V40" s="10">
        <v>356</v>
      </c>
      <c r="W40" s="10">
        <v>358</v>
      </c>
      <c r="X40" s="10">
        <v>359</v>
      </c>
      <c r="Y40" s="10">
        <v>361</v>
      </c>
      <c r="Z40" s="10">
        <v>363</v>
      </c>
      <c r="AA40" s="218">
        <v>364</v>
      </c>
    </row>
    <row r="41" spans="1:27" ht="14.1" customHeight="1">
      <c r="A41" s="203">
        <v>0.625</v>
      </c>
      <c r="B41" s="10">
        <v>301</v>
      </c>
      <c r="C41" s="10">
        <v>304</v>
      </c>
      <c r="D41" s="10">
        <v>306</v>
      </c>
      <c r="E41" s="10">
        <v>308</v>
      </c>
      <c r="F41" s="10">
        <v>309</v>
      </c>
      <c r="G41" s="10">
        <v>310</v>
      </c>
      <c r="H41" s="10">
        <v>312</v>
      </c>
      <c r="I41" s="10">
        <v>313</v>
      </c>
      <c r="J41" s="10">
        <v>315</v>
      </c>
      <c r="K41" s="10">
        <v>316</v>
      </c>
      <c r="L41" s="10">
        <v>318</v>
      </c>
      <c r="M41" s="218">
        <v>320</v>
      </c>
      <c r="N41" s="203">
        <v>0.72499999999999998</v>
      </c>
      <c r="O41" s="10">
        <v>356</v>
      </c>
      <c r="P41" s="10">
        <v>357</v>
      </c>
      <c r="Q41" s="10">
        <v>358</v>
      </c>
      <c r="R41" s="10">
        <v>360</v>
      </c>
      <c r="S41" s="10">
        <v>361</v>
      </c>
      <c r="T41" s="10">
        <v>362</v>
      </c>
      <c r="U41" s="10">
        <v>364</v>
      </c>
      <c r="V41" s="10">
        <v>365</v>
      </c>
      <c r="W41" s="10">
        <v>367</v>
      </c>
      <c r="X41" s="10">
        <v>368</v>
      </c>
      <c r="Y41" s="10">
        <v>370</v>
      </c>
      <c r="Z41" s="10">
        <v>372</v>
      </c>
      <c r="AA41" s="218">
        <v>373</v>
      </c>
    </row>
    <row r="42" spans="1:27" ht="14.1" customHeight="1">
      <c r="A42" s="203">
        <v>0.65</v>
      </c>
      <c r="B42" s="10">
        <v>312</v>
      </c>
      <c r="C42" s="10">
        <v>314</v>
      </c>
      <c r="D42" s="10">
        <v>317</v>
      </c>
      <c r="E42" s="10">
        <v>318</v>
      </c>
      <c r="F42" s="10">
        <v>320</v>
      </c>
      <c r="G42" s="10">
        <v>321</v>
      </c>
      <c r="H42" s="10">
        <v>322</v>
      </c>
      <c r="I42" s="10">
        <v>323</v>
      </c>
      <c r="J42" s="10">
        <v>325</v>
      </c>
      <c r="K42" s="10">
        <v>326</v>
      </c>
      <c r="L42" s="10">
        <v>328</v>
      </c>
      <c r="M42" s="218">
        <v>330</v>
      </c>
      <c r="N42" s="203">
        <v>0.75</v>
      </c>
      <c r="O42" s="10">
        <v>365</v>
      </c>
      <c r="P42" s="10">
        <v>367</v>
      </c>
      <c r="Q42" s="10">
        <v>368</v>
      </c>
      <c r="R42" s="10">
        <v>369</v>
      </c>
      <c r="S42" s="10">
        <v>370</v>
      </c>
      <c r="T42" s="10">
        <v>372</v>
      </c>
      <c r="U42" s="10">
        <v>373</v>
      </c>
      <c r="V42" s="10">
        <v>375</v>
      </c>
      <c r="W42" s="10">
        <v>376</v>
      </c>
      <c r="X42" s="10">
        <v>378</v>
      </c>
      <c r="Y42" s="10">
        <v>379</v>
      </c>
      <c r="Z42" s="10">
        <v>381</v>
      </c>
      <c r="AA42" s="218">
        <v>382</v>
      </c>
    </row>
    <row r="43" spans="1:27" ht="14.1" customHeight="1">
      <c r="A43" s="203">
        <v>0.67500000000000004</v>
      </c>
      <c r="B43" s="10">
        <v>322</v>
      </c>
      <c r="C43" s="10">
        <v>325</v>
      </c>
      <c r="D43" s="10">
        <v>327</v>
      </c>
      <c r="E43" s="10">
        <v>328</v>
      </c>
      <c r="F43" s="10">
        <v>330</v>
      </c>
      <c r="G43" s="10">
        <v>331</v>
      </c>
      <c r="H43" s="10">
        <v>333</v>
      </c>
      <c r="I43" s="10">
        <v>333</v>
      </c>
      <c r="J43" s="10">
        <v>335</v>
      </c>
      <c r="K43" s="10">
        <v>336</v>
      </c>
      <c r="L43" s="10">
        <v>338</v>
      </c>
      <c r="M43" s="218">
        <v>340</v>
      </c>
      <c r="N43" s="203">
        <v>0.77500000000000002</v>
      </c>
      <c r="O43" s="10">
        <v>374</v>
      </c>
      <c r="P43" s="10">
        <v>376</v>
      </c>
      <c r="Q43" s="10">
        <v>377</v>
      </c>
      <c r="R43" s="10">
        <v>378</v>
      </c>
      <c r="S43" s="10">
        <v>379</v>
      </c>
      <c r="T43" s="10">
        <v>381</v>
      </c>
      <c r="U43" s="10">
        <v>382</v>
      </c>
      <c r="V43" s="10">
        <v>383</v>
      </c>
      <c r="W43" s="10">
        <v>385</v>
      </c>
      <c r="X43" s="10">
        <v>386</v>
      </c>
      <c r="Y43" s="10">
        <v>388</v>
      </c>
      <c r="Z43" s="10">
        <v>390</v>
      </c>
      <c r="AA43" s="218">
        <v>391</v>
      </c>
    </row>
    <row r="44" spans="1:27" ht="14.1" customHeight="1">
      <c r="A44" s="203">
        <v>0.7</v>
      </c>
      <c r="B44" s="10">
        <v>333</v>
      </c>
      <c r="C44" s="10">
        <v>335</v>
      </c>
      <c r="D44" s="10">
        <v>337</v>
      </c>
      <c r="E44" s="10">
        <v>339</v>
      </c>
      <c r="F44" s="10">
        <v>340</v>
      </c>
      <c r="G44" s="10">
        <v>341</v>
      </c>
      <c r="H44" s="10">
        <v>342</v>
      </c>
      <c r="I44" s="10">
        <v>343</v>
      </c>
      <c r="J44" s="10">
        <v>345</v>
      </c>
      <c r="K44" s="10">
        <v>346</v>
      </c>
      <c r="L44" s="10">
        <v>348</v>
      </c>
      <c r="M44" s="218">
        <v>350</v>
      </c>
      <c r="N44" s="203">
        <v>0.79999999999999905</v>
      </c>
      <c r="O44" s="10">
        <v>384</v>
      </c>
      <c r="P44" s="10">
        <v>385</v>
      </c>
      <c r="Q44" s="10">
        <v>386</v>
      </c>
      <c r="R44" s="10">
        <v>387</v>
      </c>
      <c r="S44" s="10">
        <v>388</v>
      </c>
      <c r="T44" s="10">
        <v>390</v>
      </c>
      <c r="U44" s="10">
        <v>391</v>
      </c>
      <c r="V44" s="10">
        <v>392</v>
      </c>
      <c r="W44" s="10">
        <v>394</v>
      </c>
      <c r="X44" s="10">
        <v>395</v>
      </c>
      <c r="Y44" s="10">
        <v>397</v>
      </c>
      <c r="Z44" s="10">
        <v>398</v>
      </c>
      <c r="AA44" s="218">
        <v>400</v>
      </c>
    </row>
    <row r="45" spans="1:27" ht="14.1" customHeight="1">
      <c r="A45" s="203">
        <v>0.72499999999999998</v>
      </c>
      <c r="B45" s="10">
        <v>342</v>
      </c>
      <c r="C45" s="10">
        <v>345</v>
      </c>
      <c r="D45" s="10">
        <v>347</v>
      </c>
      <c r="E45" s="10">
        <v>348</v>
      </c>
      <c r="F45" s="10">
        <v>349</v>
      </c>
      <c r="G45" s="10">
        <v>351</v>
      </c>
      <c r="H45" s="10">
        <v>352</v>
      </c>
      <c r="I45" s="10">
        <v>353</v>
      </c>
      <c r="J45" s="10">
        <v>354</v>
      </c>
      <c r="K45" s="10">
        <v>356</v>
      </c>
      <c r="L45" s="10">
        <v>358</v>
      </c>
      <c r="M45" s="218">
        <v>360</v>
      </c>
      <c r="N45" s="203">
        <v>0.82499999999999896</v>
      </c>
      <c r="O45" s="10">
        <v>393</v>
      </c>
      <c r="P45" s="10">
        <v>394</v>
      </c>
      <c r="Q45" s="10">
        <v>395</v>
      </c>
      <c r="R45" s="10">
        <v>396</v>
      </c>
      <c r="S45" s="10">
        <v>397</v>
      </c>
      <c r="T45" s="10">
        <v>399</v>
      </c>
      <c r="U45" s="10">
        <v>400</v>
      </c>
      <c r="V45" s="10">
        <v>401</v>
      </c>
      <c r="W45" s="10">
        <v>403</v>
      </c>
      <c r="X45" s="10">
        <v>404</v>
      </c>
      <c r="Y45" s="10">
        <v>406</v>
      </c>
      <c r="Z45" s="10">
        <v>407</v>
      </c>
      <c r="AA45" s="218">
        <v>408</v>
      </c>
    </row>
    <row r="46" spans="1:27" ht="14.1" customHeight="1">
      <c r="A46" s="203">
        <v>0.75</v>
      </c>
      <c r="B46" s="10">
        <v>352</v>
      </c>
      <c r="C46" s="10">
        <v>355</v>
      </c>
      <c r="D46" s="10">
        <v>357</v>
      </c>
      <c r="E46" s="10">
        <v>358</v>
      </c>
      <c r="F46" s="10">
        <v>359</v>
      </c>
      <c r="G46" s="10">
        <v>360</v>
      </c>
      <c r="H46" s="10">
        <v>361</v>
      </c>
      <c r="I46" s="10">
        <v>363</v>
      </c>
      <c r="J46" s="10">
        <v>364</v>
      </c>
      <c r="K46" s="10">
        <v>366</v>
      </c>
      <c r="L46" s="10">
        <v>368</v>
      </c>
      <c r="M46" s="218">
        <v>369</v>
      </c>
      <c r="N46" s="203">
        <v>0.84999999999999898</v>
      </c>
      <c r="O46" s="10">
        <v>402</v>
      </c>
      <c r="P46" s="10">
        <v>403</v>
      </c>
      <c r="Q46" s="10">
        <v>404</v>
      </c>
      <c r="R46" s="10">
        <v>405</v>
      </c>
      <c r="S46" s="10">
        <v>406</v>
      </c>
      <c r="T46" s="10">
        <v>407</v>
      </c>
      <c r="U46" s="10">
        <v>409</v>
      </c>
      <c r="V46" s="10">
        <v>410</v>
      </c>
      <c r="W46" s="10">
        <v>411</v>
      </c>
      <c r="X46" s="10">
        <v>413</v>
      </c>
      <c r="Y46" s="10">
        <v>414</v>
      </c>
      <c r="Z46" s="10">
        <v>416</v>
      </c>
      <c r="AA46" s="218">
        <v>417</v>
      </c>
    </row>
    <row r="47" spans="1:27" ht="14.1" customHeight="1">
      <c r="A47" s="203">
        <v>0.77500000000000002</v>
      </c>
      <c r="B47" s="10">
        <v>361</v>
      </c>
      <c r="C47" s="10">
        <v>365</v>
      </c>
      <c r="D47" s="10">
        <v>367</v>
      </c>
      <c r="E47" s="10">
        <v>368</v>
      </c>
      <c r="F47" s="10">
        <v>369</v>
      </c>
      <c r="G47" s="10">
        <v>370</v>
      </c>
      <c r="H47" s="10">
        <v>371</v>
      </c>
      <c r="I47" s="10">
        <v>372</v>
      </c>
      <c r="J47" s="10">
        <v>374</v>
      </c>
      <c r="K47" s="10">
        <v>375</v>
      </c>
      <c r="L47" s="10">
        <v>377</v>
      </c>
      <c r="M47" s="218">
        <v>379</v>
      </c>
      <c r="N47" s="203">
        <v>0.874999999999999</v>
      </c>
      <c r="O47" s="10">
        <v>410</v>
      </c>
      <c r="P47" s="10">
        <v>411</v>
      </c>
      <c r="Q47" s="10">
        <v>412</v>
      </c>
      <c r="R47" s="10">
        <v>413</v>
      </c>
      <c r="S47" s="10">
        <v>415</v>
      </c>
      <c r="T47" s="10">
        <v>416</v>
      </c>
      <c r="U47" s="10">
        <v>417</v>
      </c>
      <c r="V47" s="10">
        <v>418</v>
      </c>
      <c r="W47" s="10">
        <v>420</v>
      </c>
      <c r="X47" s="10">
        <v>421</v>
      </c>
      <c r="Y47" s="10">
        <v>423</v>
      </c>
      <c r="Z47" s="10">
        <v>424</v>
      </c>
      <c r="AA47" s="218">
        <v>425</v>
      </c>
    </row>
    <row r="48" spans="1:27" ht="14.1" customHeight="1" thickBot="1">
      <c r="A48" s="204">
        <v>0.8</v>
      </c>
      <c r="B48" s="205">
        <v>369</v>
      </c>
      <c r="C48" s="205">
        <v>374</v>
      </c>
      <c r="D48" s="205">
        <v>376</v>
      </c>
      <c r="E48" s="205">
        <v>377</v>
      </c>
      <c r="F48" s="205">
        <v>378</v>
      </c>
      <c r="G48" s="205">
        <v>379</v>
      </c>
      <c r="H48" s="205">
        <v>380</v>
      </c>
      <c r="I48" s="205">
        <v>382</v>
      </c>
      <c r="J48" s="205">
        <v>383</v>
      </c>
      <c r="K48" s="205">
        <v>385</v>
      </c>
      <c r="L48" s="205">
        <v>387</v>
      </c>
      <c r="M48" s="175">
        <v>389</v>
      </c>
      <c r="N48" s="203">
        <v>0.89999999999999902</v>
      </c>
      <c r="O48" s="205">
        <v>419</v>
      </c>
      <c r="P48" s="205">
        <v>420</v>
      </c>
      <c r="Q48" s="205">
        <v>421</v>
      </c>
      <c r="R48" s="205">
        <v>422</v>
      </c>
      <c r="S48" s="205">
        <v>423</v>
      </c>
      <c r="T48" s="205">
        <v>424</v>
      </c>
      <c r="U48" s="205">
        <v>425</v>
      </c>
      <c r="V48" s="205">
        <v>427</v>
      </c>
      <c r="W48" s="205">
        <v>428</v>
      </c>
      <c r="X48" s="205">
        <v>429</v>
      </c>
      <c r="Y48" s="205">
        <v>431</v>
      </c>
      <c r="Z48" s="205">
        <v>432</v>
      </c>
      <c r="AA48" s="175">
        <v>434</v>
      </c>
    </row>
    <row r="50" spans="1:19" ht="14.1" customHeight="1">
      <c r="A50" s="74" t="s">
        <v>421</v>
      </c>
    </row>
    <row r="51" spans="1:19" ht="14.1" customHeight="1">
      <c r="B51" s="981" t="s">
        <v>422</v>
      </c>
      <c r="C51" s="981" t="s">
        <v>423</v>
      </c>
      <c r="D51" s="983" t="s">
        <v>424</v>
      </c>
      <c r="E51" s="984"/>
      <c r="F51" s="984"/>
      <c r="G51" s="984"/>
      <c r="H51" s="984"/>
      <c r="I51" s="984"/>
      <c r="J51" s="984"/>
      <c r="K51" s="985"/>
    </row>
    <row r="52" spans="1:19" ht="14.1" customHeight="1">
      <c r="B52" s="982"/>
      <c r="C52" s="982"/>
      <c r="D52" s="230">
        <v>0.25</v>
      </c>
      <c r="E52" s="230">
        <v>0.3</v>
      </c>
      <c r="F52" s="230">
        <v>0.35</v>
      </c>
      <c r="G52" s="230">
        <v>0.4</v>
      </c>
      <c r="H52" s="230">
        <v>0.45</v>
      </c>
      <c r="I52" s="230">
        <v>0.5</v>
      </c>
      <c r="J52" s="230">
        <v>0.55000000000000004</v>
      </c>
      <c r="K52" s="230">
        <v>0.6</v>
      </c>
      <c r="L52" s="20" t="s">
        <v>425</v>
      </c>
      <c r="M52" s="20" t="s">
        <v>426</v>
      </c>
      <c r="N52" s="20" t="s">
        <v>623</v>
      </c>
    </row>
    <row r="53" spans="1:19" ht="14.1" customHeight="1">
      <c r="A53" s="104" t="s">
        <v>427</v>
      </c>
      <c r="B53" s="10">
        <v>45</v>
      </c>
      <c r="C53" s="10">
        <v>53</v>
      </c>
      <c r="D53" s="10">
        <v>0.13</v>
      </c>
      <c r="E53" s="10">
        <v>0.155</v>
      </c>
      <c r="F53" s="10">
        <v>0.17699999999999999</v>
      </c>
      <c r="G53" s="10">
        <v>0.19800000000000001</v>
      </c>
      <c r="H53" s="10">
        <v>0.22</v>
      </c>
      <c r="I53" s="10">
        <v>0.245</v>
      </c>
      <c r="J53" s="10">
        <v>0.27200000000000002</v>
      </c>
      <c r="K53" s="10">
        <v>0.29499999999999998</v>
      </c>
      <c r="L53" s="292">
        <f>SLOPE(D53:K53,$D$52:$K$52)</f>
        <v>0.46809523809523801</v>
      </c>
      <c r="M53" s="292">
        <f>INTERCEPT(D53:K53,$D$52:$K$52)</f>
        <v>1.2559523809523854E-2</v>
      </c>
      <c r="N53" s="20">
        <f>RSQ(D53:K53,D52:K52)</f>
        <v>0.99882265140144821</v>
      </c>
    </row>
    <row r="54" spans="1:19" ht="14.1" customHeight="1">
      <c r="A54" s="104" t="s">
        <v>428</v>
      </c>
      <c r="B54" s="10">
        <v>45</v>
      </c>
      <c r="C54" s="10">
        <v>53</v>
      </c>
      <c r="D54" s="10"/>
      <c r="E54" s="10">
        <v>1.109</v>
      </c>
      <c r="F54" s="10">
        <v>1.105</v>
      </c>
      <c r="G54" s="10">
        <v>1.1020000000000001</v>
      </c>
      <c r="H54" s="10">
        <v>1.099</v>
      </c>
      <c r="I54" s="10">
        <v>1.0960000000000001</v>
      </c>
      <c r="J54" s="10">
        <v>1.091</v>
      </c>
      <c r="K54" s="10">
        <v>1.0880000000000001</v>
      </c>
      <c r="L54" s="292">
        <f>SLOPE(D54:K54,$D$52:$K$52)</f>
        <v>-6.928571428571409E-2</v>
      </c>
      <c r="M54" s="292">
        <f>INTERCEPT(D54:K54,$D$52:$K$52)</f>
        <v>1.1297499999999998</v>
      </c>
      <c r="N54" s="20">
        <f>RSQ(E54:K54,E52:K52)</f>
        <v>0.99502961082910224</v>
      </c>
    </row>
    <row r="55" spans="1:19" ht="14.1" customHeight="1">
      <c r="A55" s="104" t="s">
        <v>427</v>
      </c>
      <c r="B55" s="10">
        <v>50</v>
      </c>
      <c r="C55" s="10">
        <v>60</v>
      </c>
      <c r="D55" s="10">
        <v>0.112</v>
      </c>
      <c r="E55" s="10">
        <v>0.13500000000000001</v>
      </c>
      <c r="F55" s="10">
        <v>0.154</v>
      </c>
      <c r="G55" s="10">
        <v>0.17199999999999999</v>
      </c>
      <c r="H55" s="10">
        <v>0.192</v>
      </c>
      <c r="I55" s="10">
        <v>0.214</v>
      </c>
      <c r="J55" s="10">
        <v>0.23599999999999999</v>
      </c>
      <c r="K55" s="10">
        <v>0.26100000000000001</v>
      </c>
      <c r="L55" s="292">
        <f>SLOPE(D55:K55,$D$52:$K$52)</f>
        <v>0.41619047619047611</v>
      </c>
      <c r="M55" s="292">
        <f>INTERCEPT(D55:K55,$D$52:$K$52)</f>
        <v>7.6190476190476641E-3</v>
      </c>
      <c r="N55" s="20">
        <f>RSQ(D55:K55,D52:K52)</f>
        <v>0.99799845311258839</v>
      </c>
    </row>
    <row r="56" spans="1:19" ht="14.1" customHeight="1">
      <c r="A56" s="104" t="s">
        <v>428</v>
      </c>
      <c r="B56" s="10">
        <v>50</v>
      </c>
      <c r="C56" s="10">
        <v>60</v>
      </c>
      <c r="D56" s="10"/>
      <c r="E56" s="12">
        <v>1.1639999999999999</v>
      </c>
      <c r="F56" s="12">
        <v>1.1599999999999999</v>
      </c>
      <c r="G56" s="12">
        <v>1.151</v>
      </c>
      <c r="H56" s="12">
        <v>1.1499999999999999</v>
      </c>
      <c r="I56" s="12">
        <v>1.1439999999999999</v>
      </c>
      <c r="J56" s="12">
        <v>1.139</v>
      </c>
      <c r="K56" s="12">
        <v>1.1339999999999999</v>
      </c>
      <c r="L56" s="692">
        <f>SLOPE(D56:K56,$D$52:$K$52)</f>
        <v>-9.9285714285714269E-2</v>
      </c>
      <c r="M56" s="692">
        <f>INTERCEPT(D56:K56,$D$52:$K$52)</f>
        <v>1.1935357142857141</v>
      </c>
      <c r="N56" s="20">
        <f>RSQ(E56:K56,E52:K52)</f>
        <v>0.98455972278842285</v>
      </c>
    </row>
    <row r="58" spans="1:19" ht="14.1" customHeight="1">
      <c r="B58" s="10" t="s">
        <v>234</v>
      </c>
      <c r="C58" s="10" t="s">
        <v>259</v>
      </c>
      <c r="D58" s="10" t="s">
        <v>235</v>
      </c>
    </row>
    <row r="59" spans="1:19" ht="14.1" customHeight="1">
      <c r="A59" s="104" t="s">
        <v>429</v>
      </c>
      <c r="B59" s="10">
        <v>1</v>
      </c>
      <c r="C59" s="10">
        <v>1.0169999999999999</v>
      </c>
      <c r="D59" s="10">
        <v>1.042</v>
      </c>
    </row>
    <row r="61" spans="1:19" ht="14.1" customHeight="1">
      <c r="A61" s="74" t="s">
        <v>430</v>
      </c>
      <c r="C61" s="20" t="s">
        <v>431</v>
      </c>
      <c r="N61" s="144"/>
      <c r="O61" s="67"/>
      <c r="P61" s="67"/>
      <c r="Q61" s="67"/>
      <c r="R61" s="67"/>
      <c r="S61" s="67"/>
    </row>
    <row r="62" spans="1:19" ht="14.1" customHeight="1">
      <c r="A62" s="255" t="s">
        <v>69</v>
      </c>
      <c r="B62" s="650" t="s">
        <v>266</v>
      </c>
      <c r="C62" s="650" t="s">
        <v>432</v>
      </c>
      <c r="D62" s="650" t="s">
        <v>332</v>
      </c>
      <c r="E62" s="255" t="s">
        <v>69</v>
      </c>
      <c r="F62" s="650" t="s">
        <v>266</v>
      </c>
      <c r="G62" s="650" t="s">
        <v>432</v>
      </c>
      <c r="H62" s="650" t="s">
        <v>332</v>
      </c>
      <c r="I62" s="255" t="s">
        <v>69</v>
      </c>
      <c r="J62" s="650" t="s">
        <v>266</v>
      </c>
      <c r="K62" s="650" t="s">
        <v>432</v>
      </c>
      <c r="L62" s="650" t="s">
        <v>332</v>
      </c>
      <c r="O62" s="963"/>
      <c r="P62" s="963"/>
      <c r="Q62" s="963"/>
      <c r="R62" s="963"/>
      <c r="S62" s="963"/>
    </row>
    <row r="63" spans="1:19" ht="14.1" customHeight="1">
      <c r="A63" s="650" t="str">
        <f>Sheet1!P371</f>
        <v>/</v>
      </c>
      <c r="B63" s="650">
        <f>Sheet1!Q371</f>
        <v>24</v>
      </c>
      <c r="C63" s="650">
        <f t="shared" ref="C63:C69" si="0">B63^2</f>
        <v>576</v>
      </c>
      <c r="D63" s="292" t="str">
        <f>Sheet1!V371</f>
        <v/>
      </c>
      <c r="E63" s="650" t="str">
        <f>Sheet1!P378</f>
        <v>/</v>
      </c>
      <c r="F63" s="650">
        <f>Sheet1!Q378</f>
        <v>28</v>
      </c>
      <c r="G63" s="650">
        <f t="shared" ref="G63:G68" si="1">F63^2</f>
        <v>784</v>
      </c>
      <c r="H63" s="292" t="str">
        <f>Sheet1!V378</f>
        <v/>
      </c>
      <c r="I63" s="293" t="str">
        <f>Sheet1!P384</f>
        <v>/</v>
      </c>
      <c r="J63" s="650">
        <f>Sheet1!Q384</f>
        <v>28</v>
      </c>
      <c r="K63" s="650">
        <f t="shared" ref="K63:K67" si="2">J63^2</f>
        <v>784</v>
      </c>
      <c r="L63" s="291" t="str">
        <f>Sheet1!V384</f>
        <v/>
      </c>
      <c r="O63" s="654"/>
      <c r="P63" s="654"/>
      <c r="Q63" s="654"/>
      <c r="R63" s="654"/>
      <c r="S63" s="654"/>
    </row>
    <row r="64" spans="1:19" ht="14.1" customHeight="1">
      <c r="A64" s="255"/>
      <c r="B64" s="650">
        <f>Sheet1!Q372</f>
        <v>25</v>
      </c>
      <c r="C64" s="650">
        <f t="shared" si="0"/>
        <v>625</v>
      </c>
      <c r="D64" s="292" t="str">
        <f>Sheet1!V372</f>
        <v/>
      </c>
      <c r="E64" s="255"/>
      <c r="F64" s="650">
        <f>Sheet1!Q379</f>
        <v>30</v>
      </c>
      <c r="G64" s="650">
        <f t="shared" si="1"/>
        <v>900</v>
      </c>
      <c r="H64" s="292" t="str">
        <f>Sheet1!V379</f>
        <v/>
      </c>
      <c r="I64" s="293"/>
      <c r="J64" s="650">
        <f>Sheet1!Q385</f>
        <v>30</v>
      </c>
      <c r="K64" s="650">
        <f t="shared" si="2"/>
        <v>900</v>
      </c>
      <c r="L64" s="291" t="str">
        <f>Sheet1!V385</f>
        <v/>
      </c>
      <c r="O64" s="266"/>
      <c r="P64" s="266"/>
      <c r="Q64" s="266"/>
      <c r="R64" s="266"/>
      <c r="S64" s="266"/>
    </row>
    <row r="65" spans="1:19" ht="14.1" customHeight="1">
      <c r="A65" s="650"/>
      <c r="B65" s="650">
        <f>Sheet1!Q373</f>
        <v>26</v>
      </c>
      <c r="C65" s="650">
        <f t="shared" si="0"/>
        <v>676</v>
      </c>
      <c r="D65" s="292" t="str">
        <f>Sheet1!V373</f>
        <v/>
      </c>
      <c r="E65" s="650"/>
      <c r="F65" s="650">
        <f>Sheet1!Q380</f>
        <v>32</v>
      </c>
      <c r="G65" s="650">
        <f t="shared" si="1"/>
        <v>1024</v>
      </c>
      <c r="H65" s="292" t="str">
        <f>Sheet1!V380</f>
        <v/>
      </c>
      <c r="I65" s="293"/>
      <c r="J65" s="650">
        <f>Sheet1!Q386</f>
        <v>32</v>
      </c>
      <c r="K65" s="650">
        <f t="shared" si="2"/>
        <v>1024</v>
      </c>
      <c r="L65" s="291" t="str">
        <f>Sheet1!V386</f>
        <v/>
      </c>
      <c r="O65" s="266"/>
      <c r="P65" s="266"/>
      <c r="Q65" s="266"/>
      <c r="R65" s="266"/>
      <c r="S65" s="266"/>
    </row>
    <row r="66" spans="1:19" ht="14.1" customHeight="1">
      <c r="A66" s="650"/>
      <c r="B66" s="650">
        <f>Sheet1!Q374</f>
        <v>28</v>
      </c>
      <c r="C66" s="650">
        <f t="shared" si="0"/>
        <v>784</v>
      </c>
      <c r="D66" s="292" t="str">
        <f>Sheet1!V374</f>
        <v/>
      </c>
      <c r="E66" s="650"/>
      <c r="F66" s="650">
        <f>Sheet1!Q381</f>
        <v>34</v>
      </c>
      <c r="G66" s="650">
        <f t="shared" si="1"/>
        <v>1156</v>
      </c>
      <c r="H66" s="292" t="str">
        <f>Sheet1!V381</f>
        <v/>
      </c>
      <c r="I66" s="293"/>
      <c r="J66" s="650">
        <f>Sheet1!Q387</f>
        <v>34</v>
      </c>
      <c r="K66" s="650">
        <f t="shared" si="2"/>
        <v>1156</v>
      </c>
      <c r="L66" s="291" t="str">
        <f>Sheet1!V387</f>
        <v/>
      </c>
      <c r="O66" s="266"/>
      <c r="P66" s="266"/>
      <c r="Q66" s="266"/>
      <c r="R66" s="266"/>
      <c r="S66" s="266"/>
    </row>
    <row r="67" spans="1:19" ht="14.1" customHeight="1">
      <c r="A67" s="650"/>
      <c r="B67" s="650">
        <f>Sheet1!Q375</f>
        <v>30</v>
      </c>
      <c r="C67" s="650">
        <f t="shared" si="0"/>
        <v>900</v>
      </c>
      <c r="D67" s="292" t="str">
        <f>Sheet1!V375</f>
        <v/>
      </c>
      <c r="E67" s="650"/>
      <c r="F67" s="650">
        <f>Sheet1!Q382</f>
        <v>36</v>
      </c>
      <c r="G67" s="795">
        <f t="shared" si="1"/>
        <v>1296</v>
      </c>
      <c r="H67" s="292" t="str">
        <f>Sheet1!V382</f>
        <v/>
      </c>
      <c r="I67" s="293"/>
      <c r="J67" s="650">
        <f>Sheet1!Q388</f>
        <v>38</v>
      </c>
      <c r="K67" s="795">
        <f t="shared" si="2"/>
        <v>1444</v>
      </c>
      <c r="L67" s="291" t="str">
        <f>Sheet1!V388</f>
        <v/>
      </c>
      <c r="O67" s="266"/>
      <c r="P67" s="266"/>
      <c r="Q67" s="266"/>
      <c r="R67" s="266"/>
      <c r="S67" s="266"/>
    </row>
    <row r="68" spans="1:19" ht="14.1" customHeight="1">
      <c r="A68" s="650"/>
      <c r="B68" s="650">
        <f>Sheet1!Q376</f>
        <v>32</v>
      </c>
      <c r="C68" s="650">
        <f t="shared" si="0"/>
        <v>1024</v>
      </c>
      <c r="D68" s="292" t="str">
        <f>Sheet1!V376</f>
        <v/>
      </c>
      <c r="E68" s="650"/>
      <c r="F68" s="650">
        <f>Sheet1!Q383</f>
        <v>38</v>
      </c>
      <c r="G68" s="795">
        <f t="shared" si="1"/>
        <v>1444</v>
      </c>
      <c r="H68" s="292" t="str">
        <f>Sheet1!V383</f>
        <v/>
      </c>
      <c r="I68" s="267"/>
      <c r="L68" s="67"/>
      <c r="O68" s="266"/>
      <c r="P68" s="266"/>
      <c r="Q68" s="266"/>
      <c r="R68" s="266"/>
      <c r="S68" s="266"/>
    </row>
    <row r="69" spans="1:19" ht="14.1" customHeight="1">
      <c r="A69" s="776"/>
      <c r="B69" s="776">
        <v>34</v>
      </c>
      <c r="C69" s="776">
        <f t="shared" si="0"/>
        <v>1156</v>
      </c>
      <c r="D69" s="292" t="str">
        <f>Sheet1!V377</f>
        <v/>
      </c>
      <c r="E69" s="776"/>
      <c r="F69" s="776"/>
      <c r="G69" s="776"/>
      <c r="I69" s="267"/>
      <c r="L69" s="67"/>
      <c r="O69" s="266"/>
      <c r="P69" s="266"/>
      <c r="Q69" s="266"/>
      <c r="R69" s="266"/>
      <c r="S69" s="266"/>
    </row>
    <row r="70" spans="1:19" ht="14.1" customHeight="1">
      <c r="A70" s="650"/>
      <c r="B70" s="650"/>
      <c r="C70" s="650"/>
      <c r="D70" s="650" t="str">
        <f>A63</f>
        <v>/</v>
      </c>
      <c r="E70" s="650" t="str">
        <f>E63</f>
        <v>/</v>
      </c>
      <c r="F70" s="293" t="str">
        <f>I63</f>
        <v>/</v>
      </c>
      <c r="O70" s="266"/>
      <c r="P70" s="266"/>
      <c r="Q70" s="266"/>
      <c r="R70" s="266"/>
      <c r="S70" s="266"/>
    </row>
    <row r="71" spans="1:19" ht="14.1" customHeight="1">
      <c r="C71" s="34" t="s">
        <v>435</v>
      </c>
      <c r="D71" s="20" t="e">
        <f>SLOPE(D63:D69,$B$63:$B$69)</f>
        <v>#DIV/0!</v>
      </c>
      <c r="E71" s="20" t="e">
        <f>SLOPE(H63:H68,$F$63:$F$68)</f>
        <v>#DIV/0!</v>
      </c>
      <c r="F71" s="20" t="e">
        <f>SLOPE(L63:L67,$J$63:$J$67)</f>
        <v>#DIV/0!</v>
      </c>
      <c r="G71" s="34"/>
      <c r="K71" s="34"/>
      <c r="O71" s="266"/>
      <c r="P71" s="266"/>
      <c r="Q71" s="266"/>
      <c r="R71" s="266"/>
      <c r="S71" s="266"/>
    </row>
    <row r="72" spans="1:19" ht="14.1" customHeight="1">
      <c r="C72" s="34" t="s">
        <v>436</v>
      </c>
      <c r="D72" s="20" t="e">
        <f>INTERCEPT(D63:D69,$B$63:$B$69)</f>
        <v>#DIV/0!</v>
      </c>
      <c r="E72" s="20" t="e">
        <f>INTERCEPT(H63:H68,$F$63:$F$68)</f>
        <v>#DIV/0!</v>
      </c>
      <c r="F72" s="20" t="e">
        <f>INTERCEPT(L63:L67,$J$63:$J$67)</f>
        <v>#DIV/0!</v>
      </c>
      <c r="G72" s="34"/>
      <c r="K72" s="34"/>
      <c r="N72" s="67"/>
      <c r="O72" s="266"/>
      <c r="P72" s="266"/>
      <c r="Q72" s="266"/>
      <c r="R72" s="266"/>
      <c r="S72" s="266"/>
    </row>
    <row r="73" spans="1:19" ht="14.1" customHeight="1">
      <c r="C73" s="34" t="s">
        <v>533</v>
      </c>
      <c r="D73" s="20" t="e">
        <f>RSQ(D63:D69,B63:B69)</f>
        <v>#DIV/0!</v>
      </c>
      <c r="E73" s="20" t="e">
        <f>RSQ(H63:H68,F63:F68)</f>
        <v>#DIV/0!</v>
      </c>
      <c r="F73" s="20" t="e">
        <f>RSQ(L63:L67,J63:J67)</f>
        <v>#DIV/0!</v>
      </c>
      <c r="N73" s="67"/>
      <c r="O73" s="266"/>
      <c r="P73" s="266"/>
      <c r="Q73" s="266"/>
      <c r="R73" s="266"/>
      <c r="S73" s="266"/>
    </row>
    <row r="74" spans="1:19" ht="14.1" customHeight="1">
      <c r="A74" s="74" t="s">
        <v>347</v>
      </c>
      <c r="C74" s="20" t="s">
        <v>615</v>
      </c>
      <c r="N74" s="67"/>
      <c r="O74" s="266"/>
      <c r="P74" s="266"/>
      <c r="Q74" s="266"/>
      <c r="R74" s="266"/>
      <c r="S74" s="266"/>
    </row>
    <row r="75" spans="1:19" ht="14.1" customHeight="1">
      <c r="A75" s="255" t="s">
        <v>69</v>
      </c>
      <c r="B75" s="650" t="s">
        <v>266</v>
      </c>
      <c r="C75" s="650" t="s">
        <v>350</v>
      </c>
      <c r="D75" s="255" t="s">
        <v>69</v>
      </c>
      <c r="E75" s="650" t="s">
        <v>266</v>
      </c>
      <c r="F75" s="650" t="s">
        <v>350</v>
      </c>
      <c r="G75" s="255" t="s">
        <v>69</v>
      </c>
      <c r="H75" s="650" t="s">
        <v>266</v>
      </c>
      <c r="I75" s="650" t="s">
        <v>350</v>
      </c>
      <c r="K75" s="271" t="s">
        <v>22</v>
      </c>
      <c r="L75" s="271" t="s">
        <v>23</v>
      </c>
      <c r="M75" s="271" t="s">
        <v>437</v>
      </c>
      <c r="O75" s="266"/>
      <c r="P75" s="266"/>
      <c r="Q75" s="266"/>
      <c r="R75" s="266"/>
      <c r="S75" s="266"/>
    </row>
    <row r="76" spans="1:19" ht="14.1" customHeight="1">
      <c r="A76" s="650" t="str">
        <f>Sheet1!P371</f>
        <v>/</v>
      </c>
      <c r="B76" s="267" t="e">
        <f>AVERAGE(Sheet1!AM10:AM11)</f>
        <v>#DIV/0!</v>
      </c>
      <c r="C76" s="267" t="e">
        <f>AVERAGE(Sheet1!AQ10:AQ11)</f>
        <v>#DIV/0!</v>
      </c>
      <c r="D76" s="650" t="str">
        <f>Sheet1!P378</f>
        <v>/</v>
      </c>
      <c r="E76" s="267" t="e">
        <f>AVERAGE(Sheet1!AM27:AM28)</f>
        <v>#DIV/0!</v>
      </c>
      <c r="F76" s="267" t="e">
        <f>AVERAGE(Sheet1!AQ27:AQ28)</f>
        <v>#DIV/0!</v>
      </c>
      <c r="G76" s="650" t="str">
        <f>Sheet1!P384</f>
        <v>/</v>
      </c>
      <c r="H76" s="267" t="e">
        <f>AVERAGE(Sheet1!AM37:AM40)</f>
        <v>#DIV/0!</v>
      </c>
      <c r="I76" s="267" t="e">
        <f>AVERAGE(Sheet1!AQ37:AQ40)</f>
        <v>#DIV/0!</v>
      </c>
      <c r="K76" s="271" t="s">
        <v>31</v>
      </c>
      <c r="L76" s="271" t="s">
        <v>31</v>
      </c>
      <c r="M76" s="271">
        <v>0.12</v>
      </c>
      <c r="O76" s="266"/>
      <c r="P76" s="266"/>
      <c r="Q76" s="266"/>
      <c r="R76" s="266"/>
      <c r="S76" s="266"/>
    </row>
    <row r="77" spans="1:19" ht="14.1" customHeight="1">
      <c r="A77" s="255"/>
      <c r="B77" s="267" t="e">
        <f>AVERAGE(Sheet1!AM12:AM13)</f>
        <v>#DIV/0!</v>
      </c>
      <c r="C77" s="267" t="e">
        <f>AVERAGE(Sheet1!AQ12:AQ13)</f>
        <v>#DIV/0!</v>
      </c>
      <c r="D77" s="255"/>
      <c r="E77" s="267" t="e">
        <f>AVERAGE(Sheet1!AM29:AM30)</f>
        <v>#DIV/0!</v>
      </c>
      <c r="F77" s="267" t="e">
        <f>AVERAGE(Sheet1!AQ29:AQ30)</f>
        <v>#DIV/0!</v>
      </c>
      <c r="H77" s="267" t="e">
        <f>AVERAGE(Sheet1!AM41:AM42)</f>
        <v>#DIV/0!</v>
      </c>
      <c r="I77" s="267" t="e">
        <f>AVERAGE(Sheet1!AQ41:AQ42)</f>
        <v>#DIV/0!</v>
      </c>
      <c r="K77" s="271" t="s">
        <v>31</v>
      </c>
      <c r="L77" s="271" t="s">
        <v>53</v>
      </c>
      <c r="M77" s="271">
        <v>0.19</v>
      </c>
      <c r="O77" s="266"/>
      <c r="P77" s="266"/>
      <c r="Q77" s="266"/>
      <c r="R77" s="266"/>
      <c r="S77" s="266"/>
    </row>
    <row r="78" spans="1:19" ht="14.1" customHeight="1">
      <c r="A78" s="650"/>
      <c r="B78" s="267">
        <f>Sheet1!AM14</f>
        <v>0</v>
      </c>
      <c r="C78" s="267">
        <f>Sheet1!AQ14</f>
        <v>0</v>
      </c>
      <c r="D78" s="650"/>
      <c r="E78" s="267" t="e">
        <f>AVERAGE(Sheet1!AM31:AM32)</f>
        <v>#DIV/0!</v>
      </c>
      <c r="F78" s="267" t="e">
        <f>AVERAGE(Sheet1!AQ31:AQ32)</f>
        <v>#DIV/0!</v>
      </c>
      <c r="H78" s="267" t="e">
        <f>AVERAGE(Sheet1!AM43:AM44)</f>
        <v>#DIV/0!</v>
      </c>
      <c r="I78" s="267" t="e">
        <f>AVERAGE(Sheet1!AQ43:AQ44)</f>
        <v>#DIV/0!</v>
      </c>
      <c r="K78" s="271" t="s">
        <v>53</v>
      </c>
      <c r="L78" s="271" t="s">
        <v>53</v>
      </c>
      <c r="M78" s="271">
        <v>0.22</v>
      </c>
      <c r="O78" s="266"/>
      <c r="P78" s="266"/>
      <c r="Q78" s="266"/>
      <c r="R78" s="266"/>
      <c r="S78" s="266"/>
    </row>
    <row r="79" spans="1:19" ht="14.1" customHeight="1">
      <c r="B79" s="267" t="e">
        <f>AVERAGE(Sheet1!AM15:AM19)</f>
        <v>#DIV/0!</v>
      </c>
      <c r="C79" s="267" t="e">
        <f>AVERAGE(Sheet1!AQ15:AQ19)</f>
        <v>#DIV/0!</v>
      </c>
      <c r="E79" s="267" t="e">
        <f>AVERAGE(Sheet1!AM33:AM34)</f>
        <v>#DIV/0!</v>
      </c>
      <c r="F79" s="267" t="e">
        <f>AVERAGE(Sheet1!AQ33:AQ34)</f>
        <v>#DIV/0!</v>
      </c>
      <c r="H79" s="267" t="e">
        <f>AVERAGE(Sheet1!AM45:AM46)</f>
        <v>#DIV/0!</v>
      </c>
      <c r="I79" s="267" t="e">
        <f>AVERAGE(Sheet1!AQ45:AQ46)</f>
        <v>#DIV/0!</v>
      </c>
      <c r="K79" s="298" t="s">
        <v>438</v>
      </c>
      <c r="L79" s="298" t="s">
        <v>439</v>
      </c>
      <c r="M79" s="298"/>
      <c r="O79" s="266"/>
      <c r="P79" s="266"/>
      <c r="Q79" s="266"/>
      <c r="R79" s="266"/>
      <c r="S79" s="266"/>
    </row>
    <row r="80" spans="1:19" ht="14.1" customHeight="1">
      <c r="B80" s="267">
        <f>Sheet1!AM22</f>
        <v>0</v>
      </c>
      <c r="C80" s="267">
        <f>Sheet1!AQ22</f>
        <v>0</v>
      </c>
      <c r="E80" s="795">
        <f>AM41</f>
        <v>0</v>
      </c>
      <c r="F80" s="795">
        <f>AQ41</f>
        <v>0</v>
      </c>
      <c r="H80" s="795" t="e">
        <f>AVERAGE(Sheet1!AM47:AM48)</f>
        <v>#DIV/0!</v>
      </c>
      <c r="I80" s="20" t="e">
        <f>AVERAGE(Sheet1!AQ47:AQ48)</f>
        <v>#DIV/0!</v>
      </c>
      <c r="K80" s="298"/>
      <c r="L80" s="298" t="s">
        <v>440</v>
      </c>
      <c r="M80" s="298"/>
      <c r="O80" s="266"/>
      <c r="P80" s="266"/>
      <c r="Q80" s="266"/>
      <c r="R80" s="266"/>
      <c r="S80" s="266"/>
    </row>
    <row r="81" spans="1:19" ht="14.1" customHeight="1">
      <c r="B81" s="267" t="e">
        <f>AVERAGE(Sheet1!AM23:AM24)</f>
        <v>#DIV/0!</v>
      </c>
      <c r="C81" s="267" t="e">
        <f>AVERAGE(Sheet1!AQ23:AQ24)</f>
        <v>#DIV/0!</v>
      </c>
      <c r="E81" s="795">
        <f>AM42</f>
        <v>0</v>
      </c>
      <c r="F81" s="795">
        <f>AQ42</f>
        <v>0</v>
      </c>
      <c r="H81" s="34"/>
      <c r="K81" s="298"/>
      <c r="L81" s="298" t="s">
        <v>441</v>
      </c>
      <c r="M81" s="298"/>
      <c r="O81" s="266"/>
      <c r="P81" s="266"/>
      <c r="Q81" s="266"/>
      <c r="R81" s="266"/>
      <c r="S81" s="266"/>
    </row>
    <row r="82" spans="1:19" ht="14.1" customHeight="1">
      <c r="B82" s="267" t="e">
        <f>AVERAGE(Sheet1!AM25:AM26)</f>
        <v>#DIV/0!</v>
      </c>
      <c r="C82" s="267" t="e">
        <f>AVERAGE(Sheet1!AQ25:AQ26)</f>
        <v>#DIV/0!</v>
      </c>
      <c r="H82" s="34"/>
      <c r="K82" s="298"/>
      <c r="L82" s="298"/>
      <c r="M82" s="298"/>
      <c r="O82" s="266"/>
      <c r="P82" s="266"/>
      <c r="Q82" s="266"/>
      <c r="R82" s="266"/>
      <c r="S82" s="266"/>
    </row>
    <row r="83" spans="1:19" ht="14.1" customHeight="1">
      <c r="D83" s="650" t="str">
        <f>A76</f>
        <v>/</v>
      </c>
      <c r="E83" s="650" t="str">
        <f>D76</f>
        <v>/</v>
      </c>
      <c r="F83" s="650" t="str">
        <f>G76</f>
        <v>/</v>
      </c>
      <c r="K83" s="298"/>
      <c r="M83" s="298"/>
      <c r="O83" s="266"/>
      <c r="P83" s="266"/>
      <c r="Q83" s="266"/>
      <c r="R83" s="266"/>
      <c r="S83" s="266"/>
    </row>
    <row r="84" spans="1:19" ht="14.1" customHeight="1">
      <c r="C84" s="34" t="s">
        <v>435</v>
      </c>
      <c r="D84" s="650" t="e">
        <f>SLOPE(C76:C82,B76:B82)</f>
        <v>#DIV/0!</v>
      </c>
      <c r="E84" s="650" t="e">
        <f>SLOPE(F76:F81,E76:E81)</f>
        <v>#DIV/0!</v>
      </c>
      <c r="F84" s="650" t="e">
        <f>SLOPE(I76:I80,H76:H80)</f>
        <v>#DIV/0!</v>
      </c>
      <c r="K84" s="298"/>
      <c r="L84" s="298"/>
      <c r="M84" s="298"/>
      <c r="O84" s="266"/>
      <c r="P84" s="266"/>
      <c r="Q84" s="266"/>
      <c r="R84" s="266"/>
      <c r="S84" s="266"/>
    </row>
    <row r="85" spans="1:19" ht="14.1" customHeight="1">
      <c r="C85" s="34" t="s">
        <v>436</v>
      </c>
      <c r="D85" s="650" t="e">
        <f>INTERCEPT(C76:C82,B76:B82)</f>
        <v>#DIV/0!</v>
      </c>
      <c r="E85" s="650" t="e">
        <f>INTERCEPT(F76:F81,E76:E81)</f>
        <v>#DIV/0!</v>
      </c>
      <c r="F85" s="650" t="e">
        <f>INTERCEPT(I76:I80,H76:H80)</f>
        <v>#DIV/0!</v>
      </c>
      <c r="K85" s="298"/>
      <c r="L85" s="298"/>
      <c r="M85" s="298"/>
      <c r="O85" s="266"/>
      <c r="P85" s="266"/>
      <c r="Q85" s="266"/>
      <c r="R85" s="266"/>
      <c r="S85" s="266"/>
    </row>
    <row r="86" spans="1:19" ht="14.1" customHeight="1">
      <c r="C86" s="34" t="s">
        <v>533</v>
      </c>
      <c r="D86" s="20" t="e">
        <f>RSQ(C76:C82,B76:B82)</f>
        <v>#DIV/0!</v>
      </c>
      <c r="E86" s="20" t="e">
        <f>RSQ(F76:F81,E76:E81)</f>
        <v>#DIV/0!</v>
      </c>
      <c r="F86" s="20" t="e">
        <f>RSQ(I76:I80,H76:H80)</f>
        <v>#DIV/0!</v>
      </c>
      <c r="N86" s="67"/>
      <c r="O86" s="266"/>
      <c r="P86" s="266"/>
      <c r="Q86" s="266"/>
      <c r="R86" s="266"/>
      <c r="S86" s="266"/>
    </row>
    <row r="87" spans="1:19" ht="14.1" customHeight="1">
      <c r="A87" s="74" t="s">
        <v>442</v>
      </c>
      <c r="B87" s="20" t="e">
        <f>"DGN values (mrad/R) for "&amp;Sheet1!$T$259&amp;" kV and HVL="&amp;ROUND(Sheet1!$X$262,2)&amp;" mm Al"</f>
        <v>#N/A</v>
      </c>
      <c r="N87" s="67"/>
      <c r="O87" s="266"/>
      <c r="P87" s="266"/>
      <c r="Q87" s="266"/>
      <c r="R87" s="266"/>
      <c r="S87" s="266"/>
    </row>
    <row r="88" spans="1:19" ht="14.1" customHeight="1">
      <c r="A88" s="272" t="s">
        <v>234</v>
      </c>
      <c r="B88" s="272" t="s">
        <v>259</v>
      </c>
      <c r="C88" s="272" t="s">
        <v>443</v>
      </c>
      <c r="D88" s="272" t="str">
        <f>Sheet1!R18</f>
        <v/>
      </c>
      <c r="E88" s="272" t="s">
        <v>433</v>
      </c>
      <c r="F88" s="272" t="s">
        <v>235</v>
      </c>
      <c r="N88" s="67"/>
      <c r="O88" s="266"/>
      <c r="P88" s="266"/>
      <c r="Q88" s="266"/>
      <c r="R88" s="266"/>
      <c r="S88" s="266"/>
    </row>
    <row r="89" spans="1:19" ht="14.1" customHeight="1">
      <c r="A89" s="6" t="e">
        <f>IF(Sheet1!$X$262="","",VLOOKUP(Sheet1!X262,A3:J23,MATCH(Sheet1!T259,A3:J3,0)))</f>
        <v>#N/A</v>
      </c>
      <c r="B89" s="6" t="e">
        <f>IF(Sheet1!$X$262="","",VLOOKUP(Sheet1!X262,K3:T23,MATCH(Sheet1!T259,K3:T3,0)))</f>
        <v>#N/A</v>
      </c>
      <c r="C89" s="6" t="e">
        <f>IF(Sheet1!$X$262="","",VLOOKUP(Sheet1!X262,U3:AD23,MATCH(Sheet1!T259,U3:AD3,0)))</f>
        <v>#N/A</v>
      </c>
      <c r="D89" s="292" t="e">
        <f>IF(Sheet1!$X$262="","",(L53*Sheet1!$X$262+M53)*(L54*Sheet1!$X$262+M54)*HLOOKUP(Sheet1!$Q$260,B58:D59,2))</f>
        <v>#N/A</v>
      </c>
      <c r="E89" s="650" t="e">
        <f>IF(ISERR(Sheet1!$X$262),"TBD",VLOOKUP(Sheet1!X262,N27:AA48,MATCH(Sheet1!$T$259,N27:AA27,0)))</f>
        <v>#N/A</v>
      </c>
      <c r="F89" s="650" t="e">
        <f>IF(ISERR(Sheet1!$X$262),"TBD",VLOOKUP(Sheet1!X262,A27:M48,MATCH(Sheet1!T259,A27:M27,0)))</f>
        <v>#N/A</v>
      </c>
      <c r="N89" s="67"/>
      <c r="O89" s="266"/>
      <c r="P89" s="266"/>
      <c r="Q89" s="266"/>
      <c r="R89" s="266"/>
      <c r="S89" s="266"/>
    </row>
    <row r="90" spans="1:19" ht="14.1" customHeight="1">
      <c r="N90" s="67"/>
      <c r="O90" s="266"/>
      <c r="P90" s="266"/>
      <c r="Q90" s="266"/>
      <c r="R90" s="266"/>
      <c r="S90" s="266"/>
    </row>
    <row r="91" spans="1:19" ht="14.1" customHeight="1">
      <c r="A91" s="74" t="s">
        <v>444</v>
      </c>
      <c r="N91" s="67"/>
      <c r="O91" s="266"/>
      <c r="P91" s="266"/>
      <c r="Q91" s="266"/>
      <c r="R91" s="266"/>
      <c r="S91" s="266"/>
    </row>
    <row r="92" spans="1:19" ht="14.1" customHeight="1">
      <c r="B92" s="650" t="s">
        <v>266</v>
      </c>
      <c r="D92" s="10" t="s">
        <v>445</v>
      </c>
      <c r="E92" s="10" t="s">
        <v>446</v>
      </c>
      <c r="F92" s="10" t="s">
        <v>432</v>
      </c>
      <c r="G92" s="10" t="s">
        <v>447</v>
      </c>
      <c r="H92" s="10" t="s">
        <v>448</v>
      </c>
      <c r="I92" s="10" t="s">
        <v>449</v>
      </c>
      <c r="J92" s="10" t="s">
        <v>450</v>
      </c>
      <c r="N92" s="67"/>
      <c r="O92" s="266"/>
      <c r="P92" s="266"/>
      <c r="Q92" s="266"/>
      <c r="R92" s="266"/>
      <c r="S92" s="266"/>
    </row>
    <row r="93" spans="1:19" ht="14.1" customHeight="1">
      <c r="A93" s="20" t="s">
        <v>235</v>
      </c>
      <c r="B93" s="650" t="s">
        <v>451</v>
      </c>
      <c r="C93" s="10">
        <v>27.585999999999999</v>
      </c>
      <c r="D93" s="10">
        <v>-8375.0727645925508</v>
      </c>
      <c r="E93" s="10">
        <v>975.92543560432796</v>
      </c>
      <c r="F93" s="10">
        <v>-37.913729682039403</v>
      </c>
      <c r="G93" s="10">
        <v>0.49086583472609402</v>
      </c>
      <c r="H93" s="10">
        <v>0</v>
      </c>
      <c r="I93" s="10">
        <v>0</v>
      </c>
      <c r="J93" s="10">
        <v>0</v>
      </c>
      <c r="N93" s="67"/>
      <c r="O93" s="266"/>
      <c r="P93" s="266"/>
      <c r="Q93" s="266"/>
      <c r="R93" s="266"/>
      <c r="S93" s="266"/>
    </row>
    <row r="94" spans="1:19" ht="14.1" customHeight="1">
      <c r="B94" s="650" t="s">
        <v>452</v>
      </c>
      <c r="C94" s="10">
        <v>27.585999999999999</v>
      </c>
      <c r="D94" s="10">
        <v>-9984.6167916494396</v>
      </c>
      <c r="E94" s="10">
        <v>1436.52454571413</v>
      </c>
      <c r="F94" s="10">
        <v>-82.505102185254898</v>
      </c>
      <c r="G94" s="10">
        <v>2.36559081763837</v>
      </c>
      <c r="H94" s="10">
        <v>-3.38672433779705E-2</v>
      </c>
      <c r="I94" s="10">
        <v>1.93686920423126E-4</v>
      </c>
      <c r="J94" s="10">
        <v>0</v>
      </c>
      <c r="N94" s="67"/>
      <c r="O94" s="266"/>
      <c r="P94" s="266"/>
      <c r="Q94" s="266"/>
      <c r="R94" s="266"/>
      <c r="S94" s="266"/>
    </row>
    <row r="95" spans="1:19" ht="14.1" customHeight="1">
      <c r="C95" s="20" t="s">
        <v>453</v>
      </c>
      <c r="N95" s="67"/>
      <c r="O95" s="266"/>
      <c r="P95" s="266"/>
      <c r="Q95" s="266"/>
      <c r="R95" s="266"/>
      <c r="S95" s="266"/>
    </row>
    <row r="96" spans="1:19" ht="14.1" customHeight="1">
      <c r="C96" s="20" t="s">
        <v>454</v>
      </c>
      <c r="N96" s="67"/>
      <c r="O96" s="266"/>
      <c r="P96" s="266"/>
      <c r="Q96" s="266"/>
      <c r="R96" s="266"/>
      <c r="S96" s="266"/>
    </row>
    <row r="97" spans="1:19" ht="14.1" customHeight="1">
      <c r="B97" s="650" t="s">
        <v>266</v>
      </c>
      <c r="D97" s="10" t="s">
        <v>445</v>
      </c>
      <c r="E97" s="10" t="s">
        <v>446</v>
      </c>
      <c r="F97" s="10" t="s">
        <v>432</v>
      </c>
      <c r="G97" s="10" t="s">
        <v>447</v>
      </c>
      <c r="H97" s="10" t="s">
        <v>448</v>
      </c>
      <c r="I97" s="10" t="s">
        <v>449</v>
      </c>
      <c r="J97" s="10" t="s">
        <v>450</v>
      </c>
      <c r="N97" s="67"/>
      <c r="O97" s="266"/>
      <c r="P97" s="266"/>
      <c r="Q97" s="266"/>
      <c r="R97" s="266"/>
      <c r="S97" s="266"/>
    </row>
    <row r="98" spans="1:19" ht="14.1" customHeight="1">
      <c r="A98" s="20" t="s">
        <v>433</v>
      </c>
      <c r="B98" s="650" t="s">
        <v>451</v>
      </c>
      <c r="C98" s="10">
        <v>30.1</v>
      </c>
      <c r="D98" s="10">
        <v>-540847.69550077303</v>
      </c>
      <c r="E98" s="10">
        <v>100186.23364273099</v>
      </c>
      <c r="F98" s="10">
        <v>-7418.4790179812599</v>
      </c>
      <c r="G98" s="10">
        <v>274.47660929577501</v>
      </c>
      <c r="H98" s="10">
        <v>-5.07436954359087</v>
      </c>
      <c r="I98" s="10">
        <v>3.7500574787580898E-2</v>
      </c>
      <c r="J98" s="10">
        <v>0</v>
      </c>
      <c r="N98" s="67"/>
      <c r="O98" s="266"/>
      <c r="P98" s="266"/>
      <c r="Q98" s="266"/>
      <c r="R98" s="266"/>
      <c r="S98" s="266"/>
    </row>
    <row r="99" spans="1:19" ht="14.1" customHeight="1">
      <c r="B99" s="650" t="s">
        <v>452</v>
      </c>
      <c r="C99" s="10">
        <v>30.1</v>
      </c>
      <c r="D99" s="10">
        <v>-11057.773936199201</v>
      </c>
      <c r="E99" s="10">
        <v>1297.2285673766901</v>
      </c>
      <c r="F99" s="10">
        <v>-56.989188989725697</v>
      </c>
      <c r="G99" s="10">
        <v>1.1115828564217201</v>
      </c>
      <c r="H99" s="10">
        <v>-8.1233997365129599E-3</v>
      </c>
      <c r="I99" s="10">
        <v>0</v>
      </c>
      <c r="J99" s="10">
        <v>0</v>
      </c>
      <c r="N99" s="67"/>
      <c r="O99" s="266"/>
      <c r="P99" s="266"/>
      <c r="Q99" s="266"/>
      <c r="R99" s="266"/>
      <c r="S99" s="266"/>
    </row>
    <row r="100" spans="1:19" ht="14.1" customHeight="1">
      <c r="C100" s="20" t="s">
        <v>455</v>
      </c>
      <c r="N100" s="67"/>
      <c r="O100" s="266"/>
      <c r="P100" s="266"/>
      <c r="Q100" s="266"/>
      <c r="R100" s="266"/>
      <c r="S100" s="266"/>
    </row>
    <row r="101" spans="1:19" ht="14.1" customHeight="1">
      <c r="C101" s="20" t="s">
        <v>456</v>
      </c>
      <c r="N101" s="67"/>
      <c r="O101" s="266"/>
      <c r="P101" s="266"/>
      <c r="Q101" s="266"/>
      <c r="R101" s="266"/>
      <c r="S101" s="266"/>
    </row>
    <row r="102" spans="1:19" ht="14.1" customHeight="1">
      <c r="N102" s="67"/>
      <c r="O102" s="266"/>
      <c r="P102" s="266"/>
      <c r="Q102" s="266"/>
      <c r="R102" s="266"/>
      <c r="S102" s="266"/>
    </row>
    <row r="103" spans="1:19" ht="14.1" customHeight="1">
      <c r="A103" s="74" t="s">
        <v>457</v>
      </c>
      <c r="N103" s="67"/>
      <c r="O103" s="266"/>
      <c r="P103" s="266"/>
      <c r="Q103" s="266"/>
      <c r="R103" s="266"/>
      <c r="S103" s="266"/>
    </row>
    <row r="104" spans="1:19" ht="14.1" customHeight="1">
      <c r="B104" s="650" t="s">
        <v>266</v>
      </c>
      <c r="D104" s="10" t="s">
        <v>445</v>
      </c>
      <c r="E104" s="10" t="s">
        <v>446</v>
      </c>
      <c r="F104" s="10" t="s">
        <v>432</v>
      </c>
      <c r="G104" s="10" t="s">
        <v>447</v>
      </c>
      <c r="H104" s="10" t="s">
        <v>448</v>
      </c>
      <c r="N104" s="67"/>
      <c r="O104" s="266"/>
      <c r="P104" s="266"/>
      <c r="Q104" s="266"/>
      <c r="R104" s="266"/>
      <c r="S104" s="266"/>
    </row>
    <row r="105" spans="1:19" ht="14.1" customHeight="1">
      <c r="A105" s="20" t="s">
        <v>235</v>
      </c>
      <c r="B105" s="650" t="s">
        <v>451</v>
      </c>
      <c r="C105" s="10">
        <v>26.9</v>
      </c>
      <c r="D105" s="104">
        <v>138.88667000000001</v>
      </c>
      <c r="E105" s="104">
        <v>-10.72639</v>
      </c>
      <c r="F105" s="104">
        <v>0.26216</v>
      </c>
      <c r="G105" s="104">
        <v>-8.1999999999999998E-4</v>
      </c>
      <c r="H105" s="104"/>
      <c r="N105" s="67"/>
      <c r="O105" s="266"/>
      <c r="P105" s="266"/>
      <c r="Q105" s="266"/>
      <c r="R105" s="266"/>
      <c r="S105" s="266"/>
    </row>
    <row r="106" spans="1:19" ht="14.1" customHeight="1">
      <c r="B106" s="650" t="s">
        <v>452</v>
      </c>
      <c r="C106" s="10">
        <v>26.9</v>
      </c>
      <c r="D106" s="104">
        <v>-5009.7751651999997</v>
      </c>
      <c r="E106" s="104">
        <v>605.73200599999996</v>
      </c>
      <c r="F106" s="104">
        <v>-27.3018617</v>
      </c>
      <c r="G106" s="104">
        <v>0.54671139999999996</v>
      </c>
      <c r="H106" s="104">
        <v>-4.0986E-3</v>
      </c>
      <c r="N106" s="67"/>
      <c r="O106" s="266"/>
      <c r="P106" s="266"/>
      <c r="Q106" s="266"/>
      <c r="R106" s="266"/>
      <c r="S106" s="266"/>
    </row>
    <row r="107" spans="1:19" ht="14.1" customHeight="1">
      <c r="N107" s="67"/>
      <c r="O107" s="266"/>
      <c r="P107" s="266"/>
      <c r="Q107" s="266"/>
      <c r="R107" s="266"/>
      <c r="S107" s="266"/>
    </row>
    <row r="108" spans="1:19" ht="14.1" customHeight="1">
      <c r="A108" s="20" t="s">
        <v>433</v>
      </c>
      <c r="B108" s="650" t="s">
        <v>266</v>
      </c>
      <c r="D108" s="10" t="s">
        <v>445</v>
      </c>
      <c r="E108" s="10" t="s">
        <v>446</v>
      </c>
      <c r="F108" s="10" t="s">
        <v>432</v>
      </c>
      <c r="G108" s="10" t="s">
        <v>447</v>
      </c>
      <c r="H108" s="10" t="s">
        <v>448</v>
      </c>
      <c r="N108" s="67"/>
      <c r="O108" s="266"/>
      <c r="P108" s="266"/>
      <c r="Q108" s="266"/>
      <c r="R108" s="266"/>
      <c r="S108" s="266"/>
    </row>
    <row r="109" spans="1:19" ht="14.1" customHeight="1">
      <c r="B109" s="650" t="s">
        <v>451</v>
      </c>
      <c r="C109" s="10">
        <v>28.7</v>
      </c>
      <c r="D109" s="10">
        <v>296.34185000000002</v>
      </c>
      <c r="E109" s="10">
        <v>-31.629249999999999</v>
      </c>
      <c r="F109" s="10">
        <v>1.18025</v>
      </c>
      <c r="G109" s="10">
        <v>-1.417E-2</v>
      </c>
      <c r="H109" s="10"/>
      <c r="N109" s="67"/>
      <c r="O109" s="266"/>
      <c r="P109" s="266"/>
      <c r="Q109" s="266"/>
      <c r="R109" s="266"/>
      <c r="S109" s="266"/>
    </row>
    <row r="110" spans="1:19" ht="14.1" customHeight="1">
      <c r="B110" s="650" t="s">
        <v>452</v>
      </c>
      <c r="C110" s="10">
        <v>28.7</v>
      </c>
      <c r="D110" s="10">
        <v>4.8344690000000003</v>
      </c>
      <c r="E110" s="10">
        <v>0.919242</v>
      </c>
      <c r="F110" s="10"/>
      <c r="G110" s="10"/>
      <c r="H110" s="10"/>
      <c r="N110" s="67"/>
      <c r="O110" s="266"/>
      <c r="P110" s="266"/>
      <c r="Q110" s="266"/>
      <c r="R110" s="266"/>
      <c r="S110" s="266"/>
    </row>
    <row r="111" spans="1:19" ht="14.1" customHeight="1">
      <c r="N111" s="67"/>
      <c r="O111" s="266"/>
      <c r="P111" s="266"/>
      <c r="Q111" s="266"/>
      <c r="R111" s="266"/>
      <c r="S111" s="266"/>
    </row>
    <row r="112" spans="1:19" ht="14.1" customHeight="1">
      <c r="A112" s="20" t="s">
        <v>434</v>
      </c>
      <c r="D112" s="10" t="s">
        <v>445</v>
      </c>
      <c r="E112" s="10" t="s">
        <v>446</v>
      </c>
      <c r="F112" s="10" t="s">
        <v>432</v>
      </c>
      <c r="G112" s="10" t="s">
        <v>447</v>
      </c>
      <c r="H112" s="10" t="s">
        <v>448</v>
      </c>
      <c r="N112" s="67"/>
      <c r="O112" s="266"/>
      <c r="P112" s="266"/>
      <c r="Q112" s="266"/>
      <c r="R112" s="266"/>
      <c r="S112" s="266"/>
    </row>
    <row r="113" spans="1:19" ht="14.1" customHeight="1">
      <c r="B113" s="650" t="s">
        <v>451</v>
      </c>
      <c r="C113" s="10">
        <v>28.7</v>
      </c>
      <c r="D113" s="10">
        <v>49.311149999999998</v>
      </c>
      <c r="E113" s="10">
        <v>-2.9301699999999999</v>
      </c>
      <c r="F113" s="10">
        <v>7.3789999999999994E-2</v>
      </c>
      <c r="G113" s="10"/>
      <c r="H113" s="10"/>
      <c r="N113" s="67"/>
      <c r="O113" s="266"/>
      <c r="P113" s="266"/>
      <c r="Q113" s="266"/>
      <c r="R113" s="266"/>
      <c r="S113" s="266"/>
    </row>
    <row r="114" spans="1:19" ht="14.1" customHeight="1">
      <c r="B114" s="650"/>
      <c r="C114" s="232" t="s">
        <v>458</v>
      </c>
      <c r="D114" s="10">
        <v>-24.875</v>
      </c>
      <c r="E114" s="10">
        <v>1.8031999999999999</v>
      </c>
      <c r="F114" s="10"/>
      <c r="G114" s="10"/>
      <c r="H114" s="10"/>
      <c r="N114" s="67"/>
      <c r="O114" s="266"/>
      <c r="P114" s="266"/>
      <c r="Q114" s="266"/>
      <c r="R114" s="266"/>
      <c r="S114" s="266"/>
    </row>
    <row r="115" spans="1:19" ht="14.1" customHeight="1">
      <c r="B115" s="650" t="s">
        <v>452</v>
      </c>
      <c r="C115" s="10">
        <v>30.1</v>
      </c>
      <c r="D115" s="10">
        <v>-4.8346099999999996</v>
      </c>
      <c r="E115" s="10">
        <v>1.1571499999999999</v>
      </c>
      <c r="F115" s="10"/>
      <c r="G115" s="10"/>
      <c r="H115" s="10"/>
      <c r="N115" s="67"/>
      <c r="O115" s="266"/>
      <c r="P115" s="266"/>
      <c r="Q115" s="266"/>
      <c r="R115" s="266"/>
      <c r="S115" s="266"/>
    </row>
    <row r="116" spans="1:19" ht="14.1" customHeight="1">
      <c r="N116" s="67"/>
      <c r="O116" s="266"/>
      <c r="P116" s="266"/>
      <c r="Q116" s="266"/>
      <c r="R116" s="266"/>
      <c r="S116" s="266"/>
    </row>
    <row r="117" spans="1:19" ht="14.1" customHeight="1">
      <c r="N117" s="67"/>
      <c r="O117" s="266"/>
      <c r="P117" s="266"/>
      <c r="Q117" s="266"/>
      <c r="R117" s="266"/>
      <c r="S117" s="266"/>
    </row>
    <row r="118" spans="1:19" ht="14.1" customHeight="1">
      <c r="A118" s="20" t="s">
        <v>459</v>
      </c>
      <c r="N118" s="67"/>
      <c r="O118" s="266"/>
      <c r="P118" s="266"/>
      <c r="Q118" s="266"/>
      <c r="R118" s="266"/>
      <c r="S118" s="266"/>
    </row>
    <row r="119" spans="1:19" ht="14.1" customHeight="1">
      <c r="C119" s="650" t="s">
        <v>460</v>
      </c>
      <c r="D119" s="650" t="s">
        <v>461</v>
      </c>
      <c r="E119" s="650" t="s">
        <v>462</v>
      </c>
      <c r="F119" s="650" t="s">
        <v>463</v>
      </c>
      <c r="G119" s="650" t="s">
        <v>464</v>
      </c>
      <c r="N119" s="67"/>
      <c r="O119" s="266"/>
      <c r="P119" s="266"/>
      <c r="Q119" s="266"/>
      <c r="R119" s="266"/>
      <c r="S119" s="266"/>
    </row>
    <row r="120" spans="1:19" ht="14.1" customHeight="1">
      <c r="B120" s="34" t="s">
        <v>398</v>
      </c>
      <c r="C120" s="650" t="s">
        <v>465</v>
      </c>
      <c r="D120" s="650" t="s">
        <v>466</v>
      </c>
      <c r="E120" s="650" t="s">
        <v>467</v>
      </c>
      <c r="F120" s="650" t="s">
        <v>466</v>
      </c>
      <c r="G120" s="650" t="s">
        <v>323</v>
      </c>
      <c r="N120" s="67"/>
      <c r="O120" s="266"/>
      <c r="P120" s="266"/>
      <c r="Q120" s="266"/>
      <c r="R120" s="266"/>
      <c r="S120" s="266"/>
    </row>
    <row r="121" spans="1:19" ht="14.1" customHeight="1">
      <c r="B121" s="34" t="s">
        <v>402</v>
      </c>
      <c r="C121" s="650" t="s">
        <v>465</v>
      </c>
      <c r="D121" s="650" t="s">
        <v>466</v>
      </c>
      <c r="E121" s="650" t="s">
        <v>466</v>
      </c>
      <c r="F121" s="650" t="s">
        <v>466</v>
      </c>
      <c r="G121" s="650" t="s">
        <v>323</v>
      </c>
      <c r="N121" s="67"/>
      <c r="O121" s="266"/>
      <c r="P121" s="266"/>
      <c r="Q121" s="266"/>
      <c r="R121" s="266"/>
      <c r="S121" s="266"/>
    </row>
    <row r="122" spans="1:19" ht="14.1" customHeight="1">
      <c r="B122" s="34" t="s">
        <v>468</v>
      </c>
      <c r="C122" s="650" t="s">
        <v>465</v>
      </c>
      <c r="D122" s="650" t="s">
        <v>466</v>
      </c>
      <c r="E122" s="650" t="s">
        <v>467</v>
      </c>
      <c r="F122" s="650" t="s">
        <v>466</v>
      </c>
      <c r="G122" s="650" t="s">
        <v>323</v>
      </c>
      <c r="N122" s="67"/>
      <c r="O122" s="266"/>
      <c r="P122" s="266"/>
      <c r="Q122" s="266"/>
      <c r="R122" s="266"/>
      <c r="S122" s="266"/>
    </row>
    <row r="123" spans="1:19" ht="14.1" customHeight="1">
      <c r="B123" s="34" t="s">
        <v>469</v>
      </c>
      <c r="C123" s="650" t="s">
        <v>465</v>
      </c>
      <c r="D123" s="650" t="s">
        <v>466</v>
      </c>
      <c r="E123" s="650" t="s">
        <v>466</v>
      </c>
      <c r="F123" s="650" t="s">
        <v>466</v>
      </c>
      <c r="G123" s="650" t="s">
        <v>323</v>
      </c>
      <c r="N123" s="67"/>
      <c r="O123" s="266"/>
      <c r="P123" s="266"/>
      <c r="Q123" s="266"/>
      <c r="R123" s="266"/>
      <c r="S123" s="266"/>
    </row>
    <row r="124" spans="1:19" ht="14.1" customHeight="1">
      <c r="B124" s="34" t="s">
        <v>470</v>
      </c>
      <c r="C124" s="650" t="s">
        <v>465</v>
      </c>
      <c r="D124" s="650" t="s">
        <v>466</v>
      </c>
      <c r="E124" s="650" t="s">
        <v>466</v>
      </c>
      <c r="F124" s="650" t="s">
        <v>466</v>
      </c>
      <c r="G124" s="650" t="s">
        <v>323</v>
      </c>
      <c r="N124" s="67"/>
      <c r="O124" s="266"/>
      <c r="P124" s="266"/>
      <c r="Q124" s="266"/>
      <c r="R124" s="266"/>
      <c r="S124" s="266"/>
    </row>
    <row r="125" spans="1:19" ht="14.1" customHeight="1">
      <c r="B125" s="34" t="s">
        <v>471</v>
      </c>
      <c r="C125" s="650" t="s">
        <v>465</v>
      </c>
      <c r="D125" s="650" t="s">
        <v>466</v>
      </c>
      <c r="E125" s="650" t="s">
        <v>466</v>
      </c>
      <c r="F125" s="650" t="s">
        <v>466</v>
      </c>
      <c r="G125" s="650" t="s">
        <v>323</v>
      </c>
      <c r="N125" s="67"/>
      <c r="O125" s="266"/>
      <c r="P125" s="266"/>
      <c r="Q125" s="266"/>
      <c r="R125" s="266"/>
      <c r="S125" s="266"/>
    </row>
    <row r="126" spans="1:19" ht="14.1" customHeight="1">
      <c r="B126" s="34" t="s">
        <v>292</v>
      </c>
      <c r="C126" s="650" t="s">
        <v>465</v>
      </c>
      <c r="D126" s="650" t="s">
        <v>466</v>
      </c>
      <c r="E126" s="650" t="s">
        <v>466</v>
      </c>
      <c r="F126" s="650" t="s">
        <v>466</v>
      </c>
      <c r="G126" s="650" t="s">
        <v>323</v>
      </c>
      <c r="N126" s="67"/>
      <c r="O126" s="266"/>
      <c r="P126" s="266"/>
      <c r="Q126" s="266"/>
      <c r="R126" s="266"/>
      <c r="S126" s="266"/>
    </row>
    <row r="127" spans="1:19" ht="14.1" customHeight="1">
      <c r="B127" s="34" t="s">
        <v>472</v>
      </c>
      <c r="C127" s="650" t="s">
        <v>465</v>
      </c>
      <c r="D127" s="650" t="s">
        <v>466</v>
      </c>
      <c r="E127" s="650" t="s">
        <v>466</v>
      </c>
      <c r="F127" s="650" t="s">
        <v>466</v>
      </c>
      <c r="G127" s="650" t="s">
        <v>323</v>
      </c>
      <c r="N127" s="67"/>
      <c r="O127" s="266"/>
      <c r="P127" s="266"/>
      <c r="Q127" s="266"/>
      <c r="R127" s="266"/>
      <c r="S127" s="266"/>
    </row>
    <row r="128" spans="1:19" ht="14.1" customHeight="1">
      <c r="B128" s="34" t="s">
        <v>473</v>
      </c>
      <c r="C128" s="650" t="s">
        <v>465</v>
      </c>
      <c r="D128" s="650" t="s">
        <v>466</v>
      </c>
      <c r="E128" s="650" t="s">
        <v>466</v>
      </c>
      <c r="F128" s="650" t="s">
        <v>466</v>
      </c>
      <c r="G128" s="650" t="s">
        <v>323</v>
      </c>
      <c r="N128" s="67"/>
      <c r="O128" s="67"/>
      <c r="P128" s="67"/>
      <c r="Q128" s="67"/>
      <c r="R128" s="67"/>
      <c r="S128" s="67"/>
    </row>
    <row r="129" spans="2:7" ht="14.1" customHeight="1">
      <c r="B129" s="34" t="s">
        <v>350</v>
      </c>
      <c r="C129" s="650" t="s">
        <v>465</v>
      </c>
      <c r="D129" s="650" t="s">
        <v>466</v>
      </c>
      <c r="E129" s="650" t="s">
        <v>466</v>
      </c>
      <c r="F129" s="650" t="s">
        <v>466</v>
      </c>
      <c r="G129" s="650" t="s">
        <v>323</v>
      </c>
    </row>
    <row r="130" spans="2:7" ht="14.1" customHeight="1">
      <c r="B130" s="34" t="s">
        <v>266</v>
      </c>
      <c r="C130" s="650" t="s">
        <v>465</v>
      </c>
      <c r="D130" s="650" t="s">
        <v>466</v>
      </c>
      <c r="E130" s="650" t="s">
        <v>466</v>
      </c>
      <c r="F130" s="650" t="s">
        <v>466</v>
      </c>
      <c r="G130" s="650" t="s">
        <v>323</v>
      </c>
    </row>
  </sheetData>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
  <sheetViews>
    <sheetView workbookViewId="0">
      <selection activeCell="A2" sqref="A2:B2"/>
    </sheetView>
  </sheetViews>
  <sheetFormatPr defaultRowHeight="13.8"/>
  <sheetData>
    <row r="1" spans="1:2">
      <c r="A1" t="s">
        <v>714</v>
      </c>
      <c r="B1" t="s">
        <v>715</v>
      </c>
    </row>
    <row r="2" spans="1:2">
      <c r="A2" s="713" t="s">
        <v>716</v>
      </c>
      <c r="B2" s="714" t="str">
        <f>Sheet1!F13</f>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9"/>
  <sheetViews>
    <sheetView workbookViewId="0">
      <selection activeCell="A30" sqref="A30"/>
    </sheetView>
  </sheetViews>
  <sheetFormatPr defaultColWidth="9" defaultRowHeight="13.2"/>
  <cols>
    <col min="1" max="1" width="9.09765625" style="483" customWidth="1"/>
    <col min="2" max="16384" width="9" style="483"/>
  </cols>
  <sheetData>
    <row r="1" spans="1:1">
      <c r="A1" s="520" t="s">
        <v>484</v>
      </c>
    </row>
    <row r="2" spans="1:1">
      <c r="A2" s="483" t="s">
        <v>485</v>
      </c>
    </row>
    <row r="3" spans="1:1">
      <c r="A3" s="483" t="s">
        <v>486</v>
      </c>
    </row>
    <row r="5" spans="1:1">
      <c r="A5" s="520" t="s">
        <v>487</v>
      </c>
    </row>
    <row r="6" spans="1:1">
      <c r="A6" s="483" t="s">
        <v>485</v>
      </c>
    </row>
    <row r="7" spans="1:1">
      <c r="A7" s="483" t="s">
        <v>486</v>
      </c>
    </row>
    <row r="8" spans="1:1">
      <c r="A8" s="483" t="s">
        <v>488</v>
      </c>
    </row>
    <row r="10" spans="1:1">
      <c r="A10" s="519" t="s">
        <v>489</v>
      </c>
    </row>
    <row r="11" spans="1:1">
      <c r="A11" s="518">
        <v>6</v>
      </c>
    </row>
    <row r="12" spans="1:1">
      <c r="A12" s="518">
        <v>5.5</v>
      </c>
    </row>
    <row r="13" spans="1:1">
      <c r="A13" s="518">
        <v>5</v>
      </c>
    </row>
    <row r="14" spans="1:1">
      <c r="A14" s="518">
        <v>4.5</v>
      </c>
    </row>
    <row r="15" spans="1:1">
      <c r="A15" s="518">
        <v>4</v>
      </c>
    </row>
    <row r="16" spans="1:1">
      <c r="A16" s="518">
        <v>3.5</v>
      </c>
    </row>
    <row r="17" spans="1:1">
      <c r="A17" s="518">
        <v>3</v>
      </c>
    </row>
    <row r="18" spans="1:1">
      <c r="A18" s="518">
        <v>2.5</v>
      </c>
    </row>
    <row r="19" spans="1:1">
      <c r="A19" s="518">
        <v>2</v>
      </c>
    </row>
    <row r="20" spans="1:1">
      <c r="A20" s="518">
        <v>1.5</v>
      </c>
    </row>
    <row r="21" spans="1:1">
      <c r="A21" s="518">
        <v>1</v>
      </c>
    </row>
    <row r="22" spans="1:1">
      <c r="A22" s="518">
        <v>0.5</v>
      </c>
    </row>
    <row r="24" spans="1:1">
      <c r="A24" s="520" t="s">
        <v>379</v>
      </c>
    </row>
    <row r="25" spans="1:1">
      <c r="A25" s="488" t="s">
        <v>752</v>
      </c>
    </row>
    <row r="26" spans="1:1">
      <c r="A26" s="488" t="s">
        <v>753</v>
      </c>
    </row>
    <row r="27" spans="1:1">
      <c r="A27" s="488" t="s">
        <v>754</v>
      </c>
    </row>
    <row r="28" spans="1:1">
      <c r="A28" s="488" t="s">
        <v>755</v>
      </c>
    </row>
    <row r="29" spans="1:1">
      <c r="A29" s="488" t="s">
        <v>769</v>
      </c>
    </row>
  </sheetData>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topLeftCell="A19" workbookViewId="0">
      <selection activeCell="C21" sqref="C21"/>
    </sheetView>
  </sheetViews>
  <sheetFormatPr defaultRowHeight="13.8"/>
  <cols>
    <col min="1" max="1024" width="8.3984375" customWidth="1"/>
  </cols>
  <sheetData>
    <row r="1" spans="1:3">
      <c r="A1" s="7" t="s">
        <v>474</v>
      </c>
    </row>
    <row r="2" spans="1:3">
      <c r="B2" t="s">
        <v>475</v>
      </c>
    </row>
    <row r="3" spans="1:3">
      <c r="B3" t="s">
        <v>476</v>
      </c>
    </row>
    <row r="4" spans="1:3">
      <c r="B4" t="s">
        <v>477</v>
      </c>
    </row>
    <row r="5" spans="1:3">
      <c r="B5" t="s">
        <v>478</v>
      </c>
    </row>
    <row r="6" spans="1:3">
      <c r="B6" t="s">
        <v>479</v>
      </c>
    </row>
    <row r="8" spans="1:3">
      <c r="A8" s="7" t="s">
        <v>480</v>
      </c>
    </row>
    <row r="9" spans="1:3">
      <c r="A9" s="7"/>
      <c r="B9" t="s">
        <v>453</v>
      </c>
    </row>
    <row r="10" spans="1:3">
      <c r="A10" s="7"/>
      <c r="B10" t="s">
        <v>454</v>
      </c>
    </row>
    <row r="11" spans="1:3">
      <c r="B11" s="5" t="s">
        <v>481</v>
      </c>
      <c r="C11" s="5" t="s">
        <v>482</v>
      </c>
    </row>
    <row r="12" spans="1:3">
      <c r="B12" s="8">
        <v>25.03</v>
      </c>
      <c r="C12" s="9">
        <f>IF(B12&lt;A22,B12+B22+B12*C22+B12^2*D22+B12^3*E22+B12^4*F22+B12^5*G22+B12^6*H22,B12+B23+B12*C23+B12^2*D23+B12^3*E23+B12^4*F23+B12^5*G23+B12^6*H23)</f>
        <v>21.808137925164374</v>
      </c>
    </row>
    <row r="14" spans="1:3">
      <c r="A14" s="7" t="s">
        <v>483</v>
      </c>
    </row>
    <row r="15" spans="1:3">
      <c r="A15" s="7"/>
      <c r="B15" t="s">
        <v>455</v>
      </c>
    </row>
    <row r="16" spans="1:3">
      <c r="A16" s="7"/>
      <c r="B16" t="s">
        <v>456</v>
      </c>
    </row>
    <row r="17" spans="1:8">
      <c r="B17" s="5" t="s">
        <v>481</v>
      </c>
      <c r="C17" s="5" t="s">
        <v>482</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QC Test Summary-Siemens</vt:lpstr>
      <vt:lpstr>Tech QC Eval-Siemens</vt:lpstr>
      <vt:lpstr>MQSA Requirements</vt:lpstr>
      <vt:lpstr>Sheet1</vt:lpstr>
      <vt:lpstr>Tables</vt:lpstr>
      <vt:lpstr>DataPage</vt:lpstr>
      <vt:lpstr>dropdowns</vt:lpstr>
      <vt:lpstr>Corrected kV</vt:lpstr>
      <vt:lpstr>ESE</vt:lpstr>
      <vt:lpstr>FiberLst</vt:lpstr>
      <vt:lpstr>MGD</vt:lpstr>
      <vt:lpstr>Model</vt:lpstr>
      <vt:lpstr>NA</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MUSC</cp:lastModifiedBy>
  <cp:revision>247</cp:revision>
  <cp:lastPrinted>2018-05-31T17:06:34Z</cp:lastPrinted>
  <dcterms:created xsi:type="dcterms:W3CDTF">2014-08-25T14:38:09Z</dcterms:created>
  <dcterms:modified xsi:type="dcterms:W3CDTF">2020-04-29T14:43:51Z</dcterms:modified>
</cp:coreProperties>
</file>