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firstSheet="2" activeTab="5"/>
  </bookViews>
  <sheets>
    <sheet name="QC Test Summary-Lorad" sheetId="1" r:id="rId1"/>
    <sheet name="QC Test Summary-Tomo" sheetId="2" r:id="rId2"/>
    <sheet name="Tech QC Eval-Tomo" sheetId="3" r:id="rId3"/>
    <sheet name="MQSA Requirements" sheetId="4" r:id="rId4"/>
    <sheet name="Sheet1" sheetId="5" r:id="rId5"/>
    <sheet name="DataPage" sheetId="10" r:id="rId6"/>
    <sheet name="Tables" sheetId="6" r:id="rId7"/>
    <sheet name="HVLProcessing" sheetId="7" r:id="rId8"/>
    <sheet name="Corrected kV" sheetId="8" r:id="rId9"/>
    <sheet name="dropdowns" sheetId="9" r:id="rId10"/>
  </sheets>
  <definedNames>
    <definedName name="ESE">Sheet1!$X$264</definedName>
    <definedName name="FiberList">dropdowns!$A$11:$A$23</definedName>
    <definedName name="MGD">Sheet1!$X$266</definedName>
    <definedName name="NA">dropdowns!$A$6:$A$8</definedName>
    <definedName name="PF">dropdowns!$A$2:$A$3</definedName>
    <definedName name="_xlnm.Print_Area" localSheetId="4">Sheet1!$B$1:$M$408</definedName>
    <definedName name="SpeckMassList">dropdowns!$A$13:$A$23</definedName>
  </definedName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B2" i="10" l="1"/>
  <c r="D45" i="10"/>
  <c r="C45" i="10"/>
  <c r="B45" i="10"/>
  <c r="D44" i="10"/>
  <c r="C44" i="10"/>
  <c r="B44" i="10"/>
  <c r="D43" i="10"/>
  <c r="C43" i="10"/>
  <c r="B43" i="10"/>
  <c r="D42" i="10"/>
  <c r="C42" i="10"/>
  <c r="B42" i="10"/>
  <c r="B41" i="10"/>
  <c r="B40" i="10"/>
  <c r="B39" i="10"/>
  <c r="B37" i="10"/>
  <c r="B36" i="10"/>
  <c r="B35" i="10"/>
  <c r="D6" i="10"/>
  <c r="C6" i="10"/>
  <c r="B6" i="10"/>
  <c r="D5" i="10"/>
  <c r="C5" i="10"/>
  <c r="B5" i="10"/>
  <c r="D4" i="10"/>
  <c r="C4" i="10"/>
  <c r="B4" i="10"/>
  <c r="C18" i="8"/>
  <c r="C12" i="8"/>
  <c r="D40" i="7"/>
  <c r="E40" i="7" s="1"/>
  <c r="R38" i="7"/>
  <c r="S38" i="7" s="1"/>
  <c r="Q38" i="7"/>
  <c r="C38" i="7"/>
  <c r="B38" i="7"/>
  <c r="A38" i="7"/>
  <c r="R37" i="7"/>
  <c r="S37" i="7" s="1"/>
  <c r="Q37" i="7"/>
  <c r="B37" i="7"/>
  <c r="C37" i="7" s="1"/>
  <c r="A37" i="7"/>
  <c r="R36" i="7"/>
  <c r="S36" i="7" s="1"/>
  <c r="Q36" i="7"/>
  <c r="B36" i="7"/>
  <c r="C36" i="7" s="1"/>
  <c r="A36" i="7"/>
  <c r="U35" i="7"/>
  <c r="T35" i="7"/>
  <c r="S35" i="7"/>
  <c r="R35" i="7"/>
  <c r="T36" i="7" s="1"/>
  <c r="Q35" i="7"/>
  <c r="E35" i="7"/>
  <c r="G34" i="7" s="1"/>
  <c r="B35" i="7"/>
  <c r="D36" i="7" s="1"/>
  <c r="A35" i="7"/>
  <c r="W34" i="7"/>
  <c r="Q33" i="7"/>
  <c r="A33" i="7"/>
  <c r="L32" i="7"/>
  <c r="M32" i="7" s="1"/>
  <c r="T31" i="7"/>
  <c r="U31" i="7" s="1"/>
  <c r="L31" i="7"/>
  <c r="M31" i="7" s="1"/>
  <c r="D31" i="7"/>
  <c r="E31" i="7" s="1"/>
  <c r="R30" i="7"/>
  <c r="S30" i="7" s="1"/>
  <c r="Q30" i="7"/>
  <c r="J30" i="7"/>
  <c r="K30" i="7" s="1"/>
  <c r="I30" i="7"/>
  <c r="C30" i="7"/>
  <c r="B30" i="7"/>
  <c r="A30" i="7"/>
  <c r="S29" i="7"/>
  <c r="R29" i="7"/>
  <c r="Q29" i="7"/>
  <c r="J29" i="7"/>
  <c r="K29" i="7" s="1"/>
  <c r="I29" i="7"/>
  <c r="B29" i="7"/>
  <c r="C29" i="7" s="1"/>
  <c r="A29" i="7"/>
  <c r="R28" i="7"/>
  <c r="S28" i="7" s="1"/>
  <c r="Q28" i="7"/>
  <c r="J28" i="7"/>
  <c r="K28" i="7" s="1"/>
  <c r="I28" i="7"/>
  <c r="B28" i="7"/>
  <c r="C28" i="7" s="1"/>
  <c r="A28" i="7"/>
  <c r="U27" i="7"/>
  <c r="S27" i="7"/>
  <c r="R27" i="7"/>
  <c r="T27" i="7" s="1"/>
  <c r="Q27" i="7"/>
  <c r="M27" i="7"/>
  <c r="O26" i="7" s="1"/>
  <c r="L27" i="7"/>
  <c r="J27" i="7"/>
  <c r="L28" i="7" s="1"/>
  <c r="I27" i="7"/>
  <c r="E27" i="7"/>
  <c r="C27" i="7"/>
  <c r="B27" i="7"/>
  <c r="D27" i="7" s="1"/>
  <c r="A27" i="7"/>
  <c r="W26" i="7"/>
  <c r="G26" i="7"/>
  <c r="Q25" i="7"/>
  <c r="I25" i="7"/>
  <c r="A25" i="7"/>
  <c r="L24" i="7"/>
  <c r="M24" i="7" s="1"/>
  <c r="T23" i="7"/>
  <c r="U23" i="7" s="1"/>
  <c r="L23" i="7"/>
  <c r="M23" i="7" s="1"/>
  <c r="D23" i="7"/>
  <c r="E23" i="7" s="1"/>
  <c r="R22" i="7"/>
  <c r="S22" i="7" s="1"/>
  <c r="Q22" i="7"/>
  <c r="J22" i="7"/>
  <c r="K22" i="7" s="1"/>
  <c r="I22" i="7"/>
  <c r="C22" i="7"/>
  <c r="B22" i="7"/>
  <c r="A22" i="7"/>
  <c r="S21" i="7"/>
  <c r="R21" i="7"/>
  <c r="Q21" i="7"/>
  <c r="J21" i="7"/>
  <c r="K21" i="7" s="1"/>
  <c r="I21" i="7"/>
  <c r="B21" i="7"/>
  <c r="C21" i="7" s="1"/>
  <c r="A21" i="7"/>
  <c r="R20" i="7"/>
  <c r="S20" i="7" s="1"/>
  <c r="Q20" i="7"/>
  <c r="J20" i="7"/>
  <c r="K20" i="7" s="1"/>
  <c r="I20" i="7"/>
  <c r="B20" i="7"/>
  <c r="C20" i="7" s="1"/>
  <c r="A20" i="7"/>
  <c r="U19" i="7"/>
  <c r="T19" i="7"/>
  <c r="S19" i="7"/>
  <c r="R19" i="7"/>
  <c r="T20" i="7" s="1"/>
  <c r="Q19" i="7"/>
  <c r="M19" i="7"/>
  <c r="J19" i="7"/>
  <c r="L20" i="7" s="1"/>
  <c r="I19" i="7"/>
  <c r="E19" i="7"/>
  <c r="D19" i="7"/>
  <c r="C19" i="7"/>
  <c r="B19" i="7"/>
  <c r="D20" i="7" s="1"/>
  <c r="A19" i="7"/>
  <c r="W18" i="7"/>
  <c r="O18" i="7"/>
  <c r="G18" i="7"/>
  <c r="Q17" i="7"/>
  <c r="I17" i="7"/>
  <c r="A17" i="7"/>
  <c r="L16" i="7"/>
  <c r="M16" i="7" s="1"/>
  <c r="T15" i="7"/>
  <c r="U15" i="7" s="1"/>
  <c r="L15" i="7"/>
  <c r="M15" i="7" s="1"/>
  <c r="D15" i="7"/>
  <c r="E15" i="7" s="1"/>
  <c r="R14" i="7"/>
  <c r="S14" i="7" s="1"/>
  <c r="Q14" i="7"/>
  <c r="J14" i="7"/>
  <c r="K14" i="7" s="1"/>
  <c r="I14" i="7"/>
  <c r="C14" i="7"/>
  <c r="B14" i="7"/>
  <c r="A14" i="7"/>
  <c r="S13" i="7"/>
  <c r="R13" i="7"/>
  <c r="Q13" i="7"/>
  <c r="J13" i="7"/>
  <c r="K13" i="7" s="1"/>
  <c r="I13" i="7"/>
  <c r="B13" i="7"/>
  <c r="C13" i="7" s="1"/>
  <c r="A13" i="7"/>
  <c r="R12" i="7"/>
  <c r="S12" i="7" s="1"/>
  <c r="Q12" i="7"/>
  <c r="J12" i="7"/>
  <c r="K12" i="7" s="1"/>
  <c r="I12" i="7"/>
  <c r="B12" i="7"/>
  <c r="C12" i="7" s="1"/>
  <c r="A12" i="7"/>
  <c r="U11" i="7"/>
  <c r="T11" i="7"/>
  <c r="S11" i="7"/>
  <c r="R11" i="7"/>
  <c r="T12" i="7" s="1"/>
  <c r="Q11" i="7"/>
  <c r="M11" i="7"/>
  <c r="O10" i="7" s="1"/>
  <c r="J11" i="7"/>
  <c r="L12" i="7" s="1"/>
  <c r="I11" i="7"/>
  <c r="E11" i="7"/>
  <c r="D11" i="7"/>
  <c r="C11" i="7"/>
  <c r="B11" i="7"/>
  <c r="D12" i="7" s="1"/>
  <c r="A11" i="7"/>
  <c r="W10" i="7"/>
  <c r="G10" i="7"/>
  <c r="Q9" i="7"/>
  <c r="I9" i="7"/>
  <c r="A9" i="7"/>
  <c r="L8" i="7"/>
  <c r="M8" i="7" s="1"/>
  <c r="L7" i="7"/>
  <c r="M7" i="7" s="1"/>
  <c r="R6" i="7"/>
  <c r="S6" i="7" s="1"/>
  <c r="Q6" i="7"/>
  <c r="J6" i="7"/>
  <c r="K6" i="7" s="1"/>
  <c r="I6" i="7"/>
  <c r="C6" i="7"/>
  <c r="B6" i="7"/>
  <c r="A6" i="7"/>
  <c r="S5" i="7"/>
  <c r="R5" i="7"/>
  <c r="Q5" i="7"/>
  <c r="K5" i="7"/>
  <c r="J5" i="7"/>
  <c r="I5" i="7"/>
  <c r="B5" i="7"/>
  <c r="C5" i="7" s="1"/>
  <c r="A5" i="7"/>
  <c r="R4" i="7"/>
  <c r="S4" i="7" s="1"/>
  <c r="Q4" i="7"/>
  <c r="L4" i="7"/>
  <c r="J4" i="7"/>
  <c r="K4" i="7" s="1"/>
  <c r="I4" i="7"/>
  <c r="B4" i="7"/>
  <c r="A4" i="7"/>
  <c r="U3" i="7"/>
  <c r="R3" i="7"/>
  <c r="Q3" i="7"/>
  <c r="M3" i="7"/>
  <c r="L3" i="7"/>
  <c r="J3" i="7"/>
  <c r="K3" i="7" s="1"/>
  <c r="I3" i="7"/>
  <c r="E3" i="7"/>
  <c r="C3" i="7"/>
  <c r="B3" i="7"/>
  <c r="A3" i="7"/>
  <c r="W2" i="7"/>
  <c r="O2" i="7"/>
  <c r="G2" i="7"/>
  <c r="Q1" i="7"/>
  <c r="I1" i="7"/>
  <c r="A1" i="7"/>
  <c r="Y194" i="6"/>
  <c r="W194" i="6"/>
  <c r="V194" i="6"/>
  <c r="U194" i="6"/>
  <c r="T194" i="6"/>
  <c r="X194" i="6" s="1"/>
  <c r="Y193" i="6"/>
  <c r="T193" i="6"/>
  <c r="Y192" i="6"/>
  <c r="W192" i="6"/>
  <c r="V192" i="6"/>
  <c r="U192" i="6"/>
  <c r="T192" i="6"/>
  <c r="X192" i="6" s="1"/>
  <c r="Y191" i="6"/>
  <c r="T191" i="6"/>
  <c r="Y190" i="6"/>
  <c r="W190" i="6"/>
  <c r="V190" i="6"/>
  <c r="U190" i="6"/>
  <c r="T190" i="6"/>
  <c r="X190" i="6" s="1"/>
  <c r="Y189" i="6"/>
  <c r="T189" i="6"/>
  <c r="Y188" i="6"/>
  <c r="W188" i="6"/>
  <c r="V188" i="6"/>
  <c r="U188" i="6"/>
  <c r="T188" i="6"/>
  <c r="X188" i="6" s="1"/>
  <c r="Y187" i="6"/>
  <c r="T187" i="6"/>
  <c r="Y186" i="6"/>
  <c r="W186" i="6"/>
  <c r="V186" i="6"/>
  <c r="U186" i="6"/>
  <c r="T186" i="6"/>
  <c r="X186" i="6" s="1"/>
  <c r="Y185" i="6"/>
  <c r="T185" i="6"/>
  <c r="X184" i="6"/>
  <c r="V184" i="6"/>
  <c r="T184" i="6"/>
  <c r="T183" i="6"/>
  <c r="V182" i="6"/>
  <c r="T182" i="6"/>
  <c r="X181" i="6"/>
  <c r="T181" i="6"/>
  <c r="X180" i="6"/>
  <c r="V180" i="6"/>
  <c r="T180" i="6"/>
  <c r="T179" i="6"/>
  <c r="V178" i="6"/>
  <c r="T178" i="6"/>
  <c r="X177" i="6"/>
  <c r="T177" i="6"/>
  <c r="X176" i="6"/>
  <c r="V176" i="6"/>
  <c r="T176" i="6"/>
  <c r="T175" i="6"/>
  <c r="V174" i="6"/>
  <c r="T174" i="6"/>
  <c r="X173" i="6"/>
  <c r="T173" i="6"/>
  <c r="X172" i="6"/>
  <c r="V172" i="6"/>
  <c r="T172" i="6"/>
  <c r="T171" i="6"/>
  <c r="V170" i="6"/>
  <c r="T170" i="6"/>
  <c r="X169" i="6"/>
  <c r="T169" i="6"/>
  <c r="X168" i="6"/>
  <c r="V168" i="6"/>
  <c r="T168" i="6"/>
  <c r="T167" i="6"/>
  <c r="V166" i="6"/>
  <c r="T166" i="6"/>
  <c r="X165" i="6"/>
  <c r="T165" i="6"/>
  <c r="X164" i="6"/>
  <c r="V164" i="6"/>
  <c r="T164" i="6"/>
  <c r="T163" i="6"/>
  <c r="V162" i="6"/>
  <c r="T162" i="6"/>
  <c r="T161" i="6"/>
  <c r="X160" i="6"/>
  <c r="V160" i="6"/>
  <c r="T160" i="6"/>
  <c r="X159" i="6"/>
  <c r="T159" i="6"/>
  <c r="V158" i="6"/>
  <c r="T158" i="6"/>
  <c r="X157" i="6"/>
  <c r="T157" i="6"/>
  <c r="X156" i="6"/>
  <c r="V156" i="6"/>
  <c r="T156" i="6"/>
  <c r="T155" i="6"/>
  <c r="V154" i="6"/>
  <c r="T154" i="6"/>
  <c r="T153" i="6"/>
  <c r="X152" i="6"/>
  <c r="V152" i="6"/>
  <c r="T152" i="6"/>
  <c r="X151" i="6"/>
  <c r="T151" i="6"/>
  <c r="V150" i="6"/>
  <c r="T150" i="6"/>
  <c r="X149" i="6"/>
  <c r="T149" i="6"/>
  <c r="X148" i="6"/>
  <c r="V148" i="6"/>
  <c r="T148" i="6"/>
  <c r="T147" i="6"/>
  <c r="V146" i="6"/>
  <c r="T146" i="6"/>
  <c r="T145" i="6"/>
  <c r="X144" i="6"/>
  <c r="V144" i="6"/>
  <c r="T144" i="6"/>
  <c r="X143" i="6"/>
  <c r="T143" i="6"/>
  <c r="V142" i="6"/>
  <c r="T142" i="6"/>
  <c r="T141" i="6"/>
  <c r="X141" i="6" s="1"/>
  <c r="V140" i="6"/>
  <c r="T140" i="6"/>
  <c r="X140" i="6" s="1"/>
  <c r="T139" i="6"/>
  <c r="X138" i="6"/>
  <c r="V138" i="6"/>
  <c r="T138" i="6"/>
  <c r="T137" i="6"/>
  <c r="X137" i="6" s="1"/>
  <c r="V136" i="6"/>
  <c r="T136" i="6"/>
  <c r="X136" i="6" s="1"/>
  <c r="T135" i="6"/>
  <c r="X134" i="6"/>
  <c r="V134" i="6"/>
  <c r="T134" i="6"/>
  <c r="T133" i="6"/>
  <c r="X133" i="6" s="1"/>
  <c r="V132" i="6"/>
  <c r="T132" i="6"/>
  <c r="X132" i="6" s="1"/>
  <c r="T131" i="6"/>
  <c r="X130" i="6"/>
  <c r="V130" i="6"/>
  <c r="T130" i="6"/>
  <c r="T129" i="6"/>
  <c r="X129" i="6" s="1"/>
  <c r="V128" i="6"/>
  <c r="T128" i="6"/>
  <c r="X128" i="6" s="1"/>
  <c r="T127" i="6"/>
  <c r="X126" i="6"/>
  <c r="V126" i="6"/>
  <c r="T126" i="6"/>
  <c r="T125" i="6"/>
  <c r="X125" i="6" s="1"/>
  <c r="V124" i="6"/>
  <c r="T124" i="6"/>
  <c r="X124" i="6" s="1"/>
  <c r="T123" i="6"/>
  <c r="X122" i="6"/>
  <c r="V122" i="6"/>
  <c r="T122" i="6"/>
  <c r="T121" i="6"/>
  <c r="X121" i="6" s="1"/>
  <c r="V120" i="6"/>
  <c r="T120" i="6"/>
  <c r="X120" i="6" s="1"/>
  <c r="T119" i="6"/>
  <c r="X118" i="6"/>
  <c r="V118" i="6"/>
  <c r="T118" i="6"/>
  <c r="T117" i="6"/>
  <c r="X117" i="6" s="1"/>
  <c r="V116" i="6"/>
  <c r="T116" i="6"/>
  <c r="X116" i="6" s="1"/>
  <c r="T115" i="6"/>
  <c r="X114" i="6"/>
  <c r="V114" i="6"/>
  <c r="T114" i="6"/>
  <c r="T113" i="6"/>
  <c r="X113" i="6" s="1"/>
  <c r="V112" i="6"/>
  <c r="T112" i="6"/>
  <c r="X112" i="6" s="1"/>
  <c r="T111" i="6"/>
  <c r="X110" i="6"/>
  <c r="V110" i="6"/>
  <c r="T110" i="6"/>
  <c r="T109" i="6"/>
  <c r="X109" i="6" s="1"/>
  <c r="V108" i="6"/>
  <c r="T108" i="6"/>
  <c r="X108" i="6" s="1"/>
  <c r="T107" i="6"/>
  <c r="X106" i="6"/>
  <c r="V106" i="6"/>
  <c r="T106" i="6"/>
  <c r="T105" i="6"/>
  <c r="X105" i="6" s="1"/>
  <c r="V104" i="6"/>
  <c r="T104" i="6"/>
  <c r="X104" i="6" s="1"/>
  <c r="T103" i="6"/>
  <c r="X102" i="6"/>
  <c r="V102" i="6"/>
  <c r="T102" i="6"/>
  <c r="T101" i="6"/>
  <c r="X101" i="6" s="1"/>
  <c r="V100" i="6"/>
  <c r="T100" i="6"/>
  <c r="X100" i="6" s="1"/>
  <c r="V99" i="6"/>
  <c r="T99" i="6"/>
  <c r="W99" i="6" s="1"/>
  <c r="T98" i="6"/>
  <c r="Y98" i="6" s="1"/>
  <c r="Y97" i="6"/>
  <c r="W97" i="6"/>
  <c r="U97" i="6"/>
  <c r="T97" i="6"/>
  <c r="X97" i="6" s="1"/>
  <c r="Y96" i="6"/>
  <c r="W96" i="6"/>
  <c r="V96" i="6"/>
  <c r="U96" i="6"/>
  <c r="T96" i="6"/>
  <c r="X96" i="6" s="1"/>
  <c r="Y95" i="6"/>
  <c r="W95" i="6"/>
  <c r="U95" i="6"/>
  <c r="T95" i="6"/>
  <c r="X95" i="6" s="1"/>
  <c r="Y94" i="6"/>
  <c r="W94" i="6"/>
  <c r="V94" i="6"/>
  <c r="U94" i="6"/>
  <c r="T94" i="6"/>
  <c r="X94" i="6" s="1"/>
  <c r="Y93" i="6"/>
  <c r="W93" i="6"/>
  <c r="U93" i="6"/>
  <c r="T93" i="6"/>
  <c r="X93" i="6" s="1"/>
  <c r="Y92" i="6"/>
  <c r="W92" i="6"/>
  <c r="V92" i="6"/>
  <c r="U92" i="6"/>
  <c r="T92" i="6"/>
  <c r="X92" i="6" s="1"/>
  <c r="Y91" i="6"/>
  <c r="W91" i="6"/>
  <c r="V91" i="6"/>
  <c r="U91" i="6"/>
  <c r="T91" i="6"/>
  <c r="X91" i="6" s="1"/>
  <c r="T90" i="6"/>
  <c r="W90" i="6" s="1"/>
  <c r="Y89" i="6"/>
  <c r="W89" i="6"/>
  <c r="U89" i="6"/>
  <c r="T89" i="6"/>
  <c r="X89" i="6" s="1"/>
  <c r="H89" i="6"/>
  <c r="B89" i="6"/>
  <c r="T88" i="6"/>
  <c r="W88" i="6" s="1"/>
  <c r="H88" i="6"/>
  <c r="E88" i="6"/>
  <c r="B88" i="6"/>
  <c r="W87" i="6"/>
  <c r="T87" i="6"/>
  <c r="V87" i="6" s="1"/>
  <c r="H87" i="6"/>
  <c r="E87" i="6"/>
  <c r="B87" i="6"/>
  <c r="Y86" i="6"/>
  <c r="W86" i="6"/>
  <c r="V86" i="6"/>
  <c r="U86" i="6"/>
  <c r="T86" i="6"/>
  <c r="X86" i="6" s="1"/>
  <c r="H86" i="6"/>
  <c r="E86" i="6"/>
  <c r="B86" i="6"/>
  <c r="Y85" i="6"/>
  <c r="W85" i="6"/>
  <c r="V85" i="6"/>
  <c r="U85" i="6"/>
  <c r="T85" i="6"/>
  <c r="X85" i="6" s="1"/>
  <c r="H85" i="6"/>
  <c r="E85" i="6"/>
  <c r="B85" i="6"/>
  <c r="Y84" i="6"/>
  <c r="V84" i="6"/>
  <c r="U84" i="6"/>
  <c r="T84" i="6"/>
  <c r="X84" i="6" s="1"/>
  <c r="W83" i="6"/>
  <c r="T83" i="6"/>
  <c r="V83" i="6" s="1"/>
  <c r="Y82" i="6"/>
  <c r="V82" i="6"/>
  <c r="U82" i="6"/>
  <c r="T82" i="6"/>
  <c r="X82" i="6" s="1"/>
  <c r="T81" i="6"/>
  <c r="X81" i="6" s="1"/>
  <c r="T80" i="6"/>
  <c r="X80" i="6" s="1"/>
  <c r="T79" i="6"/>
  <c r="V79" i="6" s="1"/>
  <c r="Y78" i="6"/>
  <c r="W78" i="6"/>
  <c r="U78" i="6"/>
  <c r="T78" i="6"/>
  <c r="X78" i="6" s="1"/>
  <c r="Y77" i="6"/>
  <c r="W77" i="6"/>
  <c r="U77" i="6"/>
  <c r="T77" i="6"/>
  <c r="X77" i="6" s="1"/>
  <c r="Y76" i="6"/>
  <c r="W76" i="6"/>
  <c r="U76" i="6"/>
  <c r="T76" i="6"/>
  <c r="V76" i="6" s="1"/>
  <c r="Y75" i="6"/>
  <c r="W75" i="6"/>
  <c r="U75" i="6"/>
  <c r="T75" i="6"/>
  <c r="X75" i="6" s="1"/>
  <c r="T74" i="6"/>
  <c r="R464" i="5"/>
  <c r="S463" i="5"/>
  <c r="R462" i="5"/>
  <c r="S461" i="5"/>
  <c r="R460" i="5"/>
  <c r="S459" i="5"/>
  <c r="R458" i="5"/>
  <c r="S457" i="5"/>
  <c r="R456" i="5"/>
  <c r="S455" i="5"/>
  <c r="R454" i="5"/>
  <c r="S453" i="5"/>
  <c r="R452" i="5"/>
  <c r="S451" i="5"/>
  <c r="R450" i="5"/>
  <c r="S449" i="5"/>
  <c r="R448" i="5"/>
  <c r="S447" i="5"/>
  <c r="U442" i="5"/>
  <c r="W442" i="5" s="1"/>
  <c r="T442" i="5"/>
  <c r="B47" i="10" s="1"/>
  <c r="W441" i="5"/>
  <c r="U441" i="5"/>
  <c r="T441" i="5"/>
  <c r="B46" i="10" s="1"/>
  <c r="Q438" i="5"/>
  <c r="Q437" i="5"/>
  <c r="U431" i="5"/>
  <c r="S431" i="5"/>
  <c r="Q431" i="5"/>
  <c r="U430" i="5"/>
  <c r="S430" i="5"/>
  <c r="Q430" i="5"/>
  <c r="U429" i="5"/>
  <c r="S429" i="5"/>
  <c r="Q429" i="5"/>
  <c r="U428" i="5"/>
  <c r="S428" i="5"/>
  <c r="Q428" i="5"/>
  <c r="P428" i="5"/>
  <c r="U427" i="5"/>
  <c r="S427" i="5"/>
  <c r="Q427" i="5"/>
  <c r="P427" i="5"/>
  <c r="U426" i="5"/>
  <c r="S426" i="5"/>
  <c r="Q426" i="5"/>
  <c r="P426" i="5"/>
  <c r="R415" i="5"/>
  <c r="Q415" i="5"/>
  <c r="B38" i="10" s="1"/>
  <c r="R414" i="5"/>
  <c r="U413" i="5"/>
  <c r="R413" i="5"/>
  <c r="V412" i="5"/>
  <c r="R412" i="5"/>
  <c r="V411" i="5"/>
  <c r="R411" i="5"/>
  <c r="Q411" i="5"/>
  <c r="V410" i="5"/>
  <c r="R410" i="5"/>
  <c r="Q410" i="5"/>
  <c r="D407" i="5"/>
  <c r="H402" i="5"/>
  <c r="D402" i="5"/>
  <c r="R401" i="5"/>
  <c r="E403" i="5" s="1"/>
  <c r="T400" i="5"/>
  <c r="G402" i="5" s="1"/>
  <c r="H400" i="5"/>
  <c r="U398" i="5"/>
  <c r="T398" i="5"/>
  <c r="S398" i="5"/>
  <c r="R398" i="5"/>
  <c r="R400" i="5" s="1"/>
  <c r="E402" i="5" s="1"/>
  <c r="Q398" i="5"/>
  <c r="U397" i="5"/>
  <c r="U400" i="5" s="1"/>
  <c r="T397" i="5"/>
  <c r="S397" i="5"/>
  <c r="S400" i="5" s="1"/>
  <c r="F402" i="5" s="1"/>
  <c r="R397" i="5"/>
  <c r="Q397" i="5"/>
  <c r="Q400" i="5" s="1"/>
  <c r="U395" i="5"/>
  <c r="C34" i="10" s="1"/>
  <c r="T395" i="5"/>
  <c r="T402" i="5" s="1"/>
  <c r="G404" i="5" s="1"/>
  <c r="S395" i="5"/>
  <c r="R395" i="5"/>
  <c r="Q395" i="5"/>
  <c r="V387" i="5"/>
  <c r="I394" i="5" s="1"/>
  <c r="R387" i="5"/>
  <c r="E394" i="5" s="1"/>
  <c r="X385" i="5"/>
  <c r="W385" i="5"/>
  <c r="V385" i="5"/>
  <c r="U385" i="5"/>
  <c r="T385" i="5"/>
  <c r="S385" i="5"/>
  <c r="R385" i="5"/>
  <c r="Q385" i="5"/>
  <c r="C385" i="5"/>
  <c r="X384" i="5"/>
  <c r="X387" i="5" s="1"/>
  <c r="K394" i="5" s="1"/>
  <c r="W384" i="5"/>
  <c r="W387" i="5" s="1"/>
  <c r="J394" i="5" s="1"/>
  <c r="V384" i="5"/>
  <c r="U384" i="5"/>
  <c r="U387" i="5" s="1"/>
  <c r="H394" i="5" s="1"/>
  <c r="T384" i="5"/>
  <c r="T387" i="5" s="1"/>
  <c r="G394" i="5" s="1"/>
  <c r="S384" i="5"/>
  <c r="S387" i="5" s="1"/>
  <c r="F394" i="5" s="1"/>
  <c r="R384" i="5"/>
  <c r="Q384" i="5"/>
  <c r="Q387" i="5" s="1"/>
  <c r="D394" i="5" s="1"/>
  <c r="X382" i="5"/>
  <c r="C29" i="10" s="1"/>
  <c r="W382" i="5"/>
  <c r="C28" i="10" s="1"/>
  <c r="V382" i="5"/>
  <c r="C27" i="10" s="1"/>
  <c r="U382" i="5"/>
  <c r="C26" i="10" s="1"/>
  <c r="T382" i="5"/>
  <c r="C25" i="10" s="1"/>
  <c r="S382" i="5"/>
  <c r="C24" i="10" s="1"/>
  <c r="R382" i="5"/>
  <c r="C23" i="10" s="1"/>
  <c r="Q382" i="5"/>
  <c r="C22" i="10" s="1"/>
  <c r="W375" i="5"/>
  <c r="C21" i="10" s="1"/>
  <c r="V375" i="5"/>
  <c r="X375" i="5" s="1"/>
  <c r="G386" i="5" s="1"/>
  <c r="U375" i="5"/>
  <c r="O378" i="5" s="1"/>
  <c r="T375" i="5"/>
  <c r="D386" i="5" s="1"/>
  <c r="S375" i="5"/>
  <c r="B21" i="10" s="1"/>
  <c r="R375" i="5"/>
  <c r="X374" i="5"/>
  <c r="G385" i="5" s="1"/>
  <c r="V374" i="5"/>
  <c r="W374" i="5" s="1"/>
  <c r="U374" i="5"/>
  <c r="T374" i="5"/>
  <c r="D385" i="5" s="1"/>
  <c r="S374" i="5"/>
  <c r="B20" i="10" s="1"/>
  <c r="R374" i="5"/>
  <c r="S373" i="5"/>
  <c r="B19" i="10" s="1"/>
  <c r="R373" i="5"/>
  <c r="V372" i="5"/>
  <c r="W372" i="5" s="1"/>
  <c r="U372" i="5"/>
  <c r="T372" i="5"/>
  <c r="D383" i="5" s="1"/>
  <c r="S372" i="5"/>
  <c r="B18" i="10" s="1"/>
  <c r="R372" i="5"/>
  <c r="X365" i="5"/>
  <c r="W365" i="5"/>
  <c r="X361" i="5"/>
  <c r="G370" i="5" s="1"/>
  <c r="V361" i="5"/>
  <c r="E370" i="5" s="1"/>
  <c r="U361" i="5"/>
  <c r="T361" i="5"/>
  <c r="T363" i="5" s="1"/>
  <c r="D372" i="5" s="1"/>
  <c r="S361" i="5"/>
  <c r="R361" i="5"/>
  <c r="W360" i="5"/>
  <c r="F369" i="5" s="1"/>
  <c r="V360" i="5"/>
  <c r="E369" i="5" s="1"/>
  <c r="U360" i="5"/>
  <c r="T360" i="5"/>
  <c r="D369" i="5" s="1"/>
  <c r="S360" i="5"/>
  <c r="R360" i="5"/>
  <c r="V359" i="5"/>
  <c r="W359" i="5" s="1"/>
  <c r="F368" i="5" s="1"/>
  <c r="U359" i="5"/>
  <c r="T359" i="5"/>
  <c r="D368" i="5" s="1"/>
  <c r="S359" i="5"/>
  <c r="R359" i="5"/>
  <c r="W358" i="5"/>
  <c r="F367" i="5" s="1"/>
  <c r="V358" i="5"/>
  <c r="X358" i="5" s="1"/>
  <c r="U358" i="5"/>
  <c r="U363" i="5" s="1"/>
  <c r="T358" i="5"/>
  <c r="T362" i="5" s="1"/>
  <c r="S358" i="5"/>
  <c r="D364" i="5" s="1"/>
  <c r="R358" i="5"/>
  <c r="C367" i="5" s="1"/>
  <c r="K353" i="5"/>
  <c r="X351" i="5"/>
  <c r="Q77" i="6" s="1"/>
  <c r="V351" i="5"/>
  <c r="W351" i="5" s="1"/>
  <c r="U351" i="5"/>
  <c r="S351" i="5"/>
  <c r="R351" i="5"/>
  <c r="V350" i="5"/>
  <c r="W350" i="5" s="1"/>
  <c r="U350" i="5"/>
  <c r="S350" i="5"/>
  <c r="R350" i="5"/>
  <c r="W349" i="5"/>
  <c r="V349" i="5"/>
  <c r="X349" i="5" s="1"/>
  <c r="Q75" i="6" s="1"/>
  <c r="U349" i="5"/>
  <c r="S349" i="5"/>
  <c r="R349" i="5"/>
  <c r="X348" i="5"/>
  <c r="Q74" i="6" s="1"/>
  <c r="V348" i="5"/>
  <c r="W348" i="5" s="1"/>
  <c r="U348" i="5"/>
  <c r="S348" i="5"/>
  <c r="R348" i="5"/>
  <c r="F12" i="10" s="1"/>
  <c r="X347" i="5"/>
  <c r="Q73" i="6" s="1"/>
  <c r="V347" i="5"/>
  <c r="W347" i="5" s="1"/>
  <c r="U347" i="5"/>
  <c r="S347" i="5"/>
  <c r="L348" i="5" s="1"/>
  <c r="R347" i="5"/>
  <c r="F11" i="10" s="1"/>
  <c r="I344" i="5"/>
  <c r="D344" i="5"/>
  <c r="I343" i="5"/>
  <c r="D343" i="5"/>
  <c r="W342" i="5"/>
  <c r="V342" i="5"/>
  <c r="X342" i="5" s="1"/>
  <c r="K78" i="6" s="1"/>
  <c r="U342" i="5"/>
  <c r="S342" i="5"/>
  <c r="R342" i="5"/>
  <c r="M342" i="5"/>
  <c r="W341" i="5"/>
  <c r="V341" i="5"/>
  <c r="X341" i="5" s="1"/>
  <c r="K77" i="6" s="1"/>
  <c r="U341" i="5"/>
  <c r="S341" i="5"/>
  <c r="R341" i="5"/>
  <c r="G355" i="5" s="1"/>
  <c r="M341" i="5"/>
  <c r="W340" i="5"/>
  <c r="V340" i="5"/>
  <c r="X340" i="5" s="1"/>
  <c r="K76" i="6" s="1"/>
  <c r="U340" i="5"/>
  <c r="S340" i="5"/>
  <c r="R340" i="5"/>
  <c r="G354" i="5" s="1"/>
  <c r="V339" i="5"/>
  <c r="W339" i="5" s="1"/>
  <c r="U339" i="5"/>
  <c r="S339" i="5"/>
  <c r="R339" i="5"/>
  <c r="D13" i="10" s="1"/>
  <c r="D339" i="5"/>
  <c r="W338" i="5"/>
  <c r="V338" i="5"/>
  <c r="X338" i="5" s="1"/>
  <c r="K74" i="6" s="1"/>
  <c r="U338" i="5"/>
  <c r="S338" i="5"/>
  <c r="R338" i="5"/>
  <c r="D12" i="10" s="1"/>
  <c r="V337" i="5"/>
  <c r="W337" i="5" s="1"/>
  <c r="U337" i="5"/>
  <c r="S337" i="5"/>
  <c r="H348" i="5" s="1"/>
  <c r="R337" i="5"/>
  <c r="G351" i="5" s="1"/>
  <c r="E335" i="5"/>
  <c r="K334" i="5"/>
  <c r="I334" i="5"/>
  <c r="H334" i="5"/>
  <c r="E334" i="5"/>
  <c r="K333" i="5"/>
  <c r="I333" i="5"/>
  <c r="H333" i="5"/>
  <c r="E333" i="5"/>
  <c r="V332" i="5"/>
  <c r="W332" i="5" s="1"/>
  <c r="U332" i="5"/>
  <c r="T332" i="5"/>
  <c r="D357" i="5" s="1"/>
  <c r="S332" i="5"/>
  <c r="R332" i="5"/>
  <c r="C357" i="5" s="1"/>
  <c r="E357" i="5" s="1"/>
  <c r="E332" i="5"/>
  <c r="X331" i="5"/>
  <c r="E78" i="6" s="1"/>
  <c r="V331" i="5"/>
  <c r="W331" i="5" s="1"/>
  <c r="U331" i="5"/>
  <c r="T331" i="5"/>
  <c r="D356" i="5" s="1"/>
  <c r="S331" i="5"/>
  <c r="R331" i="5"/>
  <c r="W330" i="5"/>
  <c r="V330" i="5"/>
  <c r="X330" i="5" s="1"/>
  <c r="E77" i="6" s="1"/>
  <c r="U330" i="5"/>
  <c r="T330" i="5"/>
  <c r="D355" i="5" s="1"/>
  <c r="S330" i="5"/>
  <c r="R330" i="5"/>
  <c r="C355" i="5" s="1"/>
  <c r="E355" i="5" s="1"/>
  <c r="V329" i="5"/>
  <c r="W329" i="5" s="1"/>
  <c r="U329" i="5"/>
  <c r="T329" i="5"/>
  <c r="D354" i="5" s="1"/>
  <c r="S329" i="5"/>
  <c r="R329" i="5"/>
  <c r="C354" i="5" s="1"/>
  <c r="W328" i="5"/>
  <c r="V328" i="5"/>
  <c r="U328" i="5"/>
  <c r="X328" i="5" s="1"/>
  <c r="E75" i="6" s="1"/>
  <c r="T328" i="5"/>
  <c r="D353" i="5" s="1"/>
  <c r="S328" i="5"/>
  <c r="R328" i="5"/>
  <c r="C353" i="5" s="1"/>
  <c r="E353" i="5" s="1"/>
  <c r="E358" i="5" s="1"/>
  <c r="L328" i="5"/>
  <c r="W327" i="5"/>
  <c r="V327" i="5"/>
  <c r="X327" i="5" s="1"/>
  <c r="E74" i="6" s="1"/>
  <c r="U327" i="5"/>
  <c r="T327" i="5"/>
  <c r="D352" i="5" s="1"/>
  <c r="S327" i="5"/>
  <c r="R327" i="5"/>
  <c r="B12" i="10" s="1"/>
  <c r="W326" i="5"/>
  <c r="C11" i="10" s="1"/>
  <c r="V326" i="5"/>
  <c r="X326" i="5" s="1"/>
  <c r="E73" i="6" s="1"/>
  <c r="U326" i="5"/>
  <c r="T326" i="5"/>
  <c r="D351" i="5" s="1"/>
  <c r="S326" i="5"/>
  <c r="D348" i="5" s="1"/>
  <c r="R326" i="5"/>
  <c r="F323" i="5"/>
  <c r="L322" i="5"/>
  <c r="H322" i="5"/>
  <c r="G322" i="5"/>
  <c r="F322" i="5"/>
  <c r="E322" i="5"/>
  <c r="H321" i="5"/>
  <c r="G321" i="5"/>
  <c r="F321" i="5"/>
  <c r="E321" i="5"/>
  <c r="L320" i="5"/>
  <c r="H320" i="5"/>
  <c r="G320" i="5"/>
  <c r="F320" i="5"/>
  <c r="E320" i="5"/>
  <c r="X319" i="5"/>
  <c r="I319" i="5"/>
  <c r="G319" i="5"/>
  <c r="F319" i="5"/>
  <c r="E319" i="5"/>
  <c r="L318" i="5"/>
  <c r="L317" i="5"/>
  <c r="R316" i="5"/>
  <c r="F324" i="5" s="1"/>
  <c r="E316" i="5"/>
  <c r="U315" i="5"/>
  <c r="I323" i="5" s="1"/>
  <c r="S315" i="5"/>
  <c r="S316" i="5" s="1"/>
  <c r="G324" i="5" s="1"/>
  <c r="R315" i="5"/>
  <c r="Q315" i="5"/>
  <c r="E323" i="5" s="1"/>
  <c r="X314" i="5"/>
  <c r="U314" i="5"/>
  <c r="I322" i="5" s="1"/>
  <c r="T314" i="5"/>
  <c r="U313" i="5"/>
  <c r="I321" i="5" s="1"/>
  <c r="T313" i="5"/>
  <c r="E313" i="5"/>
  <c r="X312" i="5"/>
  <c r="U312" i="5"/>
  <c r="I320" i="5" s="1"/>
  <c r="T312" i="5"/>
  <c r="U311" i="5"/>
  <c r="T311" i="5"/>
  <c r="H319" i="5" s="1"/>
  <c r="G311" i="5"/>
  <c r="F311" i="5"/>
  <c r="E311" i="5"/>
  <c r="X310" i="5"/>
  <c r="I100" i="6" s="1"/>
  <c r="G310" i="5"/>
  <c r="F310" i="5"/>
  <c r="E310" i="5"/>
  <c r="G309" i="5"/>
  <c r="F309" i="5"/>
  <c r="E309" i="5"/>
  <c r="G308" i="5"/>
  <c r="F308" i="5"/>
  <c r="E308" i="5"/>
  <c r="L306" i="5"/>
  <c r="E305" i="5"/>
  <c r="S304" i="5"/>
  <c r="G313" i="5" s="1"/>
  <c r="Q304" i="5"/>
  <c r="S303" i="5"/>
  <c r="G312" i="5" s="1"/>
  <c r="R303" i="5"/>
  <c r="F312" i="5" s="1"/>
  <c r="Q303" i="5"/>
  <c r="E312" i="5" s="1"/>
  <c r="C303" i="5"/>
  <c r="X302" i="5"/>
  <c r="L311" i="5" s="1"/>
  <c r="U302" i="5"/>
  <c r="I311" i="5" s="1"/>
  <c r="T302" i="5"/>
  <c r="H311" i="5" s="1"/>
  <c r="U301" i="5"/>
  <c r="I310" i="5" s="1"/>
  <c r="T301" i="5"/>
  <c r="H310" i="5" s="1"/>
  <c r="X300" i="5"/>
  <c r="L309" i="5" s="1"/>
  <c r="U300" i="5"/>
  <c r="I309" i="5" s="1"/>
  <c r="T300" i="5"/>
  <c r="H309" i="5" s="1"/>
  <c r="U299" i="5"/>
  <c r="I308" i="5" s="1"/>
  <c r="T299" i="5"/>
  <c r="H308" i="5" s="1"/>
  <c r="X298" i="5"/>
  <c r="E298" i="5"/>
  <c r="G297" i="5"/>
  <c r="F297" i="5"/>
  <c r="E297" i="5"/>
  <c r="I296" i="5"/>
  <c r="G296" i="5"/>
  <c r="F296" i="5"/>
  <c r="E296" i="5"/>
  <c r="G295" i="5"/>
  <c r="F295" i="5"/>
  <c r="E295" i="5"/>
  <c r="G294" i="5"/>
  <c r="F294" i="5"/>
  <c r="E294" i="5"/>
  <c r="Q292" i="5"/>
  <c r="E304" i="5" s="1"/>
  <c r="H291" i="5"/>
  <c r="E291" i="5"/>
  <c r="H290" i="5"/>
  <c r="C289" i="5"/>
  <c r="S283" i="5"/>
  <c r="S284" i="5" s="1"/>
  <c r="G299" i="5" s="1"/>
  <c r="R283" i="5"/>
  <c r="F298" i="5" s="1"/>
  <c r="Q283" i="5"/>
  <c r="Q284" i="5" s="1"/>
  <c r="E299" i="5" s="1"/>
  <c r="H283" i="5"/>
  <c r="G283" i="5"/>
  <c r="F283" i="5"/>
  <c r="E283" i="5"/>
  <c r="X282" i="5"/>
  <c r="L297" i="5" s="1"/>
  <c r="U282" i="5"/>
  <c r="I297" i="5" s="1"/>
  <c r="T282" i="5"/>
  <c r="H297" i="5" s="1"/>
  <c r="I282" i="5"/>
  <c r="G282" i="5"/>
  <c r="F282" i="5"/>
  <c r="E282" i="5"/>
  <c r="U281" i="5"/>
  <c r="T281" i="5"/>
  <c r="H296" i="5" s="1"/>
  <c r="L281" i="5"/>
  <c r="G281" i="5"/>
  <c r="F281" i="5"/>
  <c r="E281" i="5"/>
  <c r="X280" i="5"/>
  <c r="L295" i="5" s="1"/>
  <c r="U280" i="5"/>
  <c r="I295" i="5" s="1"/>
  <c r="T280" i="5"/>
  <c r="H295" i="5" s="1"/>
  <c r="G280" i="5"/>
  <c r="F280" i="5"/>
  <c r="E280" i="5"/>
  <c r="U279" i="5"/>
  <c r="I294" i="5" s="1"/>
  <c r="T279" i="5"/>
  <c r="H294" i="5" s="1"/>
  <c r="X278" i="5"/>
  <c r="F100" i="6" s="1"/>
  <c r="H277" i="5"/>
  <c r="E277" i="5"/>
  <c r="H276" i="5"/>
  <c r="E276" i="5"/>
  <c r="Q275" i="5"/>
  <c r="E290" i="5" s="1"/>
  <c r="C275" i="5"/>
  <c r="M274" i="5"/>
  <c r="M273" i="5"/>
  <c r="D271" i="5"/>
  <c r="S269" i="5"/>
  <c r="G285" i="5" s="1"/>
  <c r="S268" i="5"/>
  <c r="G284" i="5" s="1"/>
  <c r="R268" i="5"/>
  <c r="R269" i="5" s="1"/>
  <c r="F285" i="5" s="1"/>
  <c r="Q268" i="5"/>
  <c r="E284" i="5" s="1"/>
  <c r="L268" i="5"/>
  <c r="K268" i="5"/>
  <c r="E268" i="5"/>
  <c r="X267" i="5"/>
  <c r="L283" i="5" s="1"/>
  <c r="U267" i="5"/>
  <c r="I283" i="5" s="1"/>
  <c r="T267" i="5"/>
  <c r="L267" i="5"/>
  <c r="K267" i="5"/>
  <c r="E267" i="5"/>
  <c r="U266" i="5"/>
  <c r="T266" i="5"/>
  <c r="H282" i="5" s="1"/>
  <c r="L266" i="5"/>
  <c r="K266" i="5"/>
  <c r="I266" i="5"/>
  <c r="H266" i="5"/>
  <c r="G266" i="5"/>
  <c r="E266" i="5"/>
  <c r="X265" i="5"/>
  <c r="U265" i="5"/>
  <c r="I281" i="5" s="1"/>
  <c r="T265" i="5"/>
  <c r="H281" i="5" s="1"/>
  <c r="L265" i="5"/>
  <c r="I265" i="5"/>
  <c r="H265" i="5"/>
  <c r="G265" i="5"/>
  <c r="E265" i="5"/>
  <c r="U264" i="5"/>
  <c r="U268" i="5" s="1"/>
  <c r="T264" i="5"/>
  <c r="H280" i="5" s="1"/>
  <c r="L264" i="5"/>
  <c r="K264" i="5"/>
  <c r="I264" i="5"/>
  <c r="H264" i="5"/>
  <c r="G264" i="5"/>
  <c r="E264" i="5"/>
  <c r="X263" i="5"/>
  <c r="L279" i="5" s="1"/>
  <c r="L263" i="5"/>
  <c r="K263" i="5"/>
  <c r="I263" i="5"/>
  <c r="H263" i="5"/>
  <c r="G263" i="5"/>
  <c r="E263" i="5"/>
  <c r="L262" i="5"/>
  <c r="K262" i="5"/>
  <c r="I262" i="5"/>
  <c r="H262" i="5"/>
  <c r="G262" i="5"/>
  <c r="E262" i="5"/>
  <c r="L261" i="5"/>
  <c r="I261" i="5"/>
  <c r="H261" i="5"/>
  <c r="G261" i="5"/>
  <c r="E261" i="5"/>
  <c r="E260" i="5"/>
  <c r="E256" i="5"/>
  <c r="Y255" i="5"/>
  <c r="X255" i="5"/>
  <c r="G255" i="5"/>
  <c r="F255" i="5"/>
  <c r="E255" i="5"/>
  <c r="Y254" i="5"/>
  <c r="X254" i="5"/>
  <c r="U254" i="5"/>
  <c r="I246" i="5" s="1"/>
  <c r="G254" i="5"/>
  <c r="F254" i="5"/>
  <c r="E254" i="5"/>
  <c r="Y253" i="5"/>
  <c r="X253" i="5"/>
  <c r="G253" i="5"/>
  <c r="F253" i="5"/>
  <c r="E253" i="5"/>
  <c r="Y252" i="5"/>
  <c r="X252" i="5"/>
  <c r="G252" i="5"/>
  <c r="F252" i="5"/>
  <c r="E252" i="5"/>
  <c r="T251" i="5"/>
  <c r="S251" i="5"/>
  <c r="U252" i="5" s="1"/>
  <c r="R251" i="5"/>
  <c r="G251" i="5"/>
  <c r="F251" i="5"/>
  <c r="E251" i="5"/>
  <c r="Y250" i="5"/>
  <c r="X250" i="5"/>
  <c r="Y249" i="5"/>
  <c r="X249" i="5"/>
  <c r="U249" i="5"/>
  <c r="H241" i="5" s="1"/>
  <c r="Y248" i="5"/>
  <c r="X248" i="5"/>
  <c r="U248" i="5"/>
  <c r="G247" i="5"/>
  <c r="F247" i="5"/>
  <c r="E247" i="5"/>
  <c r="D247" i="5"/>
  <c r="X246" i="5"/>
  <c r="S246" i="5"/>
  <c r="P246" i="5"/>
  <c r="D237" i="5" s="1"/>
  <c r="G246" i="5"/>
  <c r="F246" i="5"/>
  <c r="E246" i="5"/>
  <c r="D246" i="5"/>
  <c r="G245" i="5"/>
  <c r="F245" i="5"/>
  <c r="E245" i="5"/>
  <c r="D245" i="5"/>
  <c r="G244" i="5"/>
  <c r="F244" i="5"/>
  <c r="E244" i="5"/>
  <c r="D244" i="5"/>
  <c r="H243" i="5"/>
  <c r="G243" i="5"/>
  <c r="F243" i="5"/>
  <c r="E243" i="5"/>
  <c r="D243" i="5"/>
  <c r="G242" i="5"/>
  <c r="F242" i="5"/>
  <c r="E242" i="5"/>
  <c r="D242" i="5"/>
  <c r="I241" i="5"/>
  <c r="G241" i="5"/>
  <c r="F241" i="5"/>
  <c r="E241" i="5"/>
  <c r="D241" i="5"/>
  <c r="U240" i="5"/>
  <c r="I240" i="5"/>
  <c r="H240" i="5"/>
  <c r="G240" i="5"/>
  <c r="F240" i="5"/>
  <c r="E240" i="5"/>
  <c r="D240" i="5"/>
  <c r="U239" i="5"/>
  <c r="U238" i="5"/>
  <c r="U237" i="5"/>
  <c r="R237" i="5"/>
  <c r="R238" i="5" s="1"/>
  <c r="F230" i="5" s="1"/>
  <c r="Q237" i="5"/>
  <c r="Q238" i="5" s="1"/>
  <c r="E230" i="5" s="1"/>
  <c r="J237" i="5"/>
  <c r="G237" i="5"/>
  <c r="U236" i="5"/>
  <c r="R236" i="5"/>
  <c r="Q236" i="5"/>
  <c r="U235" i="5"/>
  <c r="W235" i="5" s="1"/>
  <c r="J227" i="5" s="1"/>
  <c r="U234" i="5"/>
  <c r="U241" i="5" s="1"/>
  <c r="I232" i="5"/>
  <c r="H232" i="5"/>
  <c r="G232" i="5"/>
  <c r="F232" i="5"/>
  <c r="E232" i="5"/>
  <c r="D232" i="5"/>
  <c r="I231" i="5"/>
  <c r="H231" i="5"/>
  <c r="G231" i="5"/>
  <c r="F231" i="5"/>
  <c r="E231" i="5"/>
  <c r="D231" i="5"/>
  <c r="I230" i="5"/>
  <c r="H230" i="5"/>
  <c r="G230" i="5"/>
  <c r="D230" i="5"/>
  <c r="I229" i="5"/>
  <c r="H229" i="5"/>
  <c r="G229" i="5"/>
  <c r="F229" i="5"/>
  <c r="E229" i="5"/>
  <c r="D229" i="5"/>
  <c r="I228" i="5"/>
  <c r="H228" i="5"/>
  <c r="G228" i="5"/>
  <c r="F228" i="5"/>
  <c r="E228" i="5"/>
  <c r="D228" i="5"/>
  <c r="I227" i="5"/>
  <c r="H227" i="5"/>
  <c r="G227" i="5"/>
  <c r="F227" i="5"/>
  <c r="E227" i="5"/>
  <c r="D227" i="5"/>
  <c r="U226" i="5"/>
  <c r="I226" i="5"/>
  <c r="H226" i="5"/>
  <c r="G226" i="5"/>
  <c r="F226" i="5"/>
  <c r="E226" i="5"/>
  <c r="D226" i="5"/>
  <c r="U225" i="5"/>
  <c r="U224" i="5"/>
  <c r="U223" i="5"/>
  <c r="R223" i="5"/>
  <c r="G223" i="5"/>
  <c r="D223" i="5"/>
  <c r="U222" i="5"/>
  <c r="C222" i="5"/>
  <c r="U221" i="5"/>
  <c r="R221" i="5"/>
  <c r="R222" i="5" s="1"/>
  <c r="F214" i="5" s="1"/>
  <c r="Q221" i="5"/>
  <c r="U220" i="5"/>
  <c r="U219" i="5"/>
  <c r="I218" i="5"/>
  <c r="H218" i="5"/>
  <c r="G218" i="5"/>
  <c r="F218" i="5"/>
  <c r="E218" i="5"/>
  <c r="D218" i="5"/>
  <c r="I217" i="5"/>
  <c r="H217" i="5"/>
  <c r="G217" i="5"/>
  <c r="F217" i="5"/>
  <c r="E217" i="5"/>
  <c r="D217" i="5"/>
  <c r="I216" i="5"/>
  <c r="H216" i="5"/>
  <c r="G216" i="5"/>
  <c r="F216" i="5"/>
  <c r="E216" i="5"/>
  <c r="D216" i="5"/>
  <c r="I215" i="5"/>
  <c r="H215" i="5"/>
  <c r="G215" i="5"/>
  <c r="F215" i="5"/>
  <c r="D215" i="5"/>
  <c r="I214" i="5"/>
  <c r="H214" i="5"/>
  <c r="G214" i="5"/>
  <c r="D214" i="5"/>
  <c r="I213" i="5"/>
  <c r="H213" i="5"/>
  <c r="G213" i="5"/>
  <c r="F213" i="5"/>
  <c r="D213" i="5"/>
  <c r="I212" i="5"/>
  <c r="H212" i="5"/>
  <c r="G212" i="5"/>
  <c r="F212" i="5"/>
  <c r="E212" i="5"/>
  <c r="D212" i="5"/>
  <c r="S211" i="5"/>
  <c r="R211" i="5"/>
  <c r="Q211" i="5"/>
  <c r="I211" i="5"/>
  <c r="H211" i="5"/>
  <c r="G211" i="5"/>
  <c r="F211" i="5"/>
  <c r="E211" i="5"/>
  <c r="D211" i="5"/>
  <c r="S210" i="5"/>
  <c r="R210" i="5"/>
  <c r="Q210" i="5"/>
  <c r="J253" i="5" s="1"/>
  <c r="G208" i="5"/>
  <c r="D208" i="5"/>
  <c r="C207" i="5"/>
  <c r="M206" i="5"/>
  <c r="M205" i="5"/>
  <c r="D203" i="5"/>
  <c r="G174" i="5"/>
  <c r="F174" i="5"/>
  <c r="E174" i="5"/>
  <c r="D174" i="5"/>
  <c r="D167" i="5"/>
  <c r="J165" i="5"/>
  <c r="I165" i="5"/>
  <c r="H165" i="5"/>
  <c r="G165" i="5"/>
  <c r="F165" i="5"/>
  <c r="E165" i="5"/>
  <c r="J164" i="5"/>
  <c r="I164" i="5"/>
  <c r="H164" i="5"/>
  <c r="G164" i="5"/>
  <c r="F164" i="5"/>
  <c r="E164" i="5"/>
  <c r="J163" i="5"/>
  <c r="I163" i="5"/>
  <c r="H163" i="5"/>
  <c r="G163" i="5"/>
  <c r="F163" i="5"/>
  <c r="E163" i="5"/>
  <c r="J162" i="5"/>
  <c r="I162" i="5"/>
  <c r="H162" i="5"/>
  <c r="G162" i="5"/>
  <c r="F162" i="5"/>
  <c r="E162" i="5"/>
  <c r="J161" i="5"/>
  <c r="I161" i="5"/>
  <c r="H161" i="5"/>
  <c r="G161" i="5"/>
  <c r="F161" i="5"/>
  <c r="E161" i="5"/>
  <c r="J160" i="5"/>
  <c r="I160" i="5"/>
  <c r="H160" i="5"/>
  <c r="G160" i="5"/>
  <c r="F160" i="5"/>
  <c r="E160" i="5"/>
  <c r="J159" i="5"/>
  <c r="I159" i="5"/>
  <c r="H159" i="5"/>
  <c r="G159" i="5"/>
  <c r="F159" i="5"/>
  <c r="E159" i="5"/>
  <c r="J158" i="5"/>
  <c r="I158" i="5"/>
  <c r="H158" i="5"/>
  <c r="G158" i="5"/>
  <c r="F158" i="5"/>
  <c r="E158" i="5"/>
  <c r="P155" i="5"/>
  <c r="S194" i="5" s="1"/>
  <c r="G194" i="5" s="1"/>
  <c r="E155" i="5"/>
  <c r="E154" i="5"/>
  <c r="E153" i="5"/>
  <c r="Y152" i="5"/>
  <c r="M174" i="5" s="1"/>
  <c r="U152" i="5"/>
  <c r="B3" i="10" s="1"/>
  <c r="E152" i="5"/>
  <c r="E151" i="5"/>
  <c r="E150" i="5"/>
  <c r="E149" i="5"/>
  <c r="L148" i="5"/>
  <c r="K148" i="5"/>
  <c r="E148" i="5"/>
  <c r="AD147" i="5"/>
  <c r="AC147" i="5" s="1"/>
  <c r="L147" i="5"/>
  <c r="K147" i="5"/>
  <c r="AD145" i="5"/>
  <c r="AC145" i="5" s="1"/>
  <c r="Q145" i="5"/>
  <c r="E167" i="5" s="1"/>
  <c r="AD143" i="5"/>
  <c r="AC143" i="5" s="1"/>
  <c r="H142" i="5"/>
  <c r="G142" i="5"/>
  <c r="F142" i="5"/>
  <c r="E142" i="5"/>
  <c r="AD141" i="5"/>
  <c r="AC141" i="5"/>
  <c r="H141" i="5"/>
  <c r="G141" i="5"/>
  <c r="F141" i="5"/>
  <c r="K142" i="5" s="1"/>
  <c r="E141" i="5"/>
  <c r="AD139" i="5"/>
  <c r="AC139" i="5" s="1"/>
  <c r="M138" i="5"/>
  <c r="AD137" i="5"/>
  <c r="AC137" i="5" s="1"/>
  <c r="M137" i="5"/>
  <c r="AD135" i="5"/>
  <c r="AC135" i="5" s="1"/>
  <c r="D135" i="5"/>
  <c r="AD133" i="5"/>
  <c r="AC133" i="5" s="1"/>
  <c r="C132" i="5"/>
  <c r="AD131" i="5"/>
  <c r="AC131" i="5" s="1"/>
  <c r="C131" i="5"/>
  <c r="AQ130" i="5"/>
  <c r="R130" i="5"/>
  <c r="F155" i="5" s="1"/>
  <c r="C130" i="5"/>
  <c r="AQ129" i="5"/>
  <c r="AD129" i="5"/>
  <c r="R129" i="5"/>
  <c r="F154" i="5" s="1"/>
  <c r="C129" i="5"/>
  <c r="AQ128" i="5"/>
  <c r="AD128" i="5"/>
  <c r="R128" i="5"/>
  <c r="F153" i="5" s="1"/>
  <c r="C128" i="5"/>
  <c r="AQ127" i="5"/>
  <c r="R127" i="5"/>
  <c r="F152" i="5" s="1"/>
  <c r="C127" i="5"/>
  <c r="AQ126" i="5"/>
  <c r="AD126" i="5"/>
  <c r="T126" i="5"/>
  <c r="H151" i="5" s="1"/>
  <c r="R126" i="5"/>
  <c r="F151" i="5" s="1"/>
  <c r="C126" i="5"/>
  <c r="AQ125" i="5"/>
  <c r="AD125" i="5"/>
  <c r="T125" i="5"/>
  <c r="H150" i="5" s="1"/>
  <c r="R125" i="5"/>
  <c r="F150" i="5" s="1"/>
  <c r="C125" i="5"/>
  <c r="AQ124" i="5"/>
  <c r="AD124" i="5"/>
  <c r="R124" i="5"/>
  <c r="F149" i="5" s="1"/>
  <c r="C124" i="5"/>
  <c r="AQ123" i="5"/>
  <c r="T351" i="5" s="1"/>
  <c r="L355" i="5" s="1"/>
  <c r="AD123" i="5"/>
  <c r="R123" i="5"/>
  <c r="F148" i="5" s="1"/>
  <c r="C123" i="5"/>
  <c r="AQ122" i="5"/>
  <c r="AD122" i="5"/>
  <c r="C122" i="5"/>
  <c r="AQ121" i="5"/>
  <c r="AD121" i="5"/>
  <c r="C121" i="5"/>
  <c r="AD120" i="5"/>
  <c r="C120" i="5"/>
  <c r="AD119" i="5"/>
  <c r="C119" i="5"/>
  <c r="AD118" i="5"/>
  <c r="C118" i="5"/>
  <c r="AD117" i="5"/>
  <c r="C117" i="5"/>
  <c r="AD116" i="5"/>
  <c r="C116" i="5"/>
  <c r="AD115" i="5"/>
  <c r="C115" i="5"/>
  <c r="AD114" i="5"/>
  <c r="C114" i="5"/>
  <c r="AD113" i="5"/>
  <c r="C113" i="5"/>
  <c r="AD112" i="5"/>
  <c r="C112" i="5"/>
  <c r="AD111" i="5"/>
  <c r="C111" i="5"/>
  <c r="AD110" i="5"/>
  <c r="C110" i="5"/>
  <c r="AD109" i="5"/>
  <c r="C109" i="5"/>
  <c r="C108" i="5"/>
  <c r="AD107" i="5"/>
  <c r="C107" i="5"/>
  <c r="AD106" i="5"/>
  <c r="C106" i="5"/>
  <c r="AD105" i="5"/>
  <c r="AD104" i="5"/>
  <c r="M104" i="5"/>
  <c r="L104" i="5"/>
  <c r="AD103" i="5"/>
  <c r="X103" i="5"/>
  <c r="W103" i="5"/>
  <c r="V103" i="5"/>
  <c r="U103" i="5"/>
  <c r="T103" i="5"/>
  <c r="S103" i="5"/>
  <c r="R103" i="5"/>
  <c r="Q103" i="5"/>
  <c r="P103" i="5"/>
  <c r="M103" i="5"/>
  <c r="L103" i="5"/>
  <c r="AD102" i="5"/>
  <c r="X102" i="5"/>
  <c r="W102" i="5"/>
  <c r="V102" i="5"/>
  <c r="U102" i="5"/>
  <c r="T102" i="5"/>
  <c r="S102" i="5"/>
  <c r="R102" i="5"/>
  <c r="Q102" i="5"/>
  <c r="P102" i="5"/>
  <c r="M102" i="5"/>
  <c r="L102" i="5"/>
  <c r="AD101" i="5"/>
  <c r="X101" i="5"/>
  <c r="W101" i="5"/>
  <c r="V101" i="5"/>
  <c r="U101" i="5"/>
  <c r="T101" i="5"/>
  <c r="S101" i="5"/>
  <c r="R101" i="5"/>
  <c r="Q101" i="5"/>
  <c r="P101" i="5"/>
  <c r="M101" i="5"/>
  <c r="L101" i="5"/>
  <c r="AD100" i="5"/>
  <c r="X100" i="5"/>
  <c r="W100" i="5"/>
  <c r="V100" i="5"/>
  <c r="U100" i="5"/>
  <c r="T100" i="5"/>
  <c r="S100" i="5"/>
  <c r="R100" i="5"/>
  <c r="Q100" i="5"/>
  <c r="P100" i="5"/>
  <c r="M100" i="5"/>
  <c r="L100" i="5"/>
  <c r="AD99" i="5"/>
  <c r="M99" i="5"/>
  <c r="L99" i="5"/>
  <c r="M98" i="5"/>
  <c r="L98" i="5"/>
  <c r="M97" i="5"/>
  <c r="L97" i="5"/>
  <c r="AD96" i="5"/>
  <c r="AA96" i="5"/>
  <c r="M96" i="5"/>
  <c r="L96" i="5"/>
  <c r="AD95" i="5"/>
  <c r="AA95" i="5"/>
  <c r="M95" i="5"/>
  <c r="L95" i="5"/>
  <c r="AD94" i="5"/>
  <c r="AA94" i="5"/>
  <c r="M94" i="5"/>
  <c r="L94" i="5"/>
  <c r="M93" i="5"/>
  <c r="L93" i="5"/>
  <c r="M92" i="5"/>
  <c r="L92" i="5"/>
  <c r="M89" i="5"/>
  <c r="L89" i="5"/>
  <c r="AQ88" i="5"/>
  <c r="M88" i="5"/>
  <c r="L88" i="5"/>
  <c r="AQ87" i="5"/>
  <c r="M87" i="5"/>
  <c r="L87" i="5"/>
  <c r="M86" i="5"/>
  <c r="L86" i="5"/>
  <c r="AQ85" i="5"/>
  <c r="M85" i="5"/>
  <c r="L85" i="5"/>
  <c r="AQ84" i="5"/>
  <c r="AD84" i="5"/>
  <c r="M84" i="5"/>
  <c r="L84" i="5"/>
  <c r="AD83" i="5"/>
  <c r="M83" i="5"/>
  <c r="L83" i="5"/>
  <c r="AD82" i="5"/>
  <c r="M82" i="5"/>
  <c r="L82" i="5"/>
  <c r="AD81" i="5"/>
  <c r="M81" i="5"/>
  <c r="L81" i="5"/>
  <c r="AQ80" i="5"/>
  <c r="AD80" i="5"/>
  <c r="O80" i="5"/>
  <c r="L91" i="5" s="1"/>
  <c r="M80" i="5"/>
  <c r="L80" i="5"/>
  <c r="AQ79" i="5"/>
  <c r="AD79" i="5"/>
  <c r="O79" i="5"/>
  <c r="M90" i="5" s="1"/>
  <c r="M79" i="5"/>
  <c r="L79" i="5"/>
  <c r="AD78" i="5"/>
  <c r="AQ77" i="5"/>
  <c r="AD77" i="5"/>
  <c r="M77" i="5"/>
  <c r="L77" i="5"/>
  <c r="AQ76" i="5"/>
  <c r="AD76" i="5"/>
  <c r="M76" i="5"/>
  <c r="L76" i="5"/>
  <c r="AD75" i="5"/>
  <c r="M75" i="5"/>
  <c r="L75" i="5"/>
  <c r="AQ74" i="5"/>
  <c r="AD74" i="5"/>
  <c r="M74" i="5"/>
  <c r="L74" i="5"/>
  <c r="AQ73" i="5"/>
  <c r="T339" i="5" s="1"/>
  <c r="H353" i="5" s="1"/>
  <c r="AD73" i="5"/>
  <c r="M73" i="5"/>
  <c r="L73" i="5"/>
  <c r="AQ72" i="5"/>
  <c r="M72" i="5"/>
  <c r="L72" i="5"/>
  <c r="AD71" i="5"/>
  <c r="AQ70" i="5"/>
  <c r="AD70" i="5"/>
  <c r="M70" i="5"/>
  <c r="AQ69" i="5"/>
  <c r="AD69" i="5"/>
  <c r="M69" i="5"/>
  <c r="AQ68" i="5"/>
  <c r="AD68" i="5"/>
  <c r="AD67" i="5"/>
  <c r="O67" i="5"/>
  <c r="M78" i="5" s="1"/>
  <c r="D67" i="5"/>
  <c r="AQ66" i="5"/>
  <c r="AD66" i="5"/>
  <c r="AQ65" i="5"/>
  <c r="T338" i="5" s="1"/>
  <c r="H352" i="5" s="1"/>
  <c r="AD65" i="5"/>
  <c r="AQ64" i="5"/>
  <c r="AD64" i="5"/>
  <c r="AD63" i="5"/>
  <c r="M63" i="5"/>
  <c r="L63" i="5"/>
  <c r="AQ62" i="5"/>
  <c r="AD62" i="5"/>
  <c r="M62" i="5"/>
  <c r="L62" i="5"/>
  <c r="AQ61" i="5"/>
  <c r="AD61" i="5"/>
  <c r="M61" i="5"/>
  <c r="L61" i="5"/>
  <c r="AQ60" i="5"/>
  <c r="AD60" i="5"/>
  <c r="M60" i="5"/>
  <c r="L60" i="5"/>
  <c r="M59" i="5"/>
  <c r="L59" i="5"/>
  <c r="AQ58" i="5"/>
  <c r="AD58" i="5"/>
  <c r="M58" i="5"/>
  <c r="L58" i="5"/>
  <c r="AQ57" i="5"/>
  <c r="T337" i="5" s="1"/>
  <c r="H351" i="5" s="1"/>
  <c r="AD57" i="5"/>
  <c r="AD56" i="5"/>
  <c r="M56" i="5"/>
  <c r="L56" i="5"/>
  <c r="AD55" i="5"/>
  <c r="M55" i="5"/>
  <c r="L55" i="5"/>
  <c r="AD54" i="5"/>
  <c r="M54" i="5"/>
  <c r="L54" i="5"/>
  <c r="AD53" i="5"/>
  <c r="M53" i="5"/>
  <c r="L53" i="5"/>
  <c r="AD52" i="5"/>
  <c r="M52" i="5"/>
  <c r="L52" i="5"/>
  <c r="AD51" i="5"/>
  <c r="M51" i="5"/>
  <c r="L51" i="5"/>
  <c r="AD50" i="5"/>
  <c r="AD49" i="5"/>
  <c r="M49" i="5"/>
  <c r="L49" i="5"/>
  <c r="AD48" i="5"/>
  <c r="M48" i="5"/>
  <c r="L48" i="5"/>
  <c r="AD47" i="5"/>
  <c r="M47" i="5"/>
  <c r="L47" i="5"/>
  <c r="M46" i="5"/>
  <c r="L46" i="5"/>
  <c r="M45" i="5"/>
  <c r="L45" i="5"/>
  <c r="L41" i="5"/>
  <c r="K41" i="5"/>
  <c r="J41" i="5"/>
  <c r="I41" i="5"/>
  <c r="H41" i="5"/>
  <c r="G41" i="5"/>
  <c r="F41" i="5"/>
  <c r="E41" i="5"/>
  <c r="D41" i="5"/>
  <c r="L40" i="5"/>
  <c r="K40" i="5"/>
  <c r="J40" i="5"/>
  <c r="I40" i="5"/>
  <c r="H40" i="5"/>
  <c r="G40" i="5"/>
  <c r="F40" i="5"/>
  <c r="E40" i="5"/>
  <c r="D40" i="5"/>
  <c r="L39" i="5"/>
  <c r="K39" i="5"/>
  <c r="J39" i="5"/>
  <c r="I39" i="5"/>
  <c r="H39" i="5"/>
  <c r="G39" i="5"/>
  <c r="F39" i="5"/>
  <c r="E39" i="5"/>
  <c r="D39" i="5"/>
  <c r="L38" i="5"/>
  <c r="K38" i="5"/>
  <c r="J38" i="5"/>
  <c r="I38" i="5"/>
  <c r="H38" i="5"/>
  <c r="G38" i="5"/>
  <c r="F38" i="5"/>
  <c r="E38" i="5"/>
  <c r="D38" i="5"/>
  <c r="V33" i="5"/>
  <c r="AD44" i="5" s="1"/>
  <c r="AC44" i="5" s="1"/>
  <c r="V32" i="5"/>
  <c r="AD43" i="5" s="1"/>
  <c r="AC43" i="5" s="1"/>
  <c r="R31" i="5"/>
  <c r="F30" i="5" s="1"/>
  <c r="R30" i="5"/>
  <c r="F29" i="5" s="1"/>
  <c r="K30" i="5"/>
  <c r="V29" i="5"/>
  <c r="AD37" i="5" s="1"/>
  <c r="AC37" i="5" s="1"/>
  <c r="R29" i="5"/>
  <c r="AD33" i="5" s="1"/>
  <c r="AC33" i="5" s="1"/>
  <c r="K29" i="5"/>
  <c r="V28" i="5"/>
  <c r="AD36" i="5" s="1"/>
  <c r="AC36" i="5" s="1"/>
  <c r="K28" i="5"/>
  <c r="F28" i="5"/>
  <c r="R27" i="5"/>
  <c r="AD32" i="5" s="1"/>
  <c r="AC32" i="5" s="1"/>
  <c r="K27" i="5"/>
  <c r="V26" i="5"/>
  <c r="G87" i="6" s="1"/>
  <c r="R26" i="5"/>
  <c r="AD31" i="5" s="1"/>
  <c r="AC31" i="5" s="1"/>
  <c r="F26" i="5"/>
  <c r="V25" i="5"/>
  <c r="D87" i="6" s="1"/>
  <c r="R25" i="5"/>
  <c r="AD30" i="5" s="1"/>
  <c r="AC30" i="5" s="1"/>
  <c r="F25" i="5"/>
  <c r="V24" i="5"/>
  <c r="A87" i="6" s="1"/>
  <c r="K24" i="5"/>
  <c r="F24" i="5"/>
  <c r="R23" i="5"/>
  <c r="AD29" i="5" s="1"/>
  <c r="AC29" i="5" s="1"/>
  <c r="K23" i="5"/>
  <c r="AL22" i="5"/>
  <c r="V22" i="5"/>
  <c r="AD39" i="5" s="1"/>
  <c r="AC39" i="5" s="1"/>
  <c r="R22" i="5"/>
  <c r="AD28" i="5" s="1"/>
  <c r="AC28" i="5" s="1"/>
  <c r="F22" i="5"/>
  <c r="AL21" i="5"/>
  <c r="V21" i="5"/>
  <c r="AK126" i="5" s="1"/>
  <c r="F21" i="5"/>
  <c r="AL20" i="5"/>
  <c r="AK20" i="5"/>
  <c r="AL19" i="5"/>
  <c r="V19" i="5"/>
  <c r="AD26" i="5" s="1"/>
  <c r="AC26" i="5" s="1"/>
  <c r="R19" i="5"/>
  <c r="AD23" i="5" s="1"/>
  <c r="AC23" i="5" s="1"/>
  <c r="AL18" i="5"/>
  <c r="Q327" i="5" s="1"/>
  <c r="AK18" i="5"/>
  <c r="P327" i="5" s="1"/>
  <c r="V18" i="5"/>
  <c r="K17" i="5" s="1"/>
  <c r="R18" i="5"/>
  <c r="AD22" i="5" s="1"/>
  <c r="AC22" i="5" s="1"/>
  <c r="K18" i="5"/>
  <c r="F18" i="5"/>
  <c r="AL17" i="5"/>
  <c r="AK17" i="5"/>
  <c r="V17" i="5"/>
  <c r="AD24" i="5" s="1"/>
  <c r="AC24" i="5" s="1"/>
  <c r="R17" i="5"/>
  <c r="AD21" i="5" s="1"/>
  <c r="AC21" i="5" s="1"/>
  <c r="AL16" i="5"/>
  <c r="AK16" i="5"/>
  <c r="K16" i="5"/>
  <c r="F16" i="5"/>
  <c r="AL15" i="5"/>
  <c r="AK15" i="5"/>
  <c r="AL14" i="5"/>
  <c r="AK14" i="5"/>
  <c r="AD14" i="5"/>
  <c r="AC14" i="5"/>
  <c r="V14" i="5"/>
  <c r="AD19" i="5" s="1"/>
  <c r="AC19" i="5" s="1"/>
  <c r="R14" i="5"/>
  <c r="AL13" i="5"/>
  <c r="AK13" i="5"/>
  <c r="V13" i="5"/>
  <c r="AD18" i="5" s="1"/>
  <c r="AC18" i="5" s="1"/>
  <c r="R13" i="5"/>
  <c r="M68" i="5" s="1"/>
  <c r="AL12" i="5"/>
  <c r="AK12" i="5"/>
  <c r="V12" i="5"/>
  <c r="AD17" i="5" s="1"/>
  <c r="AC17" i="5" s="1"/>
  <c r="R12" i="5"/>
  <c r="AD12" i="5" s="1"/>
  <c r="AC12" i="5" s="1"/>
  <c r="AL11" i="5"/>
  <c r="AK11" i="5"/>
  <c r="V11" i="5"/>
  <c r="AD16" i="5" s="1"/>
  <c r="AC16" i="5" s="1"/>
  <c r="R11" i="5"/>
  <c r="AD11" i="5" s="1"/>
  <c r="AC11" i="5" s="1"/>
  <c r="AL10" i="5"/>
  <c r="Q326" i="5" s="1"/>
  <c r="AK10" i="5"/>
  <c r="P326" i="5" s="1"/>
  <c r="V10" i="5"/>
  <c r="K10" i="5" s="1"/>
  <c r="R10" i="5"/>
  <c r="AD10" i="5" s="1"/>
  <c r="AC10" i="5" s="1"/>
  <c r="AD9" i="5"/>
  <c r="AC9" i="5"/>
  <c r="AD8" i="5"/>
  <c r="AC8" i="5"/>
  <c r="P8" i="5"/>
  <c r="AD7" i="5"/>
  <c r="AC7" i="5" s="1"/>
  <c r="X7" i="5"/>
  <c r="M203" i="5" s="1"/>
  <c r="AA3" i="5"/>
  <c r="E7" i="4"/>
  <c r="E6" i="4"/>
  <c r="B6" i="4"/>
  <c r="E5" i="4"/>
  <c r="B5" i="4"/>
  <c r="E4" i="4"/>
  <c r="B4" i="4"/>
  <c r="B3" i="4"/>
  <c r="D50" i="2"/>
  <c r="D49" i="2"/>
  <c r="L47" i="2"/>
  <c r="J47" i="2"/>
  <c r="H47" i="2"/>
  <c r="L46" i="2"/>
  <c r="J46" i="2"/>
  <c r="H46" i="2"/>
  <c r="K14" i="2"/>
  <c r="G14" i="2"/>
  <c r="D14" i="2"/>
  <c r="K13" i="2"/>
  <c r="G13" i="2"/>
  <c r="D13" i="2"/>
  <c r="D10" i="2"/>
  <c r="K8" i="2"/>
  <c r="D8" i="2"/>
  <c r="K7" i="2"/>
  <c r="D6" i="2"/>
  <c r="K5" i="2"/>
  <c r="C5" i="2"/>
  <c r="K4" i="2"/>
  <c r="C4" i="2"/>
  <c r="D35" i="1"/>
  <c r="D34" i="1"/>
  <c r="K32" i="1"/>
  <c r="I32" i="1"/>
  <c r="G32" i="1"/>
  <c r="K8" i="1"/>
  <c r="D8" i="1"/>
  <c r="K7" i="1"/>
  <c r="D6" i="1"/>
  <c r="K5" i="1"/>
  <c r="A75" i="6" l="1"/>
  <c r="D347" i="5"/>
  <c r="AD15" i="5"/>
  <c r="AC15" i="5" s="1"/>
  <c r="AK23" i="5"/>
  <c r="AL24" i="5"/>
  <c r="AK28" i="5"/>
  <c r="AK29" i="5"/>
  <c r="AL30" i="5"/>
  <c r="AK31" i="5"/>
  <c r="AL38" i="5"/>
  <c r="Q374" i="5" s="1"/>
  <c r="AK39" i="5"/>
  <c r="P375" i="5" s="1"/>
  <c r="AD40" i="5"/>
  <c r="AC40" i="5" s="1"/>
  <c r="AL47" i="5"/>
  <c r="AK48" i="5"/>
  <c r="AK50" i="5"/>
  <c r="AL52" i="5"/>
  <c r="AK53" i="5"/>
  <c r="AL56" i="5"/>
  <c r="AK57" i="5"/>
  <c r="P337" i="5" s="1"/>
  <c r="AL59" i="5"/>
  <c r="AL61" i="5"/>
  <c r="AL63" i="5"/>
  <c r="AL64" i="5"/>
  <c r="AL65" i="5"/>
  <c r="Q338" i="5" s="1"/>
  <c r="AL66" i="5"/>
  <c r="AK68" i="5"/>
  <c r="AL72" i="5"/>
  <c r="AL74" i="5"/>
  <c r="AL76" i="5"/>
  <c r="L78" i="5"/>
  <c r="AL78" i="5"/>
  <c r="AL81" i="5"/>
  <c r="Q340" i="5" s="1"/>
  <c r="AL83" i="5"/>
  <c r="AK86" i="5"/>
  <c r="AK88" i="5"/>
  <c r="AK90" i="5"/>
  <c r="P342" i="5" s="1"/>
  <c r="M91" i="5"/>
  <c r="AK92" i="5"/>
  <c r="AK94" i="5"/>
  <c r="AL95" i="5"/>
  <c r="AL97" i="5"/>
  <c r="AK98" i="5"/>
  <c r="AK101" i="5"/>
  <c r="AL102" i="5"/>
  <c r="AK104" i="5"/>
  <c r="AK105" i="5"/>
  <c r="AL109" i="5"/>
  <c r="AK110" i="5"/>
  <c r="AL113" i="5"/>
  <c r="AK114" i="5"/>
  <c r="AL117" i="5"/>
  <c r="AK118" i="5"/>
  <c r="AL121" i="5"/>
  <c r="AK122" i="5"/>
  <c r="AK124" i="5"/>
  <c r="AL125" i="5"/>
  <c r="AL127" i="5"/>
  <c r="AL129" i="5"/>
  <c r="AK130" i="5"/>
  <c r="P167" i="5"/>
  <c r="T167" i="5"/>
  <c r="Q168" i="5"/>
  <c r="E183" i="5" s="1"/>
  <c r="U168" i="5"/>
  <c r="I183" i="5" s="1"/>
  <c r="R169" i="5"/>
  <c r="P170" i="5"/>
  <c r="D185" i="5" s="1"/>
  <c r="T170" i="5"/>
  <c r="H185" i="5" s="1"/>
  <c r="C179" i="5"/>
  <c r="S190" i="5"/>
  <c r="G190" i="5" s="1"/>
  <c r="S191" i="5"/>
  <c r="G191" i="5" s="1"/>
  <c r="S192" i="5"/>
  <c r="G192" i="5" s="1"/>
  <c r="S193" i="5"/>
  <c r="G193" i="5" s="1"/>
  <c r="T194" i="5"/>
  <c r="H194" i="5" s="1"/>
  <c r="Q222" i="5"/>
  <c r="E213" i="5"/>
  <c r="W240" i="5"/>
  <c r="J232" i="5" s="1"/>
  <c r="I284" i="5"/>
  <c r="X264" i="5"/>
  <c r="U269" i="5"/>
  <c r="I285" i="5" s="1"/>
  <c r="C16" i="10"/>
  <c r="D78" i="6"/>
  <c r="E11" i="10"/>
  <c r="J73" i="6"/>
  <c r="G12" i="10"/>
  <c r="P74" i="6"/>
  <c r="P82" i="6" s="1"/>
  <c r="M339" i="5"/>
  <c r="M271" i="5"/>
  <c r="M407" i="5"/>
  <c r="F10" i="5"/>
  <c r="F11" i="5"/>
  <c r="F12" i="5"/>
  <c r="F13" i="5"/>
  <c r="D408" i="5"/>
  <c r="D204" i="5"/>
  <c r="D340" i="5"/>
  <c r="D272" i="5"/>
  <c r="F17" i="5"/>
  <c r="AK19" i="5"/>
  <c r="K22" i="5"/>
  <c r="AL23" i="5"/>
  <c r="AD25" i="5"/>
  <c r="AC25" i="5" s="1"/>
  <c r="AK26" i="5"/>
  <c r="P328" i="5" s="1"/>
  <c r="AK27" i="5"/>
  <c r="P372" i="5" s="1"/>
  <c r="D380" i="5" s="1"/>
  <c r="AL28" i="5"/>
  <c r="AL29" i="5"/>
  <c r="AL31" i="5"/>
  <c r="AK32" i="5"/>
  <c r="AD34" i="5"/>
  <c r="AC34" i="5" s="1"/>
  <c r="AD35" i="5"/>
  <c r="AC35" i="5" s="1"/>
  <c r="AL39" i="5"/>
  <c r="Q375" i="5" s="1"/>
  <c r="AK40" i="5"/>
  <c r="P330" i="5" s="1"/>
  <c r="AD41" i="5"/>
  <c r="AC41" i="5" s="1"/>
  <c r="AD42" i="5"/>
  <c r="AC42" i="5" s="1"/>
  <c r="AL48" i="5"/>
  <c r="AK49" i="5"/>
  <c r="P332" i="5" s="1"/>
  <c r="AL50" i="5"/>
  <c r="AK51" i="5"/>
  <c r="AL53" i="5"/>
  <c r="AK54" i="5"/>
  <c r="AL57" i="5"/>
  <c r="Q337" i="5" s="1"/>
  <c r="AK60" i="5"/>
  <c r="AK62" i="5"/>
  <c r="D68" i="5"/>
  <c r="AL68" i="5"/>
  <c r="AK69" i="5"/>
  <c r="AK73" i="5"/>
  <c r="P339" i="5" s="1"/>
  <c r="AK75" i="5"/>
  <c r="AK77" i="5"/>
  <c r="AK80" i="5"/>
  <c r="AK82" i="5"/>
  <c r="AK84" i="5"/>
  <c r="AL86" i="5"/>
  <c r="AL88" i="5"/>
  <c r="L90" i="5"/>
  <c r="AL90" i="5"/>
  <c r="Q342" i="5" s="1"/>
  <c r="AL92" i="5"/>
  <c r="AK93" i="5"/>
  <c r="AL94" i="5"/>
  <c r="AL98" i="5"/>
  <c r="AK100" i="5"/>
  <c r="AL101" i="5"/>
  <c r="AL104" i="5"/>
  <c r="AL105" i="5"/>
  <c r="AK106" i="5"/>
  <c r="AL110" i="5"/>
  <c r="AK111" i="5"/>
  <c r="AL114" i="5"/>
  <c r="AK115" i="5"/>
  <c r="P350" i="5" s="1"/>
  <c r="AL118" i="5"/>
  <c r="AK119" i="5"/>
  <c r="AL122" i="5"/>
  <c r="AL124" i="5"/>
  <c r="AK128" i="5"/>
  <c r="AL130" i="5"/>
  <c r="Q167" i="5"/>
  <c r="U167" i="5"/>
  <c r="R168" i="5"/>
  <c r="F183" i="5" s="1"/>
  <c r="E169" i="5"/>
  <c r="S169" i="5"/>
  <c r="Q170" i="5"/>
  <c r="E185" i="5" s="1"/>
  <c r="U170" i="5"/>
  <c r="I185" i="5" s="1"/>
  <c r="P190" i="5"/>
  <c r="D190" i="5" s="1"/>
  <c r="T190" i="5"/>
  <c r="H190" i="5" s="1"/>
  <c r="P191" i="5"/>
  <c r="D191" i="5" s="1"/>
  <c r="T191" i="5"/>
  <c r="H191" i="5" s="1"/>
  <c r="P192" i="5"/>
  <c r="D192" i="5" s="1"/>
  <c r="T192" i="5"/>
  <c r="H192" i="5" s="1"/>
  <c r="P193" i="5"/>
  <c r="D193" i="5" s="1"/>
  <c r="T193" i="5"/>
  <c r="H193" i="5" s="1"/>
  <c r="P194" i="5"/>
  <c r="D194" i="5" s="1"/>
  <c r="U194" i="5"/>
  <c r="I194" i="5" s="1"/>
  <c r="W239" i="5"/>
  <c r="J231" i="5" s="1"/>
  <c r="E354" i="5"/>
  <c r="C14" i="10"/>
  <c r="D76" i="6"/>
  <c r="I351" i="5"/>
  <c r="I358" i="5" s="1"/>
  <c r="G367" i="5"/>
  <c r="C20" i="10"/>
  <c r="F385" i="5"/>
  <c r="K11" i="5"/>
  <c r="K12" i="5"/>
  <c r="K13" i="5"/>
  <c r="AD13" i="5"/>
  <c r="AC13" i="5" s="1"/>
  <c r="K21" i="5"/>
  <c r="AK21" i="5"/>
  <c r="AK22" i="5"/>
  <c r="AK25" i="5"/>
  <c r="AL26" i="5"/>
  <c r="Q328" i="5" s="1"/>
  <c r="AL27" i="5"/>
  <c r="Q372" i="5" s="1"/>
  <c r="F380" i="5" s="1"/>
  <c r="AL32" i="5"/>
  <c r="AK33" i="5"/>
  <c r="AK34" i="5"/>
  <c r="AK35" i="5"/>
  <c r="AK36" i="5"/>
  <c r="AK37" i="5"/>
  <c r="AD38" i="5"/>
  <c r="AC38" i="5" s="1"/>
  <c r="AL40" i="5"/>
  <c r="Q330" i="5" s="1"/>
  <c r="AK41" i="5"/>
  <c r="P331" i="5" s="1"/>
  <c r="AK42" i="5"/>
  <c r="AK43" i="5"/>
  <c r="AK44" i="5"/>
  <c r="AK45" i="5"/>
  <c r="AK46" i="5"/>
  <c r="AL49" i="5"/>
  <c r="Q332" i="5" s="1"/>
  <c r="AL51" i="5"/>
  <c r="AL54" i="5"/>
  <c r="AK55" i="5"/>
  <c r="AK58" i="5"/>
  <c r="AL60" i="5"/>
  <c r="AL62" i="5"/>
  <c r="AK67" i="5"/>
  <c r="AL69" i="5"/>
  <c r="AK70" i="5"/>
  <c r="AK71" i="5"/>
  <c r="AL73" i="5"/>
  <c r="Q339" i="5" s="1"/>
  <c r="AL75" i="5"/>
  <c r="AL77" i="5"/>
  <c r="AK79" i="5"/>
  <c r="AL80" i="5"/>
  <c r="AL82" i="5"/>
  <c r="AL84" i="5"/>
  <c r="AK85" i="5"/>
  <c r="AK87" i="5"/>
  <c r="AK89" i="5"/>
  <c r="P341" i="5" s="1"/>
  <c r="AK91" i="5"/>
  <c r="P347" i="5" s="1"/>
  <c r="AL93" i="5"/>
  <c r="AK96" i="5"/>
  <c r="AK99" i="5"/>
  <c r="P348" i="5" s="1"/>
  <c r="L346" i="5" s="1"/>
  <c r="AL100" i="5"/>
  <c r="AK103" i="5"/>
  <c r="AL106" i="5"/>
  <c r="AK107" i="5"/>
  <c r="P349" i="5" s="1"/>
  <c r="AK108" i="5"/>
  <c r="AL111" i="5"/>
  <c r="AK112" i="5"/>
  <c r="AL115" i="5"/>
  <c r="Q350" i="5" s="1"/>
  <c r="AK116" i="5"/>
  <c r="AL119" i="5"/>
  <c r="AK120" i="5"/>
  <c r="AK123" i="5"/>
  <c r="P351" i="5" s="1"/>
  <c r="AL128" i="5"/>
  <c r="D136" i="5"/>
  <c r="R167" i="5"/>
  <c r="E168" i="5"/>
  <c r="S168" i="5"/>
  <c r="G183" i="5" s="1"/>
  <c r="P169" i="5"/>
  <c r="T169" i="5"/>
  <c r="R170" i="5"/>
  <c r="F185" i="5" s="1"/>
  <c r="I174" i="5"/>
  <c r="Q190" i="5"/>
  <c r="E190" i="5" s="1"/>
  <c r="U190" i="5"/>
  <c r="I190" i="5" s="1"/>
  <c r="Q191" i="5"/>
  <c r="E191" i="5" s="1"/>
  <c r="U191" i="5"/>
  <c r="I191" i="5" s="1"/>
  <c r="Q192" i="5"/>
  <c r="E192" i="5" s="1"/>
  <c r="U192" i="5"/>
  <c r="I192" i="5" s="1"/>
  <c r="Q193" i="5"/>
  <c r="E193" i="5" s="1"/>
  <c r="U193" i="5"/>
  <c r="I193" i="5" s="1"/>
  <c r="Q194" i="5"/>
  <c r="E194" i="5" s="1"/>
  <c r="U227" i="5"/>
  <c r="W221" i="5" s="1"/>
  <c r="J213" i="5" s="1"/>
  <c r="W238" i="5"/>
  <c r="J230" i="5" s="1"/>
  <c r="W237" i="5"/>
  <c r="J229" i="5" s="1"/>
  <c r="H233" i="5"/>
  <c r="W236" i="5"/>
  <c r="J228" i="5" s="1"/>
  <c r="I244" i="5"/>
  <c r="H244" i="5"/>
  <c r="E13" i="10"/>
  <c r="J75" i="6"/>
  <c r="G14" i="10"/>
  <c r="P76" i="6"/>
  <c r="G15" i="10"/>
  <c r="P77" i="6"/>
  <c r="C18" i="10"/>
  <c r="F383" i="5"/>
  <c r="B10" i="10"/>
  <c r="A73" i="6"/>
  <c r="F391" i="5"/>
  <c r="T381" i="5"/>
  <c r="B25" i="10" s="1"/>
  <c r="E391" i="5"/>
  <c r="S381" i="5"/>
  <c r="B24" i="10" s="1"/>
  <c r="D391" i="5"/>
  <c r="R381" i="5"/>
  <c r="B23" i="10" s="1"/>
  <c r="G391" i="5"/>
  <c r="Q381" i="5"/>
  <c r="B22" i="10" s="1"/>
  <c r="D346" i="5"/>
  <c r="M408" i="5"/>
  <c r="M340" i="5"/>
  <c r="M272" i="5"/>
  <c r="M204" i="5"/>
  <c r="D85" i="6"/>
  <c r="G85" i="6"/>
  <c r="A85" i="6"/>
  <c r="E406" i="5"/>
  <c r="AK24" i="5"/>
  <c r="AL25" i="5"/>
  <c r="AK30" i="5"/>
  <c r="AL33" i="5"/>
  <c r="AL34" i="5"/>
  <c r="AL35" i="5"/>
  <c r="AL36" i="5"/>
  <c r="AL37" i="5"/>
  <c r="AK38" i="5"/>
  <c r="P374" i="5" s="1"/>
  <c r="AL41" i="5"/>
  <c r="Q331" i="5" s="1"/>
  <c r="AL42" i="5"/>
  <c r="AL43" i="5"/>
  <c r="AL44" i="5"/>
  <c r="AL45" i="5"/>
  <c r="AL46" i="5"/>
  <c r="AK47" i="5"/>
  <c r="AK52" i="5"/>
  <c r="AL55" i="5"/>
  <c r="AK56" i="5"/>
  <c r="AL58" i="5"/>
  <c r="AK59" i="5"/>
  <c r="AK61" i="5"/>
  <c r="AK63" i="5"/>
  <c r="AK64" i="5"/>
  <c r="AK65" i="5"/>
  <c r="P338" i="5" s="1"/>
  <c r="AK66" i="5"/>
  <c r="M67" i="5"/>
  <c r="AL67" i="5"/>
  <c r="AL70" i="5"/>
  <c r="AL71" i="5"/>
  <c r="AK72" i="5"/>
  <c r="AK74" i="5"/>
  <c r="AK76" i="5"/>
  <c r="AK78" i="5"/>
  <c r="AL79" i="5"/>
  <c r="AK81" i="5"/>
  <c r="P340" i="5" s="1"/>
  <c r="AK83" i="5"/>
  <c r="AL85" i="5"/>
  <c r="AL87" i="5"/>
  <c r="AL89" i="5"/>
  <c r="Q341" i="5" s="1"/>
  <c r="AL91" i="5"/>
  <c r="Q347" i="5" s="1"/>
  <c r="AK95" i="5"/>
  <c r="AL96" i="5"/>
  <c r="AK97" i="5"/>
  <c r="AL99" i="5"/>
  <c r="Q348" i="5" s="1"/>
  <c r="AK102" i="5"/>
  <c r="AL103" i="5"/>
  <c r="AL107" i="5"/>
  <c r="Q349" i="5" s="1"/>
  <c r="AL108" i="5"/>
  <c r="AK109" i="5"/>
  <c r="AL112" i="5"/>
  <c r="AK113" i="5"/>
  <c r="AL116" i="5"/>
  <c r="AK117" i="5"/>
  <c r="AL120" i="5"/>
  <c r="AK121" i="5"/>
  <c r="AL123" i="5"/>
  <c r="Q351" i="5" s="1"/>
  <c r="AK125" i="5"/>
  <c r="AL126" i="5"/>
  <c r="AK127" i="5"/>
  <c r="AK129" i="5"/>
  <c r="S132" i="5"/>
  <c r="M135" i="5"/>
  <c r="M136" i="5"/>
  <c r="S167" i="5"/>
  <c r="P168" i="5"/>
  <c r="D183" i="5" s="1"/>
  <c r="T168" i="5"/>
  <c r="H183" i="5" s="1"/>
  <c r="Q169" i="5"/>
  <c r="U169" i="5"/>
  <c r="S170" i="5"/>
  <c r="G185" i="5" s="1"/>
  <c r="R190" i="5"/>
  <c r="F190" i="5" s="1"/>
  <c r="R191" i="5"/>
  <c r="F191" i="5" s="1"/>
  <c r="R192" i="5"/>
  <c r="F192" i="5" s="1"/>
  <c r="R193" i="5"/>
  <c r="F193" i="5" s="1"/>
  <c r="R194" i="5"/>
  <c r="F194" i="5" s="1"/>
  <c r="W220" i="5"/>
  <c r="J212" i="5" s="1"/>
  <c r="W226" i="5"/>
  <c r="J218" i="5" s="1"/>
  <c r="C17" i="10"/>
  <c r="D79" i="6"/>
  <c r="G11" i="10"/>
  <c r="P73" i="6"/>
  <c r="T373" i="5"/>
  <c r="D384" i="5" s="1"/>
  <c r="D371" i="5"/>
  <c r="T364" i="5"/>
  <c r="D373" i="5" s="1"/>
  <c r="D374" i="5" s="1"/>
  <c r="H246" i="5"/>
  <c r="U253" i="5"/>
  <c r="U255" i="5"/>
  <c r="Q269" i="5"/>
  <c r="E285" i="5" s="1"/>
  <c r="I280" i="5"/>
  <c r="T283" i="5"/>
  <c r="F284" i="5"/>
  <c r="G298" i="5"/>
  <c r="G100" i="6"/>
  <c r="H100" i="6"/>
  <c r="T303" i="5"/>
  <c r="L307" i="5"/>
  <c r="X311" i="5"/>
  <c r="C12" i="10"/>
  <c r="D74" i="6"/>
  <c r="X329" i="5"/>
  <c r="E76" i="6" s="1"/>
  <c r="C15" i="10"/>
  <c r="D77" i="6"/>
  <c r="B16" i="10"/>
  <c r="B78" i="6"/>
  <c r="C78" i="6" s="1"/>
  <c r="X332" i="5"/>
  <c r="X337" i="5"/>
  <c r="K73" i="6" s="1"/>
  <c r="E12" i="10"/>
  <c r="J74" i="6"/>
  <c r="X339" i="5"/>
  <c r="K75" i="6" s="1"/>
  <c r="E15" i="10"/>
  <c r="J77" i="6"/>
  <c r="X350" i="5"/>
  <c r="Q76" i="6" s="1"/>
  <c r="F15" i="10"/>
  <c r="N77" i="6"/>
  <c r="O77" i="6" s="1"/>
  <c r="K355" i="5"/>
  <c r="M355" i="5" s="1"/>
  <c r="X359" i="5"/>
  <c r="G368" i="5" s="1"/>
  <c r="U362" i="5"/>
  <c r="V363" i="5"/>
  <c r="E372" i="5" s="1"/>
  <c r="D367" i="5"/>
  <c r="D370" i="5"/>
  <c r="X372" i="5"/>
  <c r="G383" i="5" s="1"/>
  <c r="C383" i="5"/>
  <c r="E385" i="5"/>
  <c r="T388" i="5"/>
  <c r="G395" i="5" s="1"/>
  <c r="X388" i="5"/>
  <c r="K395" i="5" s="1"/>
  <c r="T389" i="5"/>
  <c r="G396" i="5" s="1"/>
  <c r="X389" i="5"/>
  <c r="K396" i="5" s="1"/>
  <c r="G392" i="5"/>
  <c r="K392" i="5"/>
  <c r="C32" i="10"/>
  <c r="S401" i="5"/>
  <c r="F403" i="5" s="1"/>
  <c r="S402" i="5"/>
  <c r="F404" i="5" s="1"/>
  <c r="N73" i="6"/>
  <c r="O73" i="6" s="1"/>
  <c r="V74" i="6"/>
  <c r="Y74" i="6"/>
  <c r="U74" i="6"/>
  <c r="W74" i="6"/>
  <c r="W234" i="5"/>
  <c r="U250" i="5"/>
  <c r="T268" i="5"/>
  <c r="U283" i="5"/>
  <c r="L293" i="5"/>
  <c r="U303" i="5"/>
  <c r="R304" i="5"/>
  <c r="F313" i="5" s="1"/>
  <c r="T315" i="5"/>
  <c r="Q316" i="5"/>
  <c r="E324" i="5" s="1"/>
  <c r="U316" i="5"/>
  <c r="I324" i="5" s="1"/>
  <c r="G323" i="5"/>
  <c r="B11" i="10"/>
  <c r="B73" i="6"/>
  <c r="C73" i="6" s="1"/>
  <c r="B13" i="10"/>
  <c r="B75" i="6"/>
  <c r="C75" i="6" s="1"/>
  <c r="D14" i="10"/>
  <c r="H76" i="6"/>
  <c r="I76" i="6" s="1"/>
  <c r="D16" i="10"/>
  <c r="H78" i="6"/>
  <c r="I78" i="6" s="1"/>
  <c r="F13" i="10"/>
  <c r="N75" i="6"/>
  <c r="O75" i="6" s="1"/>
  <c r="C351" i="5"/>
  <c r="E351" i="5" s="1"/>
  <c r="K352" i="5"/>
  <c r="X360" i="5"/>
  <c r="G369" i="5" s="1"/>
  <c r="W361" i="5"/>
  <c r="F370" i="5" s="1"/>
  <c r="V362" i="5"/>
  <c r="E367" i="5"/>
  <c r="E368" i="5"/>
  <c r="C384" i="5"/>
  <c r="E386" i="5"/>
  <c r="Q388" i="5"/>
  <c r="D395" i="5" s="1"/>
  <c r="U388" i="5"/>
  <c r="H395" i="5" s="1"/>
  <c r="Q389" i="5"/>
  <c r="D396" i="5" s="1"/>
  <c r="U389" i="5"/>
  <c r="H396" i="5" s="1"/>
  <c r="D392" i="5"/>
  <c r="H392" i="5"/>
  <c r="C33" i="10"/>
  <c r="G400" i="5"/>
  <c r="B74" i="6"/>
  <c r="C74" i="6" s="1"/>
  <c r="X74" i="6"/>
  <c r="C100" i="6"/>
  <c r="E100" i="6"/>
  <c r="B100" i="6"/>
  <c r="A100" i="6"/>
  <c r="B98" i="6"/>
  <c r="D100" i="6"/>
  <c r="R284" i="5"/>
  <c r="F299" i="5" s="1"/>
  <c r="C13" i="10"/>
  <c r="D75" i="6"/>
  <c r="B14" i="10"/>
  <c r="B76" i="6"/>
  <c r="C76" i="6" s="1"/>
  <c r="B17" i="10"/>
  <c r="B79" i="6"/>
  <c r="C79" i="6" s="1"/>
  <c r="D11" i="10"/>
  <c r="H73" i="6"/>
  <c r="I73" i="6" s="1"/>
  <c r="E14" i="10"/>
  <c r="J76" i="6"/>
  <c r="E16" i="10"/>
  <c r="J78" i="6"/>
  <c r="G13" i="10"/>
  <c r="P75" i="6"/>
  <c r="F14" i="10"/>
  <c r="N76" i="6"/>
  <c r="O76" i="6" s="1"/>
  <c r="G352" i="5"/>
  <c r="I352" i="5" s="1"/>
  <c r="G356" i="5"/>
  <c r="W362" i="5"/>
  <c r="E383" i="5"/>
  <c r="F386" i="5"/>
  <c r="R388" i="5"/>
  <c r="E395" i="5" s="1"/>
  <c r="V388" i="5"/>
  <c r="I395" i="5" s="1"/>
  <c r="R389" i="5"/>
  <c r="E396" i="5" s="1"/>
  <c r="V389" i="5"/>
  <c r="I396" i="5" s="1"/>
  <c r="E392" i="5"/>
  <c r="I392" i="5"/>
  <c r="C30" i="10"/>
  <c r="Q402" i="5"/>
  <c r="D404" i="5" s="1"/>
  <c r="Q401" i="5"/>
  <c r="D403" i="5" s="1"/>
  <c r="D400" i="5"/>
  <c r="D73" i="6"/>
  <c r="H74" i="6"/>
  <c r="I74" i="6" s="1"/>
  <c r="Q78" i="6"/>
  <c r="B15" i="10"/>
  <c r="B77" i="6"/>
  <c r="C77" i="6" s="1"/>
  <c r="D15" i="10"/>
  <c r="H77" i="6"/>
  <c r="I77" i="6" s="1"/>
  <c r="K351" i="5"/>
  <c r="C352" i="5"/>
  <c r="E352" i="5" s="1"/>
  <c r="G353" i="5"/>
  <c r="I353" i="5" s="1"/>
  <c r="K354" i="5"/>
  <c r="C356" i="5"/>
  <c r="E356" i="5" s="1"/>
  <c r="C386" i="5"/>
  <c r="S388" i="5"/>
  <c r="F395" i="5" s="1"/>
  <c r="W388" i="5"/>
  <c r="J395" i="5" s="1"/>
  <c r="S389" i="5"/>
  <c r="F396" i="5" s="1"/>
  <c r="W389" i="5"/>
  <c r="J396" i="5" s="1"/>
  <c r="F392" i="5"/>
  <c r="J392" i="5"/>
  <c r="C31" i="10"/>
  <c r="E400" i="5"/>
  <c r="F400" i="5"/>
  <c r="T401" i="5"/>
  <c r="G403" i="5" s="1"/>
  <c r="R402" i="5"/>
  <c r="E404" i="5" s="1"/>
  <c r="N74" i="6"/>
  <c r="O74" i="6" s="1"/>
  <c r="Q79" i="6" s="1"/>
  <c r="H75" i="6"/>
  <c r="I75" i="6" s="1"/>
  <c r="U401" i="5"/>
  <c r="H403" i="5" s="1"/>
  <c r="V75" i="6"/>
  <c r="X76" i="6"/>
  <c r="V77" i="6"/>
  <c r="V78" i="6"/>
  <c r="W79" i="6"/>
  <c r="U80" i="6"/>
  <c r="Y80" i="6"/>
  <c r="U81" i="6"/>
  <c r="Y81" i="6"/>
  <c r="X83" i="6"/>
  <c r="X87" i="6"/>
  <c r="X88" i="6"/>
  <c r="X90" i="6"/>
  <c r="V98" i="6"/>
  <c r="X99" i="6"/>
  <c r="W103" i="6"/>
  <c r="Y103" i="6"/>
  <c r="U103" i="6"/>
  <c r="W107" i="6"/>
  <c r="Y107" i="6"/>
  <c r="U107" i="6"/>
  <c r="W111" i="6"/>
  <c r="Y111" i="6"/>
  <c r="U111" i="6"/>
  <c r="W115" i="6"/>
  <c r="Y115" i="6"/>
  <c r="U115" i="6"/>
  <c r="W119" i="6"/>
  <c r="Y119" i="6"/>
  <c r="U119" i="6"/>
  <c r="W123" i="6"/>
  <c r="Y123" i="6"/>
  <c r="U123" i="6"/>
  <c r="W127" i="6"/>
  <c r="Y127" i="6"/>
  <c r="U127" i="6"/>
  <c r="W131" i="6"/>
  <c r="Y131" i="6"/>
  <c r="U131" i="6"/>
  <c r="W135" i="6"/>
  <c r="Y135" i="6"/>
  <c r="U135" i="6"/>
  <c r="W139" i="6"/>
  <c r="Y139" i="6"/>
  <c r="U139" i="6"/>
  <c r="W145" i="6"/>
  <c r="Y145" i="6"/>
  <c r="U145" i="6"/>
  <c r="V145" i="6"/>
  <c r="W147" i="6"/>
  <c r="Y147" i="6"/>
  <c r="U147" i="6"/>
  <c r="V147" i="6"/>
  <c r="W161" i="6"/>
  <c r="Y161" i="6"/>
  <c r="AQ97" i="5" s="1"/>
  <c r="U161" i="6"/>
  <c r="V161" i="6"/>
  <c r="W163" i="6"/>
  <c r="Y163" i="6"/>
  <c r="AQ99" i="5" s="1"/>
  <c r="T348" i="5" s="1"/>
  <c r="L352" i="5" s="1"/>
  <c r="U163" i="6"/>
  <c r="V163" i="6"/>
  <c r="X79" i="6"/>
  <c r="V80" i="6"/>
  <c r="V81" i="6"/>
  <c r="W82" i="6"/>
  <c r="U83" i="6"/>
  <c r="Y83" i="6"/>
  <c r="W84" i="6"/>
  <c r="U87" i="6"/>
  <c r="Y87" i="6"/>
  <c r="U88" i="6"/>
  <c r="Y88" i="6"/>
  <c r="V89" i="6"/>
  <c r="U90" i="6"/>
  <c r="Y90" i="6"/>
  <c r="V93" i="6"/>
  <c r="V95" i="6"/>
  <c r="V97" i="6"/>
  <c r="W98" i="6"/>
  <c r="U99" i="6"/>
  <c r="Y99" i="6"/>
  <c r="Y102" i="6"/>
  <c r="U102" i="6"/>
  <c r="W102" i="6"/>
  <c r="V103" i="6"/>
  <c r="Y106" i="6"/>
  <c r="U106" i="6"/>
  <c r="W106" i="6"/>
  <c r="V107" i="6"/>
  <c r="Y110" i="6"/>
  <c r="U110" i="6"/>
  <c r="W110" i="6"/>
  <c r="V111" i="6"/>
  <c r="Y114" i="6"/>
  <c r="U114" i="6"/>
  <c r="W114" i="6"/>
  <c r="V115" i="6"/>
  <c r="Y118" i="6"/>
  <c r="U118" i="6"/>
  <c r="W118" i="6"/>
  <c r="V119" i="6"/>
  <c r="Y122" i="6"/>
  <c r="U122" i="6"/>
  <c r="W122" i="6"/>
  <c r="V123" i="6"/>
  <c r="Y126" i="6"/>
  <c r="U126" i="6"/>
  <c r="W126" i="6"/>
  <c r="V127" i="6"/>
  <c r="Y130" i="6"/>
  <c r="U130" i="6"/>
  <c r="W130" i="6"/>
  <c r="V131" i="6"/>
  <c r="Y134" i="6"/>
  <c r="U134" i="6"/>
  <c r="W134" i="6"/>
  <c r="V135" i="6"/>
  <c r="Y138" i="6"/>
  <c r="U138" i="6"/>
  <c r="W138" i="6"/>
  <c r="V139" i="6"/>
  <c r="X145" i="6"/>
  <c r="AQ81" i="5" s="1"/>
  <c r="T340" i="5" s="1"/>
  <c r="H354" i="5" s="1"/>
  <c r="I354" i="5" s="1"/>
  <c r="X147" i="6"/>
  <c r="AQ83" i="5" s="1"/>
  <c r="W149" i="6"/>
  <c r="Y149" i="6"/>
  <c r="U149" i="6"/>
  <c r="V149" i="6"/>
  <c r="W151" i="6"/>
  <c r="Y151" i="6"/>
  <c r="U151" i="6"/>
  <c r="V151" i="6"/>
  <c r="X161" i="6"/>
  <c r="X163" i="6"/>
  <c r="W167" i="6"/>
  <c r="Y167" i="6"/>
  <c r="AQ103" i="5" s="1"/>
  <c r="U167" i="6"/>
  <c r="X167" i="6"/>
  <c r="V167" i="6"/>
  <c r="W171" i="6"/>
  <c r="Y171" i="6"/>
  <c r="AQ107" i="5" s="1"/>
  <c r="T349" i="5" s="1"/>
  <c r="L353" i="5" s="1"/>
  <c r="M353" i="5" s="1"/>
  <c r="U171" i="6"/>
  <c r="X171" i="6"/>
  <c r="V171" i="6"/>
  <c r="W175" i="6"/>
  <c r="Y175" i="6"/>
  <c r="AQ111" i="5" s="1"/>
  <c r="U175" i="6"/>
  <c r="X175" i="6"/>
  <c r="V175" i="6"/>
  <c r="W179" i="6"/>
  <c r="Y179" i="6"/>
  <c r="AQ115" i="5" s="1"/>
  <c r="T350" i="5" s="1"/>
  <c r="L354" i="5" s="1"/>
  <c r="U179" i="6"/>
  <c r="X179" i="6"/>
  <c r="V179" i="6"/>
  <c r="W183" i="6"/>
  <c r="Y183" i="6"/>
  <c r="AQ119" i="5" s="1"/>
  <c r="U183" i="6"/>
  <c r="X183" i="6"/>
  <c r="V183" i="6"/>
  <c r="U402" i="5"/>
  <c r="H404" i="5" s="1"/>
  <c r="V441" i="5"/>
  <c r="J333" i="5" s="1"/>
  <c r="V442" i="5"/>
  <c r="J334" i="5" s="1"/>
  <c r="U79" i="6"/>
  <c r="Y79" i="6"/>
  <c r="W80" i="6"/>
  <c r="W81" i="6"/>
  <c r="V88" i="6"/>
  <c r="V90" i="6"/>
  <c r="X98" i="6"/>
  <c r="W101" i="6"/>
  <c r="Y101" i="6"/>
  <c r="U101" i="6"/>
  <c r="X103" i="6"/>
  <c r="W105" i="6"/>
  <c r="Y105" i="6"/>
  <c r="U105" i="6"/>
  <c r="X107" i="6"/>
  <c r="W109" i="6"/>
  <c r="Y109" i="6"/>
  <c r="U109" i="6"/>
  <c r="X111" i="6"/>
  <c r="W113" i="6"/>
  <c r="Y113" i="6"/>
  <c r="U113" i="6"/>
  <c r="X115" i="6"/>
  <c r="W117" i="6"/>
  <c r="Y117" i="6"/>
  <c r="U117" i="6"/>
  <c r="X119" i="6"/>
  <c r="W121" i="6"/>
  <c r="Y121" i="6"/>
  <c r="U121" i="6"/>
  <c r="X123" i="6"/>
  <c r="AQ59" i="5" s="1"/>
  <c r="W125" i="6"/>
  <c r="Y125" i="6"/>
  <c r="U125" i="6"/>
  <c r="X127" i="6"/>
  <c r="AQ63" i="5" s="1"/>
  <c r="W129" i="6"/>
  <c r="Y129" i="6"/>
  <c r="U129" i="6"/>
  <c r="X131" i="6"/>
  <c r="AQ67" i="5" s="1"/>
  <c r="W133" i="6"/>
  <c r="Y133" i="6"/>
  <c r="U133" i="6"/>
  <c r="X135" i="6"/>
  <c r="AQ71" i="5" s="1"/>
  <c r="W137" i="6"/>
  <c r="Y137" i="6"/>
  <c r="U137" i="6"/>
  <c r="X139" i="6"/>
  <c r="AQ75" i="5" s="1"/>
  <c r="Y141" i="6"/>
  <c r="W141" i="6"/>
  <c r="U141" i="6"/>
  <c r="W153" i="6"/>
  <c r="Y153" i="6"/>
  <c r="U153" i="6"/>
  <c r="V153" i="6"/>
  <c r="W155" i="6"/>
  <c r="Y155" i="6"/>
  <c r="AQ91" i="5" s="1"/>
  <c r="T347" i="5" s="1"/>
  <c r="L351" i="5" s="1"/>
  <c r="U155" i="6"/>
  <c r="V155" i="6"/>
  <c r="O3" i="7"/>
  <c r="U98" i="6"/>
  <c r="Y100" i="6"/>
  <c r="U100" i="6"/>
  <c r="W100" i="6"/>
  <c r="V101" i="6"/>
  <c r="Y104" i="6"/>
  <c r="U104" i="6"/>
  <c r="W104" i="6"/>
  <c r="V105" i="6"/>
  <c r="Y108" i="6"/>
  <c r="U108" i="6"/>
  <c r="W108" i="6"/>
  <c r="V109" i="6"/>
  <c r="Y112" i="6"/>
  <c r="U112" i="6"/>
  <c r="W112" i="6"/>
  <c r="V113" i="6"/>
  <c r="Y116" i="6"/>
  <c r="U116" i="6"/>
  <c r="W116" i="6"/>
  <c r="V117" i="6"/>
  <c r="Y120" i="6"/>
  <c r="U120" i="6"/>
  <c r="W120" i="6"/>
  <c r="V121" i="6"/>
  <c r="Y124" i="6"/>
  <c r="U124" i="6"/>
  <c r="W124" i="6"/>
  <c r="V125" i="6"/>
  <c r="Y128" i="6"/>
  <c r="U128" i="6"/>
  <c r="W128" i="6"/>
  <c r="V129" i="6"/>
  <c r="Y132" i="6"/>
  <c r="U132" i="6"/>
  <c r="W132" i="6"/>
  <c r="V133" i="6"/>
  <c r="Y136" i="6"/>
  <c r="U136" i="6"/>
  <c r="W136" i="6"/>
  <c r="V137" i="6"/>
  <c r="Y140" i="6"/>
  <c r="U140" i="6"/>
  <c r="W140" i="6"/>
  <c r="V141" i="6"/>
  <c r="W143" i="6"/>
  <c r="Y143" i="6"/>
  <c r="U143" i="6"/>
  <c r="V143" i="6"/>
  <c r="X153" i="6"/>
  <c r="AQ89" i="5" s="1"/>
  <c r="T341" i="5" s="1"/>
  <c r="H355" i="5" s="1"/>
  <c r="I355" i="5" s="1"/>
  <c r="X155" i="6"/>
  <c r="W157" i="6"/>
  <c r="Y157" i="6"/>
  <c r="AQ93" i="5" s="1"/>
  <c r="U157" i="6"/>
  <c r="V157" i="6"/>
  <c r="W159" i="6"/>
  <c r="Y159" i="6"/>
  <c r="AQ95" i="5" s="1"/>
  <c r="U159" i="6"/>
  <c r="V159" i="6"/>
  <c r="Y142" i="6"/>
  <c r="U142" i="6"/>
  <c r="W142" i="6"/>
  <c r="Y146" i="6"/>
  <c r="U146" i="6"/>
  <c r="W146" i="6"/>
  <c r="Y150" i="6"/>
  <c r="U150" i="6"/>
  <c r="W150" i="6"/>
  <c r="Y154" i="6"/>
  <c r="U154" i="6"/>
  <c r="W154" i="6"/>
  <c r="Y158" i="6"/>
  <c r="AQ94" i="5" s="1"/>
  <c r="U158" i="6"/>
  <c r="W158" i="6"/>
  <c r="Y162" i="6"/>
  <c r="AQ98" i="5" s="1"/>
  <c r="U162" i="6"/>
  <c r="W162" i="6"/>
  <c r="Y166" i="6"/>
  <c r="AQ102" i="5" s="1"/>
  <c r="U166" i="6"/>
  <c r="W166" i="6"/>
  <c r="Y170" i="6"/>
  <c r="AQ106" i="5" s="1"/>
  <c r="U170" i="6"/>
  <c r="W170" i="6"/>
  <c r="Y174" i="6"/>
  <c r="AQ110" i="5" s="1"/>
  <c r="U174" i="6"/>
  <c r="W174" i="6"/>
  <c r="Y178" i="6"/>
  <c r="AQ114" i="5" s="1"/>
  <c r="U178" i="6"/>
  <c r="W178" i="6"/>
  <c r="Y182" i="6"/>
  <c r="AQ118" i="5" s="1"/>
  <c r="U182" i="6"/>
  <c r="W182" i="6"/>
  <c r="W165" i="6"/>
  <c r="Y165" i="6"/>
  <c r="AQ101" i="5" s="1"/>
  <c r="U165" i="6"/>
  <c r="W169" i="6"/>
  <c r="Y169" i="6"/>
  <c r="AQ105" i="5" s="1"/>
  <c r="U169" i="6"/>
  <c r="W173" i="6"/>
  <c r="Y173" i="6"/>
  <c r="AQ109" i="5" s="1"/>
  <c r="U173" i="6"/>
  <c r="W177" i="6"/>
  <c r="Y177" i="6"/>
  <c r="AQ113" i="5" s="1"/>
  <c r="U177" i="6"/>
  <c r="W181" i="6"/>
  <c r="Y181" i="6"/>
  <c r="AQ117" i="5" s="1"/>
  <c r="U181" i="6"/>
  <c r="V185" i="6"/>
  <c r="X185" i="6"/>
  <c r="U185" i="6"/>
  <c r="V187" i="6"/>
  <c r="U187" i="6"/>
  <c r="X187" i="6"/>
  <c r="V189" i="6"/>
  <c r="X189" i="6"/>
  <c r="U189" i="6"/>
  <c r="V191" i="6"/>
  <c r="U191" i="6"/>
  <c r="X191" i="6"/>
  <c r="V193" i="6"/>
  <c r="X193" i="6"/>
  <c r="U193" i="6"/>
  <c r="T8" i="7"/>
  <c r="U8" i="7" s="1"/>
  <c r="T7" i="7"/>
  <c r="U7" i="7" s="1"/>
  <c r="T4" i="7"/>
  <c r="S3" i="7"/>
  <c r="X142" i="6"/>
  <c r="AQ78" i="5" s="1"/>
  <c r="Y144" i="6"/>
  <c r="U144" i="6"/>
  <c r="W144" i="6"/>
  <c r="X146" i="6"/>
  <c r="AQ82" i="5" s="1"/>
  <c r="Y148" i="6"/>
  <c r="U148" i="6"/>
  <c r="W148" i="6"/>
  <c r="X150" i="6"/>
  <c r="AQ86" i="5" s="1"/>
  <c r="Y152" i="6"/>
  <c r="U152" i="6"/>
  <c r="W152" i="6"/>
  <c r="X154" i="6"/>
  <c r="AQ90" i="5" s="1"/>
  <c r="T342" i="5" s="1"/>
  <c r="H356" i="5" s="1"/>
  <c r="Y156" i="6"/>
  <c r="AQ92" i="5" s="1"/>
  <c r="U156" i="6"/>
  <c r="W156" i="6"/>
  <c r="X158" i="6"/>
  <c r="Y160" i="6"/>
  <c r="AQ96" i="5" s="1"/>
  <c r="U160" i="6"/>
  <c r="W160" i="6"/>
  <c r="X162" i="6"/>
  <c r="Y164" i="6"/>
  <c r="AQ100" i="5" s="1"/>
  <c r="U164" i="6"/>
  <c r="W164" i="6"/>
  <c r="V165" i="6"/>
  <c r="X166" i="6"/>
  <c r="Y168" i="6"/>
  <c r="AQ104" i="5" s="1"/>
  <c r="U168" i="6"/>
  <c r="W168" i="6"/>
  <c r="V169" i="6"/>
  <c r="X170" i="6"/>
  <c r="Y172" i="6"/>
  <c r="AQ108" i="5" s="1"/>
  <c r="U172" i="6"/>
  <c r="W172" i="6"/>
  <c r="V173" i="6"/>
  <c r="X174" i="6"/>
  <c r="Y176" i="6"/>
  <c r="AQ112" i="5" s="1"/>
  <c r="U176" i="6"/>
  <c r="W176" i="6"/>
  <c r="V177" i="6"/>
  <c r="X178" i="6"/>
  <c r="Y180" i="6"/>
  <c r="AQ116" i="5" s="1"/>
  <c r="U180" i="6"/>
  <c r="W180" i="6"/>
  <c r="V181" i="6"/>
  <c r="X182" i="6"/>
  <c r="Y184" i="6"/>
  <c r="AQ120" i="5" s="1"/>
  <c r="U184" i="6"/>
  <c r="W184" i="6"/>
  <c r="W185" i="6"/>
  <c r="W187" i="6"/>
  <c r="W189" i="6"/>
  <c r="W191" i="6"/>
  <c r="W193" i="6"/>
  <c r="T3" i="7"/>
  <c r="C4" i="7"/>
  <c r="D7" i="7"/>
  <c r="E7" i="7" s="1"/>
  <c r="D8" i="7"/>
  <c r="E8" i="7" s="1"/>
  <c r="O27" i="7"/>
  <c r="D3" i="7"/>
  <c r="D4" i="7"/>
  <c r="K11" i="7"/>
  <c r="D16" i="7"/>
  <c r="E16" i="7" s="1"/>
  <c r="T16" i="7"/>
  <c r="U16" i="7" s="1"/>
  <c r="K19" i="7"/>
  <c r="D24" i="7"/>
  <c r="E24" i="7" s="1"/>
  <c r="T24" i="7"/>
  <c r="U24" i="7" s="1"/>
  <c r="K27" i="7"/>
  <c r="D32" i="7"/>
  <c r="E32" i="7" s="1"/>
  <c r="T32" i="7"/>
  <c r="U32" i="7" s="1"/>
  <c r="C35" i="7"/>
  <c r="D39" i="7"/>
  <c r="E39" i="7" s="1"/>
  <c r="T39" i="7"/>
  <c r="U39" i="7" s="1"/>
  <c r="T40" i="7"/>
  <c r="U40" i="7" s="1"/>
  <c r="L11" i="7"/>
  <c r="O11" i="7" s="1"/>
  <c r="L19" i="7"/>
  <c r="O19" i="7" s="1"/>
  <c r="D28" i="7"/>
  <c r="G27" i="7" s="1"/>
  <c r="T28" i="7"/>
  <c r="W27" i="7" s="1"/>
  <c r="D35" i="7"/>
  <c r="G35" i="7" s="1"/>
  <c r="B31" i="7" l="1"/>
  <c r="A31" i="7"/>
  <c r="C88" i="6"/>
  <c r="T386" i="5"/>
  <c r="R31" i="7"/>
  <c r="Q31" i="7"/>
  <c r="I88" i="6"/>
  <c r="T399" i="5"/>
  <c r="J23" i="7"/>
  <c r="I23" i="7"/>
  <c r="F87" i="6"/>
  <c r="W386" i="5"/>
  <c r="G19" i="7"/>
  <c r="M351" i="5"/>
  <c r="M358" i="5" s="1"/>
  <c r="F371" i="5"/>
  <c r="W373" i="5"/>
  <c r="AD87" i="5"/>
  <c r="H323" i="5"/>
  <c r="T316" i="5"/>
  <c r="H324" i="5" s="1"/>
  <c r="X279" i="5"/>
  <c r="I298" i="5"/>
  <c r="U284" i="5"/>
  <c r="I299" i="5" s="1"/>
  <c r="U373" i="5"/>
  <c r="U364" i="5"/>
  <c r="E79" i="6"/>
  <c r="E81" i="6" s="1"/>
  <c r="H79" i="6"/>
  <c r="L319" i="5"/>
  <c r="X313" i="5"/>
  <c r="P79" i="6"/>
  <c r="P78" i="6"/>
  <c r="O52" i="5"/>
  <c r="K149" i="5"/>
  <c r="W219" i="5"/>
  <c r="I195" i="5"/>
  <c r="H184" i="5"/>
  <c r="T172" i="5"/>
  <c r="H187" i="5" s="1"/>
  <c r="F182" i="5"/>
  <c r="R171" i="5"/>
  <c r="F186" i="5" s="1"/>
  <c r="H195" i="5"/>
  <c r="S172" i="5"/>
  <c r="G187" i="5" s="1"/>
  <c r="G184" i="5"/>
  <c r="Q171" i="5"/>
  <c r="E186" i="5" s="1"/>
  <c r="E182" i="5"/>
  <c r="G195" i="5"/>
  <c r="F184" i="5"/>
  <c r="R172" i="5"/>
  <c r="F187" i="5" s="1"/>
  <c r="P171" i="5"/>
  <c r="D186" i="5" s="1"/>
  <c r="D182" i="5"/>
  <c r="J7" i="7"/>
  <c r="I7" i="7"/>
  <c r="F85" i="6"/>
  <c r="U386" i="5"/>
  <c r="M354" i="5"/>
  <c r="I356" i="5"/>
  <c r="W363" i="5"/>
  <c r="F372" i="5" s="1"/>
  <c r="M352" i="5"/>
  <c r="T269" i="5"/>
  <c r="H285" i="5" s="1"/>
  <c r="H284" i="5"/>
  <c r="I184" i="5"/>
  <c r="U172" i="5"/>
  <c r="I187" i="5" s="1"/>
  <c r="S171" i="5"/>
  <c r="G186" i="5" s="1"/>
  <c r="G188" i="5" s="1"/>
  <c r="G182" i="5"/>
  <c r="L347" i="5"/>
  <c r="M75" i="6"/>
  <c r="E195" i="5"/>
  <c r="D184" i="5"/>
  <c r="P172" i="5"/>
  <c r="D187" i="5" s="1"/>
  <c r="D195" i="5"/>
  <c r="J80" i="6"/>
  <c r="J79" i="6"/>
  <c r="W225" i="5"/>
  <c r="J217" i="5" s="1"/>
  <c r="D10" i="10"/>
  <c r="G73" i="6"/>
  <c r="J391" i="5"/>
  <c r="X381" i="5"/>
  <c r="B29" i="10" s="1"/>
  <c r="I391" i="5"/>
  <c r="W381" i="5"/>
  <c r="B28" i="10" s="1"/>
  <c r="H391" i="5"/>
  <c r="V381" i="5"/>
  <c r="B27" i="10" s="1"/>
  <c r="H346" i="5"/>
  <c r="K391" i="5"/>
  <c r="U381" i="5"/>
  <c r="B26" i="10" s="1"/>
  <c r="B39" i="7"/>
  <c r="A39" i="7"/>
  <c r="C89" i="6"/>
  <c r="G3" i="7"/>
  <c r="W11" i="7"/>
  <c r="W35" i="7"/>
  <c r="V373" i="5"/>
  <c r="E384" i="5" s="1"/>
  <c r="V364" i="5"/>
  <c r="E373" i="5" s="1"/>
  <c r="E374" i="5" s="1"/>
  <c r="E371" i="5"/>
  <c r="I312" i="5"/>
  <c r="U304" i="5"/>
  <c r="I313" i="5" s="1"/>
  <c r="X299" i="5"/>
  <c r="I242" i="5"/>
  <c r="H242" i="5"/>
  <c r="T304" i="5"/>
  <c r="H313" i="5" s="1"/>
  <c r="H312" i="5"/>
  <c r="I247" i="5"/>
  <c r="H247" i="5"/>
  <c r="E184" i="5"/>
  <c r="Q172" i="5"/>
  <c r="E187" i="5" s="1"/>
  <c r="E80" i="6"/>
  <c r="F10" i="10"/>
  <c r="G399" i="5"/>
  <c r="M73" i="6"/>
  <c r="E399" i="5"/>
  <c r="H399" i="5"/>
  <c r="S394" i="5"/>
  <c r="B32" i="10" s="1"/>
  <c r="F399" i="5"/>
  <c r="R394" i="5"/>
  <c r="B31" i="10" s="1"/>
  <c r="D399" i="5"/>
  <c r="U394" i="5"/>
  <c r="B34" i="10" s="1"/>
  <c r="Q394" i="5"/>
  <c r="B30" i="10" s="1"/>
  <c r="T394" i="5"/>
  <c r="B33" i="10" s="1"/>
  <c r="X363" i="5"/>
  <c r="G372" i="5" s="1"/>
  <c r="L280" i="5"/>
  <c r="X266" i="5"/>
  <c r="P358" i="5"/>
  <c r="D363" i="5" s="1"/>
  <c r="G374" i="5" s="1"/>
  <c r="P361" i="5"/>
  <c r="P373" i="5"/>
  <c r="P360" i="5"/>
  <c r="P359" i="5"/>
  <c r="P329" i="5"/>
  <c r="J15" i="7"/>
  <c r="I15" i="7"/>
  <c r="F86" i="6"/>
  <c r="V386" i="5"/>
  <c r="W19" i="7"/>
  <c r="J31" i="7"/>
  <c r="I31" i="7"/>
  <c r="F88" i="6"/>
  <c r="X386" i="5"/>
  <c r="W3" i="7"/>
  <c r="G11" i="7"/>
  <c r="D80" i="6"/>
  <c r="D81" i="6"/>
  <c r="J226" i="5"/>
  <c r="W241" i="5"/>
  <c r="J233" i="5" s="1"/>
  <c r="K80" i="6"/>
  <c r="K79" i="6"/>
  <c r="H298" i="5"/>
  <c r="T284" i="5"/>
  <c r="H299" i="5" s="1"/>
  <c r="I245" i="5"/>
  <c r="H245" i="5"/>
  <c r="F195" i="5"/>
  <c r="H219" i="5"/>
  <c r="W224" i="5"/>
  <c r="J216" i="5" s="1"/>
  <c r="W222" i="5"/>
  <c r="J214" i="5" s="1"/>
  <c r="X362" i="5"/>
  <c r="W223" i="5"/>
  <c r="J215" i="5" s="1"/>
  <c r="U171" i="5"/>
  <c r="I186" i="5" s="1"/>
  <c r="I188" i="5" s="1"/>
  <c r="I182" i="5"/>
  <c r="G75" i="6"/>
  <c r="H347" i="5"/>
  <c r="Q361" i="5"/>
  <c r="Q373" i="5"/>
  <c r="Q360" i="5"/>
  <c r="Q359" i="5"/>
  <c r="Q329" i="5"/>
  <c r="Q358" i="5"/>
  <c r="F363" i="5" s="1"/>
  <c r="Q223" i="5"/>
  <c r="E215" i="5" s="1"/>
  <c r="E214" i="5"/>
  <c r="T171" i="5"/>
  <c r="H186" i="5" s="1"/>
  <c r="H188" i="5" s="1"/>
  <c r="H182" i="5"/>
  <c r="B15" i="7" l="1"/>
  <c r="A15" i="7"/>
  <c r="C86" i="6"/>
  <c r="R386" i="5"/>
  <c r="G371" i="5"/>
  <c r="X373" i="5"/>
  <c r="G384" i="5" s="1"/>
  <c r="X364" i="5"/>
  <c r="G373" i="5" s="1"/>
  <c r="AD88" i="5"/>
  <c r="K44" i="2"/>
  <c r="R7" i="7"/>
  <c r="Q7" i="7"/>
  <c r="I85" i="6"/>
  <c r="Q399" i="5"/>
  <c r="B7" i="10"/>
  <c r="L282" i="5"/>
  <c r="X271" i="5"/>
  <c r="L286" i="5" s="1"/>
  <c r="X268" i="5"/>
  <c r="L284" i="5" s="1"/>
  <c r="X272" i="5"/>
  <c r="L287" i="5" s="1"/>
  <c r="AD86" i="5"/>
  <c r="K40" i="2"/>
  <c r="K29" i="1"/>
  <c r="L308" i="5"/>
  <c r="X301" i="5"/>
  <c r="B7" i="7"/>
  <c r="A7" i="7"/>
  <c r="C85" i="6"/>
  <c r="Q386" i="5"/>
  <c r="E188" i="5"/>
  <c r="F188" i="5"/>
  <c r="W364" i="5"/>
  <c r="F373" i="5" s="1"/>
  <c r="F374" i="5" s="1"/>
  <c r="D33" i="10"/>
  <c r="G401" i="5"/>
  <c r="T403" i="5"/>
  <c r="G405" i="5" s="1"/>
  <c r="D25" i="10"/>
  <c r="G393" i="5"/>
  <c r="T390" i="5"/>
  <c r="G397" i="5" s="1"/>
  <c r="J211" i="5"/>
  <c r="W227" i="5"/>
  <c r="J219" i="5" s="1"/>
  <c r="R23" i="7"/>
  <c r="Q23" i="7"/>
  <c r="I87" i="6"/>
  <c r="S399" i="5"/>
  <c r="D27" i="10"/>
  <c r="I393" i="5"/>
  <c r="V390" i="5"/>
  <c r="I397" i="5" s="1"/>
  <c r="R39" i="7"/>
  <c r="I89" i="6"/>
  <c r="Q39" i="7"/>
  <c r="U399" i="5"/>
  <c r="D26" i="10"/>
  <c r="H393" i="5"/>
  <c r="U390" i="5"/>
  <c r="H397" i="5" s="1"/>
  <c r="X317" i="5"/>
  <c r="L325" i="5" s="1"/>
  <c r="X315" i="5"/>
  <c r="L323" i="5" s="1"/>
  <c r="L321" i="5"/>
  <c r="AD91" i="5"/>
  <c r="L294" i="5"/>
  <c r="X281" i="5"/>
  <c r="C19" i="10"/>
  <c r="F384" i="5"/>
  <c r="W376" i="5"/>
  <c r="F387" i="5" s="1"/>
  <c r="B23" i="7"/>
  <c r="A23" i="7"/>
  <c r="C87" i="6"/>
  <c r="S386" i="5"/>
  <c r="D29" i="10"/>
  <c r="K393" i="5"/>
  <c r="X390" i="5"/>
  <c r="K397" i="5" s="1"/>
  <c r="R15" i="7"/>
  <c r="Q15" i="7"/>
  <c r="I86" i="6"/>
  <c r="R399" i="5"/>
  <c r="F91" i="6"/>
  <c r="F90" i="6"/>
  <c r="F89" i="6"/>
  <c r="D188" i="5"/>
  <c r="M57" i="5"/>
  <c r="L57" i="5"/>
  <c r="D28" i="10"/>
  <c r="J393" i="5"/>
  <c r="W390" i="5"/>
  <c r="J397" i="5" s="1"/>
  <c r="D24" i="10" l="1"/>
  <c r="F393" i="5"/>
  <c r="S390" i="5"/>
  <c r="F397" i="5" s="1"/>
  <c r="D31" i="10"/>
  <c r="E401" i="5"/>
  <c r="R403" i="5"/>
  <c r="E405" i="5" s="1"/>
  <c r="I90" i="6"/>
  <c r="I92" i="6"/>
  <c r="I91" i="6"/>
  <c r="D23" i="10"/>
  <c r="E393" i="5"/>
  <c r="R390" i="5"/>
  <c r="E397" i="5" s="1"/>
  <c r="D22" i="10"/>
  <c r="D393" i="5"/>
  <c r="Q390" i="5"/>
  <c r="D397" i="5" s="1"/>
  <c r="L310" i="5"/>
  <c r="X305" i="5"/>
  <c r="L314" i="5" s="1"/>
  <c r="X303" i="5"/>
  <c r="L312" i="5" s="1"/>
  <c r="X318" i="5"/>
  <c r="AD90" i="5"/>
  <c r="B8" i="10"/>
  <c r="L296" i="5"/>
  <c r="X287" i="5"/>
  <c r="L301" i="5" s="1"/>
  <c r="X283" i="5"/>
  <c r="L298" i="5" s="1"/>
  <c r="X286" i="5"/>
  <c r="L300" i="5" s="1"/>
  <c r="AD89" i="5"/>
  <c r="K41" i="2"/>
  <c r="D32" i="10"/>
  <c r="S403" i="5"/>
  <c r="F405" i="5" s="1"/>
  <c r="F401" i="5"/>
  <c r="C92" i="6"/>
  <c r="C91" i="6"/>
  <c r="C90" i="6"/>
  <c r="D34" i="10"/>
  <c r="U403" i="5"/>
  <c r="H405" i="5" s="1"/>
  <c r="H401" i="5"/>
  <c r="D30" i="10"/>
  <c r="Q403" i="5"/>
  <c r="D405" i="5" s="1"/>
  <c r="D401" i="5"/>
  <c r="B9" i="10" l="1"/>
  <c r="L327" i="5"/>
  <c r="AD92" i="5"/>
  <c r="K42" i="2"/>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comments4.xml><?xml version="1.0" encoding="utf-8"?>
<comments xmlns="http://schemas.openxmlformats.org/spreadsheetml/2006/main">
  <authors>
    <author>EM</author>
  </authors>
  <commentList>
    <comment ref="A102" authorId="0" shapeId="0">
      <text>
        <r>
          <rPr>
            <sz val="10"/>
            <color rgb="FF000000"/>
            <rFont val="Arial"/>
            <family val="2"/>
          </rPr>
          <t>Radcal kV correction for W anodes uses a 5</t>
        </r>
        <r>
          <rPr>
            <vertAlign val="superscript"/>
            <sz val="10"/>
            <color rgb="FF000000"/>
            <rFont val="Arial"/>
            <family val="2"/>
          </rPr>
          <t>th</t>
        </r>
        <r>
          <rPr>
            <sz val="10"/>
            <color rgb="FF000000"/>
            <rFont val="Arial"/>
            <family val="2"/>
          </rPr>
          <t xml:space="preserve"> order polynomial divided into two domains.</t>
        </r>
      </text>
    </comment>
    <comment ref="A114" authorId="0" shapeId="0">
      <text>
        <r>
          <rPr>
            <sz val="10"/>
            <color rgb="FF000000"/>
            <rFont val="Arial"/>
            <family val="2"/>
          </rPr>
          <t>Radcal kV correction for W anodes uses a 5</t>
        </r>
        <r>
          <rPr>
            <vertAlign val="superscript"/>
            <sz val="10"/>
            <color rgb="FF000000"/>
            <rFont val="Arial"/>
            <family val="2"/>
          </rPr>
          <t>th</t>
        </r>
        <r>
          <rPr>
            <sz val="10"/>
            <color rgb="FF000000"/>
            <rFont val="Arial"/>
            <family val="2"/>
          </rPr>
          <t xml:space="preserve"> order polynomial divided into two domains.</t>
        </r>
      </text>
    </comment>
  </commentList>
</comments>
</file>

<file path=xl/sharedStrings.xml><?xml version="1.0" encoding="utf-8"?>
<sst xmlns="http://schemas.openxmlformats.org/spreadsheetml/2006/main" count="1909" uniqueCount="700">
  <si>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</si>
  <si>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</si>
  <si>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</si>
  <si>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</si>
  <si>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</si>
  <si>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</si>
  <si>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</si>
  <si>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</si>
  <si>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</si>
  <si>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</si>
  <si>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</si>
  <si>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</si>
  <si>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</si>
  <si>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</si>
  <si>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</si>
  <si>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</si>
  <si>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</si>
  <si>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</si>
  <si>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Location</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</si>
  <si>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</si>
  <si>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</si>
  <si>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</si>
  <si>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</si>
  <si>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</si>
  <si>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</si>
  <si>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</si>
  <si>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</si>
  <si>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</si>
  <si>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</si>
  <si>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</si>
  <si>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</si>
  <si>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</si>
  <si>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</si>
  <si>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</si>
  <si>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</si>
  <si>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</si>
  <si>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</si>
  <si>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mGy</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</si>
  <si>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</si>
  <si>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</si>
  <si>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</si>
  <si>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</si>
  <si>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</si>
  <si>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</si>
  <si>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</si>
  <si>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</si>
  <si>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</si>
  <si>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</si>
  <si>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</si>
  <si>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</si>
  <si>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</si>
  <si>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</si>
  <si>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</si>
  <si>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</si>
  <si>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</si>
  <si>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</si>
  <si>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</si>
  <si>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Manual emergency compression release can be activated in the event of a power failure</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</si>
  <si>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</si>
  <si>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</si>
  <si>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</si>
  <si>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</si>
  <si>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</si>
  <si>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</si>
  <si>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</si>
  <si>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</si>
  <si>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</si>
  <si>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</si>
  <si>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</si>
  <si>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</si>
  <si>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</si>
  <si>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</si>
  <si>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</si>
  <si>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</si>
  <si>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</si>
  <si>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</si>
  <si>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</si>
  <si>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</si>
  <si>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</si>
  <si>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</si>
  <si>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</si>
  <si>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</si>
  <si>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</si>
  <si>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</si>
  <si>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</si>
  <si>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</si>
  <si>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</si>
  <si>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</si>
  <si>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</si>
  <si>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</si>
  <si>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Artifact Evaluation</t>
  </si>
  <si>
    <t>4.</t>
  </si>
  <si>
    <t>Signal-To-Noise and Contrast-To-Noise Measurements</t>
  </si>
  <si>
    <t>5.</t>
  </si>
  <si>
    <t>Phantom Image Quality Evaluation</t>
  </si>
  <si>
    <t>6.</t>
  </si>
  <si>
    <t>Detector Flat-Field Calibration</t>
  </si>
  <si>
    <t>7.</t>
  </si>
  <si>
    <t>Compression Thickness Indicator</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</si>
  <si>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</si>
  <si>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</si>
  <si>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</si>
  <si>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</si>
  <si>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</si>
  <si>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</si>
  <si>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</si>
  <si>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</si>
  <si>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</si>
  <si>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</si>
  <si>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</si>
  <si>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</si>
  <si>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</si>
  <si>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</si>
  <si>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</si>
  <si>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</si>
  <si>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</si>
  <si>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</si>
  <si>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</si>
  <si>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</si>
  <si>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</si>
  <si>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Model:</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</si>
  <si>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</si>
  <si>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</si>
  <si>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</si>
  <si>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</si>
  <si>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</si>
  <si>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</si>
  <si>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</si>
  <si>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</si>
  <si>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</si>
  <si>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</si>
  <si>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</si>
  <si>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</si>
  <si>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</si>
  <si>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</si>
  <si>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</si>
  <si>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</si>
  <si>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</si>
  <si>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</si>
  <si>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</si>
  <si>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</si>
  <si>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</si>
  <si>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</si>
  <si>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</si>
  <si>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</si>
  <si>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</si>
  <si>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</si>
  <si>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</si>
  <si>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</si>
  <si>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</si>
  <si>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</si>
  <si>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</si>
  <si>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</si>
  <si>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</si>
  <si>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</si>
  <si>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</si>
  <si>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</si>
  <si>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</si>
  <si>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</si>
  <si>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</si>
  <si>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</si>
  <si>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</si>
  <si>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</si>
  <si>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</si>
  <si>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</si>
  <si>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</si>
  <si>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</si>
  <si>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</si>
  <si>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</si>
  <si>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</si>
  <si>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</si>
  <si>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</si>
  <si>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</si>
  <si>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</si>
  <si>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</si>
  <si>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</si>
  <si>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</si>
  <si>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</si>
  <si>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</si>
  <si>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</si>
  <si>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</si>
  <si>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</si>
  <si>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</si>
  <si>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</si>
  <si>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</si>
  <si>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</si>
  <si>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</si>
  <si>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</si>
  <si>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</si>
  <si>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</si>
  <si>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</si>
  <si>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</si>
  <si>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</si>
  <si>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</si>
  <si>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</si>
  <si>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</si>
  <si>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</si>
  <si>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</si>
  <si>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</si>
  <si>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</si>
  <si>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</si>
  <si>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</si>
  <si>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</si>
  <si>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</si>
  <si>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</si>
  <si>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</si>
  <si>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Revision 2.0-20160302</t>
  </si>
  <si>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</si>
  <si>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</si>
  <si>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</si>
  <si>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</si>
  <si>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</si>
  <si>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</si>
  <si>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</si>
  <si>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</si>
  <si>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</si>
  <si>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</si>
  <si>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</si>
  <si>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</si>
  <si>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</si>
  <si>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</si>
  <si>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</si>
  <si>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</si>
  <si>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Input Changes Only</t>
  </si>
  <si>
    <t>Inspector</t>
  </si>
  <si>
    <t>kV Set</t>
  </si>
  <si>
    <t>mAs Set</t>
  </si>
  <si>
    <t>Add Filt</t>
  </si>
  <si>
    <t>Target</t>
  </si>
  <si>
    <t>Filter</t>
  </si>
  <si>
    <t>kVp</t>
  </si>
  <si>
    <t>ms</t>
  </si>
  <si>
    <t>Dose (mGy)</t>
  </si>
  <si>
    <t>Dose rate (mGy/s)</t>
  </si>
  <si>
    <t>Corr kV</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</si>
  <si>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</si>
  <si>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</si>
  <si>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</si>
  <si>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</si>
  <si>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</si>
  <si>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</si>
  <si>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</si>
  <si>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</si>
  <si>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</si>
  <si>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</si>
  <si>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</si>
  <si>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</si>
  <si>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</si>
  <si>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Serial Number:</t>
  </si>
  <si>
    <t>Max kVp:</t>
  </si>
  <si>
    <t>Max mA:</t>
  </si>
  <si>
    <t>Accesssion Number:</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</si>
  <si>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</si>
  <si>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</si>
  <si>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</si>
  <si>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</si>
  <si>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</si>
  <si>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</si>
  <si>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</si>
  <si>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</si>
  <si>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</si>
  <si>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</si>
  <si>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</si>
  <si>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</si>
  <si>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</si>
  <si>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</si>
  <si>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</si>
  <si>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</si>
  <si>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</si>
  <si>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</si>
  <si>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</si>
  <si>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</si>
  <si>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</si>
  <si>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</si>
  <si>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</si>
  <si>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</si>
  <si>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</si>
  <si>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</si>
  <si>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</si>
  <si>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</si>
  <si>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</si>
  <si>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</si>
  <si>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</si>
  <si>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</si>
  <si>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</si>
  <si>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</si>
  <si>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</si>
  <si>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</si>
  <si>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</si>
  <si>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Filter 3:</t>
  </si>
  <si>
    <t>Monthly radiation monitoring reports are posted.</t>
  </si>
  <si>
    <t>Rule Number</t>
  </si>
  <si>
    <t>Compliance</t>
  </si>
  <si>
    <t>Added</t>
  </si>
  <si>
    <t>DHEC RHB 2.5.1.1</t>
  </si>
  <si>
    <t>Mammography Unit Assembly Evaluation</t>
  </si>
  <si>
    <t>DHEC RHB 10.2.1</t>
  </si>
  <si>
    <t>Free-standing unit is mechanically stable</t>
  </si>
  <si>
    <t>DHEC RHB 4.3.1</t>
  </si>
  <si>
    <t>All moving parts move smoothly, without obstructions to motion</t>
  </si>
  <si>
    <t>Target/Filter:</t>
  </si>
  <si>
    <t>All locks and detents work properly</t>
  </si>
  <si>
    <t>kVp:</t>
  </si>
  <si>
    <t>Image receptor holder assembly is free from vibrations</t>
  </si>
  <si>
    <t>Density:</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</si>
  <si>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</si>
  <si>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</si>
  <si>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</si>
  <si>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</si>
  <si>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</si>
  <si>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</si>
  <si>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</si>
  <si>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</si>
  <si>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</si>
  <si>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</si>
  <si>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</si>
  <si>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</si>
  <si>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</si>
  <si>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</si>
  <si>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</si>
  <si>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</si>
  <si>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</si>
  <si>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</si>
  <si>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</si>
  <si>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</si>
  <si>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</si>
  <si>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</si>
  <si>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</si>
  <si>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</si>
  <si>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</si>
  <si>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</si>
  <si>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</si>
  <si>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</si>
  <si>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</si>
  <si>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</si>
  <si>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</si>
  <si>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</si>
  <si>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</si>
  <si>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</si>
  <si>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</si>
  <si>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</si>
  <si>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</si>
  <si>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</si>
  <si>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</si>
  <si>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</si>
  <si>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</si>
  <si>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</si>
  <si>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</si>
  <si>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</si>
  <si>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</si>
  <si>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</si>
  <si>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</si>
  <si>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</si>
  <si>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</si>
  <si>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</si>
  <si>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</si>
  <si>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</si>
  <si>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</si>
  <si>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</si>
  <si>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</si>
  <si>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</si>
  <si>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</si>
  <si>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2D MGD:</t>
  </si>
  <si>
    <t>900.12(b)(8)(iiB)</t>
  </si>
  <si>
    <t>Selected position of the AEC sensor is clearly indicated</t>
  </si>
  <si>
    <t>mGy/mAs:</t>
  </si>
  <si>
    <t>900.12(b)(8)(iiC)</t>
  </si>
  <si>
    <t>AEC density control setting is provided</t>
  </si>
  <si>
    <t>mGy/s:</t>
  </si>
  <si>
    <t>900.12(b)(8)(iiD)</t>
  </si>
  <si>
    <t>Chest wall edge of the compression paddle is straight and parallel to receptor</t>
  </si>
  <si>
    <t>X-ray film used is appropriate for mammography</t>
  </si>
  <si>
    <t>3D MGD:</t>
  </si>
  <si>
    <t>900.12(b)(8)(iiE)</t>
  </si>
  <si>
    <t>Chest wall edge may be bent upwards and does not appear in the image</t>
  </si>
  <si>
    <t>Intensifying screens used are appropriate for mammography and matched to the film used</t>
  </si>
  <si>
    <t>Combo 2D MGD:</t>
  </si>
  <si>
    <t>Film processing chemicals are appropriate for the film being used</t>
  </si>
  <si>
    <t>Combo 3D MGD:</t>
  </si>
  <si>
    <t>900.12(b)(9i)</t>
  </si>
  <si>
    <t>Lights for film illumination i.e. hot lights are available</t>
  </si>
  <si>
    <t>Combo 2D+3D MGD:</t>
  </si>
  <si>
    <t>900.12(b)(9ii)</t>
  </si>
  <si>
    <t>Film masking devices are available to all interpreting physicians</t>
  </si>
  <si>
    <t>System Resolution</t>
  </si>
  <si>
    <t>900.12(b)(9iii)</t>
  </si>
  <si>
    <t>900.12(b)(10i)</t>
  </si>
  <si>
    <t>Mammography Phototimer Technique Chart</t>
  </si>
  <si>
    <t>900.12(b)(10ii)</t>
  </si>
  <si>
    <t>Image Quality (Printer)</t>
  </si>
  <si>
    <t>900.12(b)(10iii)</t>
  </si>
  <si>
    <t>kV:</t>
  </si>
  <si>
    <t>900.12(b)(11)</t>
  </si>
  <si>
    <t>mA:</t>
  </si>
  <si>
    <t>900.12(b)(12)</t>
  </si>
  <si>
    <t>Intensifying screens used are appropriate for mammography and matched to film</t>
  </si>
  <si>
    <t>Bkg Density:</t>
  </si>
  <si>
    <t>900.12(b)(13)</t>
  </si>
  <si>
    <t>Inside disk:</t>
  </si>
  <si>
    <t>900.12(b)(14)</t>
  </si>
  <si>
    <t>Outside disk:</t>
  </si>
  <si>
    <t>900.12(b)(15)</t>
  </si>
  <si>
    <t>Difference:</t>
  </si>
  <si>
    <t>Comments</t>
  </si>
  <si>
    <t>Fibers:</t>
  </si>
  <si>
    <t>Specks:</t>
  </si>
  <si>
    <t>Masses:</t>
  </si>
  <si>
    <t>Image Quality (Acq Unit)</t>
  </si>
  <si>
    <t>2D kV:</t>
  </si>
  <si>
    <t>Exp Ind:</t>
  </si>
  <si>
    <t>Compression Force Indicator</t>
  </si>
  <si>
    <t>Indicated</t>
  </si>
  <si>
    <t>Measured</t>
  </si>
  <si>
    <t>After 20s</t>
  </si>
  <si>
    <t>Slip</t>
  </si>
  <si>
    <t>Mag kV:</t>
  </si>
  <si>
    <t>Power</t>
  </si>
  <si>
    <t>Manual</t>
  </si>
  <si>
    <t>Criteria:</t>
  </si>
  <si>
    <t>Minimum compression force – 25 lbs</t>
  </si>
  <si>
    <t>Maximum compression force – 45 lbs</t>
  </si>
  <si>
    <t>3D kV:</t>
  </si>
  <si>
    <t>BR-12 (cm)</t>
  </si>
  <si>
    <t>Difference</t>
  </si>
  <si>
    <t>Mean:</t>
  </si>
  <si>
    <t>StDev:</t>
  </si>
  <si>
    <t>Difference between indicated and actual thickness is ± 5mm</t>
  </si>
  <si>
    <t>SNR:</t>
  </si>
  <si>
    <t>CNR:</t>
  </si>
  <si>
    <t>Comment Page 1</t>
  </si>
  <si>
    <t>Paddle flex is less than 1 cm</t>
  </si>
  <si>
    <t>Compression thickness indicator:</t>
  </si>
  <si>
    <t>Overall unit assembly</t>
  </si>
  <si>
    <t>Focal spot:</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</si>
  <si>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</si>
  <si>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</si>
  <si>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</si>
  <si>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</si>
  <si>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</si>
  <si>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</si>
  <si>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</si>
  <si>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</si>
  <si>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</si>
  <si>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</si>
  <si>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</si>
  <si>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</si>
  <si>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</si>
  <si>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</si>
  <si>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</si>
  <si>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</si>
  <si>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</si>
  <si>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</si>
  <si>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</si>
  <si>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</si>
  <si>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</si>
  <si>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</si>
  <si>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</si>
  <si>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</si>
  <si>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</si>
  <si>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</si>
  <si>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</si>
  <si>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</si>
  <si>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</si>
  <si>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</si>
  <si>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</si>
  <si>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</si>
  <si>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</si>
  <si>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</si>
  <si>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</si>
  <si>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</si>
  <si>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</si>
  <si>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</si>
  <si>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</si>
  <si>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</si>
  <si>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</si>
  <si>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</si>
  <si>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</si>
  <si>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</si>
  <si>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</si>
  <si>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</si>
  <si>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</si>
  <si>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</si>
  <si>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</si>
  <si>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</si>
  <si>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</si>
  <si>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</si>
  <si>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</si>
  <si>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</si>
  <si>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Mode (2D/3D):</t>
  </si>
  <si>
    <t>AEC Mode:</t>
  </si>
  <si>
    <t>AEC Position:</t>
  </si>
  <si>
    <t>Reported</t>
  </si>
  <si>
    <t>lp/mm:</t>
  </si>
  <si>
    <t>(cm)</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</si>
  <si>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</si>
  <si>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</si>
  <si>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</si>
  <si>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</si>
  <si>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</si>
  <si>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</si>
  <si>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</si>
  <si>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</si>
  <si>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</si>
  <si>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</si>
  <si>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</si>
  <si>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</si>
  <si>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</si>
  <si>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</si>
  <si>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</si>
  <si>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</si>
  <si>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</si>
  <si>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</si>
  <si>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</si>
  <si>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Selenia</t>
  </si>
  <si>
    <t>Selenia Dimensions</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</si>
  <si>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</si>
  <si>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</si>
  <si>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</si>
  <si>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</si>
  <si>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</si>
  <si>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</si>
  <si>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</si>
  <si>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</si>
  <si>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</si>
  <si>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</si>
  <si>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</si>
  <si>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Workstation:</t>
  </si>
  <si>
    <t>Background Density:</t>
  </si>
  <si>
    <t>Air KERMA</t>
  </si>
  <si>
    <t>Time (s)</t>
  </si>
  <si>
    <t>(mGy)</t>
  </si>
  <si>
    <t>HVL:</t>
  </si>
  <si>
    <t>ESE (mGy):</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</si>
  <si>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</si>
  <si>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</si>
  <si>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</si>
  <si>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</si>
  <si>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</si>
  <si>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</si>
  <si>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</si>
  <si>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</si>
  <si>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</si>
  <si>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</si>
  <si>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</si>
  <si>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</si>
  <si>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</si>
  <si>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</si>
  <si>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</si>
  <si>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</si>
  <si>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</si>
  <si>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</si>
  <si>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</si>
  <si>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</si>
  <si>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</si>
  <si>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</si>
  <si>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</si>
  <si>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</si>
  <si>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mGy/mAs</t>
  </si>
  <si>
    <t>Combo MGD:</t>
  </si>
  <si>
    <t>Signal to Noise Ratio/Contrast to Noise Ratio</t>
  </si>
  <si>
    <t>Current</t>
  </si>
  <si>
    <t>Previous</t>
  </si>
  <si>
    <t>kV accuracy is &lt;= 5%</t>
  </si>
  <si>
    <t>SNR must be &gt;= 40</t>
  </si>
  <si>
    <t>CNR does not change by more than 15%</t>
  </si>
  <si>
    <t>SN:</t>
  </si>
  <si>
    <t>kVp Accuracy</t>
  </si>
  <si>
    <t>Error (%)</t>
  </si>
  <si>
    <t>kV, Exposure, and Output Reproducibility</t>
  </si>
  <si>
    <t>kVp accurate to within 5% of indicated</t>
  </si>
  <si>
    <t>kVp and Output Reproducibility</t>
  </si>
  <si>
    <t>Std Dev:</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</si>
  <si>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</si>
  <si>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</si>
  <si>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</si>
  <si>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</si>
  <si>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</si>
  <si>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</si>
  <si>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</si>
  <si>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</si>
  <si>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</si>
  <si>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</si>
  <si>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</si>
  <si>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</si>
  <si>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</si>
  <si>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</si>
  <si>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</si>
  <si>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</si>
  <si>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</si>
  <si>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</si>
  <si>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</si>
  <si>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</si>
  <si>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</si>
  <si>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</si>
  <si>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</si>
  <si>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</si>
  <si>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</si>
  <si>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</si>
  <si>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</si>
  <si>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</si>
  <si>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</si>
  <si>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</si>
  <si>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</si>
  <si>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</si>
  <si>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</si>
  <si>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</si>
  <si>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</si>
  <si>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</si>
  <si>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</si>
  <si>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</si>
  <si>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</si>
  <si>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</si>
  <si>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</si>
  <si>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</si>
  <si>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</si>
  <si>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</si>
  <si>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</si>
  <si>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</si>
  <si>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</si>
  <si>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</si>
  <si>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Dimension</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</si>
  <si>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</si>
  <si>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</si>
  <si>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</si>
  <si>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</si>
  <si>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</si>
  <si>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</si>
  <si>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</si>
  <si>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</si>
  <si>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</si>
  <si>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</si>
  <si>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</si>
  <si>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</si>
  <si>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</si>
  <si>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</si>
  <si>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</si>
  <si>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</si>
  <si>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</si>
  <si>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</si>
  <si>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</si>
  <si>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</si>
  <si>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</si>
  <si>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</si>
  <si>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</si>
  <si>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</si>
  <si>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</si>
  <si>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</si>
  <si>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</si>
  <si>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</si>
  <si>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</si>
  <si>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</si>
  <si>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</si>
  <si>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</si>
  <si>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</si>
  <si>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</si>
  <si>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</si>
  <si>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</si>
  <si>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</si>
  <si>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</si>
  <si>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</si>
  <si>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</si>
  <si>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</si>
  <si>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</si>
  <si>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</si>
  <si>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</si>
  <si>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</si>
  <si>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</si>
  <si>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</si>
  <si>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</si>
  <si>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</si>
  <si>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</si>
  <si>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</si>
  <si>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</si>
  <si>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</si>
  <si>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</si>
  <si>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</si>
  <si>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</si>
  <si>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</si>
  <si>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</si>
  <si>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</si>
  <si>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</si>
  <si>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</si>
  <si>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</si>
  <si>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</si>
  <si>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</si>
  <si>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</si>
  <si>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</si>
  <si>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Sheet</t>
  </si>
  <si>
    <t>MAMMO_HOL</t>
  </si>
  <si>
    <t>Light field</t>
  </si>
  <si>
    <t>Resolution</t>
  </si>
  <si>
    <t>2D MGD</t>
  </si>
  <si>
    <t>3D MGD</t>
  </si>
  <si>
    <t>Combo MGD</t>
  </si>
  <si>
    <t>Output</t>
  </si>
  <si>
    <t>Linearity</t>
  </si>
  <si>
    <t>Acq</t>
  </si>
  <si>
    <t>SNR</t>
  </si>
  <si>
    <t>CNR</t>
  </si>
  <si>
    <t>SurveyID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</si>
</sst>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409]#,##0.00;[Red]\-[$$-409]#,##0.00"/>
    <numFmt numFmtId="166" formatCode="dd\-mmm\-yyyy"/>
    <numFmt numFmtId="167" formatCode="mmm\-yyyy"/>
    <numFmt numFmtId="168" formatCode="mm/dd/yy"/>
    <numFmt numFmtId="169" formatCode="0.0"/>
    <numFmt numFmtId="170" formatCode="m/d/yyyy"/>
    <numFmt numFmtId="171" formatCode="dd\-mmm\-yy"/>
    <numFmt numFmtId="172" formatCode="0.00E+000"/>
    <numFmt numFmtId="173" formatCode="0.000"/>
    <numFmt numFmtId="174" formatCode="&quot;TRUE&quot;;&quot;TRUE&quot;;&quot;FALSE&quot;"/>
    <numFmt numFmtId="175" formatCode="0.0%"/>
    <numFmt numFmtId="176" formatCode="0.000000"/>
    <numFmt numFmtId="177" formatCode="0.000#"/>
  </numFmts>
  <fonts count="47">
    <font>
      <sz val="11"/>
      <color rgb="FF000000"/>
      <name val="Arial1"/>
    </font>
    <font>
      <sz val="10"/>
      <name val="Arial"/>
      <family val="2"/>
    </font>
    <font>
      <b/>
      <i/>
      <u/>
      <sz val="11"/>
      <color rgb="FF000000"/>
      <name val="Arial1"/>
    </font>
    <font>
      <sz val="10"/>
      <name val="Arial"/>
      <family val="2"/>
    </font>
    <font>
      <b/>
      <sz val="18"/>
      <name val="Arial"/>
      <family val="2"/>
    </font>
    <font>
      <b/>
      <sz val="12"/>
      <name val="Arial"/>
      <family val="2"/>
    </font>
    <font>
      <sz val="12"/>
      <name val="Arial"/>
      <family val="2"/>
    </font>
    <font>
      <b/>
      <sz val="10"/>
      <name val="Arial"/>
      <family val="2"/>
    </font>
    <font>
      <b/>
      <sz val="20"/>
      <name val="Arial"/>
      <family val="2"/>
    </font>
    <font>
      <sz val="9"/>
      <name val="Arial"/>
      <family val="2"/>
    </font>
    <font>
      <i/>
      <sz val="9"/>
      <name val="Arial"/>
      <family val="2"/>
    </font>
    <font>
      <i/>
      <sz val="10"/>
      <name val="Arial"/>
      <family val="2"/>
    </font>
    <font>
      <b/>
      <sz val="12"/>
      <color rgb="FF000000"/>
      <name val="Arial"/>
      <family val="2"/>
    </font>
    <font>
      <sz val="11"/>
      <name val="Arial"/>
      <family val="2"/>
    </font>
    <font>
      <b/>
      <sz val="11"/>
      <name val="Arial"/>
      <family val="2"/>
    </font>
    <font>
      <b/>
      <sz val="11"/>
      <color rgb="FF000000"/>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sz val="10"/>
      <color rgb="FF000000"/>
      <name val="Arial"/>
      <family val="2"/>
    </font>
    <font>
      <b/>
      <i/>
      <sz val="12"/>
      <name val="Arial"/>
      <family val="2"/>
    </font>
    <font>
      <b/>
      <sz val="9"/>
      <color rgb="FF000000"/>
      <name val="Tahoma"/>
      <family val="2"/>
    </font>
    <font>
      <sz val="11"/>
      <color rgb="FF000000"/>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rgb="FF000000"/>
      <name val="Arial"/>
      <family val="2"/>
    </font>
    <font>
      <sz val="8"/>
      <color rgb="FF000000"/>
      <name val="Arial"/>
      <family val="2"/>
    </font>
    <font>
      <b/>
      <u/>
      <sz val="12"/>
      <color rgb="FF000000"/>
      <name val="Arial"/>
      <family val="2"/>
    </font>
    <font>
      <b/>
      <i/>
      <sz val="16"/>
      <color rgb="FF000000"/>
      <name val="Arial"/>
      <family val="2"/>
    </font>
    <font>
      <b/>
      <i/>
      <sz val="12"/>
      <color rgb="FF000000"/>
      <name val="Arial"/>
      <family val="2"/>
    </font>
    <font>
      <sz val="12"/>
      <color rgb="FFFF0000"/>
      <name val="Arial"/>
      <family val="2"/>
    </font>
    <font>
      <b/>
      <sz val="14"/>
      <color rgb="FF000000"/>
      <name val="Arial"/>
      <family val="2"/>
    </font>
    <font>
      <b/>
      <sz val="10"/>
      <color rgb="FF000000"/>
      <name val="Arial"/>
      <family val="2"/>
    </font>
    <font>
      <u/>
      <sz val="12"/>
      <color rgb="FF000000"/>
      <name val="Arial"/>
      <family val="2"/>
    </font>
    <font>
      <sz val="12"/>
      <color rgb="FF000000"/>
      <name val="Arial1"/>
    </font>
    <font>
      <sz val="10"/>
      <color rgb="FFFF0000"/>
      <name val="Arial"/>
      <family val="2"/>
    </font>
    <font>
      <sz val="6.4"/>
      <color rgb="FF313739"/>
      <name val="Arial"/>
      <family val="2"/>
    </font>
    <font>
      <sz val="10"/>
      <color rgb="FFFF6633"/>
      <name val="Arial"/>
      <family val="2"/>
    </font>
    <font>
      <sz val="8"/>
      <color rgb="FFFF6633"/>
      <name val="Arial"/>
      <family val="2"/>
    </font>
    <font>
      <sz val="8"/>
      <color rgb="FF008080"/>
      <name val="Arial"/>
      <family val="2"/>
    </font>
    <font>
      <vertAlign val="superscript"/>
      <sz val="10"/>
      <color rgb="FF000000"/>
      <name val="Arial"/>
      <family val="2"/>
    </font>
  </fonts>
  <fills count="14">
    <fill>
      <patternFill patternType="none"/>
    </fill>
    <fill>
      <patternFill patternType="gray125"/>
    </fill>
    <fill>
      <patternFill patternType="solid">
        <fgColor rgb="FFFFFFFF"/>
        <bgColor rgb="FFE5FFFF"/>
      </patternFill>
    </fill>
    <fill>
      <patternFill patternType="solid">
        <fgColor rgb="FF23B8DC"/>
        <bgColor rgb="FF00CCFF"/>
      </patternFill>
    </fill>
    <fill>
      <patternFill patternType="solid">
        <fgColor rgb="FFE6E6E6"/>
        <bgColor rgb="FFE3E3E3"/>
      </patternFill>
    </fill>
    <fill>
      <patternFill patternType="solid">
        <fgColor rgb="FFCFE7F5"/>
        <bgColor rgb="FFE3E3E3"/>
      </patternFill>
    </fill>
    <fill>
      <patternFill patternType="solid">
        <fgColor rgb="FFFFFF99"/>
        <bgColor rgb="FFCCFFCC"/>
      </patternFill>
    </fill>
    <fill>
      <patternFill patternType="solid">
        <fgColor rgb="FFCCCCCC"/>
        <bgColor rgb="FFE3E3E3"/>
      </patternFill>
    </fill>
    <fill>
      <patternFill patternType="solid">
        <fgColor rgb="FF99FFFF"/>
        <bgColor rgb="FFB4FFFF"/>
      </patternFill>
    </fill>
    <fill>
      <patternFill patternType="solid">
        <fgColor rgb="FFB4FFFF"/>
        <bgColor rgb="FF99FFFF"/>
      </patternFill>
    </fill>
    <fill>
      <patternFill patternType="solid">
        <fgColor rgb="FF00FFFF"/>
        <bgColor rgb="FF00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67">
    <border>
      <left/>
      <right/>
      <top/>
      <bottom/>
      <diagonal/>
    </border>
    <border>
      <left style="thin">
        <color auto="1"/>
      </left>
      <right style="thin">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auto="1"/>
      </left>
      <right style="thin">
        <color auto="1"/>
      </right>
      <top style="double">
        <color auto="1"/>
      </top>
      <bottom style="thin">
        <color auto="1"/>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double">
        <color auto="1"/>
      </right>
      <top style="medium">
        <color auto="1"/>
      </top>
      <bottom style="medium">
        <color auto="1"/>
      </bottom>
      <diagonal/>
    </border>
    <border>
      <left style="thin">
        <color auto="1"/>
      </left>
      <right style="thin">
        <color auto="1"/>
      </right>
      <top style="thin">
        <color auto="1"/>
      </top>
      <bottom style="hair">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right style="hair">
        <color auto="1"/>
      </right>
      <top style="hair">
        <color auto="1"/>
      </top>
      <bottom style="hair">
        <color auto="1"/>
      </bottom>
      <diagonal/>
    </border>
  </borders>
  <cellStyleXfs count="2">
    <xf numFmtId="0" fontId="0" fillId="0" borderId="0">
      <alignment vertical="top"/>
    </xf>
    <xf numFmtId="164" fontId="2" fillId="0" borderId="0">
      <alignment vertical="top"/>
    </xf>
  </cellStyleXfs>
  <cellXfs count="699">
    <xf numFmtId="0" fontId="0" fillId="0" borderId="0" xfId="0">
      <alignment vertical="top"/>
    </xf>
    <xf numFmtId="0" fontId="11" fillId="0" borderId="0" xfId="0" applyFont="1" applyBorder="1" applyAlignment="1">
      <alignment horizontal="center" vertical="center"/>
    </xf>
    <xf numFmtId="0" fontId="4" fillId="0" borderId="0" xfId="0" applyFont="1" applyBorder="1" applyAlignment="1">
      <alignment horizontal="center" vertical="center"/>
    </xf>
    <xf numFmtId="0" fontId="11" fillId="0" borderId="0" xfId="0" applyFont="1" applyBorder="1" applyAlignment="1">
      <alignment horizontal="left" vertical="center" wrapText="1"/>
    </xf>
    <xf numFmtId="0" fontId="3" fillId="0" borderId="2"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4" xfId="0" applyFont="1" applyBorder="1" applyAlignment="1">
      <alignment horizontal="center"/>
    </xf>
    <xf numFmtId="0" fontId="5" fillId="0" borderId="1" xfId="0" applyFont="1" applyBorder="1" applyAlignment="1">
      <alignment horizontal="center"/>
    </xf>
    <xf numFmtId="167" fontId="3" fillId="2" borderId="2" xfId="0" applyNumberFormat="1" applyFont="1" applyFill="1" applyBorder="1" applyAlignment="1">
      <alignment horizontal="center"/>
    </xf>
    <xf numFmtId="0" fontId="3" fillId="2" borderId="2" xfId="0" applyFont="1" applyFill="1" applyBorder="1" applyAlignment="1">
      <alignment horizontal="center"/>
    </xf>
    <xf numFmtId="166" fontId="3" fillId="2" borderId="2" xfId="0" applyNumberFormat="1" applyFont="1" applyFill="1" applyBorder="1" applyAlignment="1">
      <alignment horizontal="center"/>
    </xf>
    <xf numFmtId="0" fontId="3" fillId="2" borderId="1" xfId="0" applyFont="1" applyFill="1" applyBorder="1" applyAlignment="1">
      <alignment horizontal="center"/>
    </xf>
    <xf numFmtId="0" fontId="8" fillId="0" borderId="0" xfId="0" applyFont="1" applyBorder="1" applyAlignment="1">
      <alignment horizontal="center"/>
    </xf>
    <xf numFmtId="0" fontId="38" fillId="0" borderId="50" xfId="0" applyFont="1" applyBorder="1" applyAlignment="1">
      <alignment horizontal="center" vertical="center"/>
    </xf>
    <xf numFmtId="0" fontId="6" fillId="2" borderId="73" xfId="0" applyFont="1" applyFill="1" applyBorder="1" applyAlignment="1">
      <alignment horizontal="center" vertical="center" wrapText="1"/>
    </xf>
    <xf numFmtId="0" fontId="6" fillId="2" borderId="73" xfId="0" applyFont="1" applyFill="1" applyBorder="1" applyAlignment="1">
      <alignment horizontal="center" vertical="center"/>
    </xf>
    <xf numFmtId="167" fontId="31" fillId="0" borderId="64" xfId="0" applyNumberFormat="1" applyFont="1" applyBorder="1" applyAlignment="1">
      <alignment horizontal="center" vertical="center"/>
    </xf>
    <xf numFmtId="0" fontId="31" fillId="0" borderId="68" xfId="0" applyFont="1" applyBorder="1" applyAlignment="1">
      <alignment horizontal="center" vertical="center"/>
    </xf>
    <xf numFmtId="0" fontId="31" fillId="0" borderId="64" xfId="0" applyFont="1" applyBorder="1" applyAlignment="1">
      <alignment horizontal="center" vertical="center"/>
    </xf>
    <xf numFmtId="0" fontId="28" fillId="0" borderId="42" xfId="0" applyFont="1" applyBorder="1" applyAlignment="1">
      <alignment horizontal="center"/>
    </xf>
    <xf numFmtId="0" fontId="30" fillId="0" borderId="21" xfId="0" applyFont="1" applyBorder="1" applyAlignment="1">
      <alignment horizontal="left" vertical="center"/>
    </xf>
    <xf numFmtId="0" fontId="30" fillId="0" borderId="21" xfId="0" applyFont="1" applyBorder="1" applyAlignment="1">
      <alignment horizontal="left" vertical="center" wrapText="1"/>
    </xf>
    <xf numFmtId="0" fontId="30" fillId="0" borderId="21" xfId="0" applyFont="1" applyBorder="1" applyAlignment="1">
      <alignment vertical="center" wrapText="1"/>
    </xf>
    <xf numFmtId="0" fontId="30" fillId="0" borderId="21" xfId="0" applyFont="1" applyBorder="1" applyAlignment="1">
      <alignment vertical="center"/>
    </xf>
    <xf numFmtId="0" fontId="30" fillId="0" borderId="15" xfId="0" applyFont="1" applyBorder="1" applyAlignment="1">
      <alignment horizontal="left" vertical="center" wrapText="1"/>
    </xf>
    <xf numFmtId="0" fontId="25" fillId="0" borderId="11" xfId="0" applyFont="1" applyBorder="1" applyAlignment="1">
      <alignment horizontal="left"/>
    </xf>
    <xf numFmtId="0" fontId="5" fillId="0" borderId="10" xfId="0" applyFont="1" applyBorder="1" applyAlignment="1">
      <alignment horizontal="left" vertical="center" wrapText="1"/>
    </xf>
    <xf numFmtId="0" fontId="25" fillId="0" borderId="3" xfId="0" applyFont="1" applyBorder="1" applyAlignment="1">
      <alignment horizontal="left"/>
    </xf>
    <xf numFmtId="0" fontId="5" fillId="0" borderId="0" xfId="0" applyFont="1" applyBorder="1" applyAlignment="1">
      <alignment horizontal="center" wrapText="1"/>
    </xf>
    <xf numFmtId="0" fontId="0" fillId="0" borderId="2" xfId="0" applyBorder="1" applyAlignment="1">
      <alignment horizontal="left" vertical="top" wrapText="1"/>
    </xf>
    <xf numFmtId="0" fontId="5" fillId="0" borderId="0" xfId="0" applyFont="1" applyBorder="1" applyAlignment="1">
      <alignment horizontal="center"/>
    </xf>
    <xf numFmtId="0" fontId="20" fillId="2" borderId="0" xfId="1" applyNumberFormat="1" applyFont="1" applyFill="1" applyBorder="1" applyAlignment="1">
      <alignment horizontal="left" wrapText="1"/>
    </xf>
    <xf numFmtId="0" fontId="4" fillId="0" borderId="0" xfId="0" applyFont="1" applyBorder="1" applyAlignment="1">
      <alignment horizontal="center"/>
    </xf>
    <xf numFmtId="0" fontId="19" fillId="0" borderId="0" xfId="0" applyFont="1" applyBorder="1" applyAlignment="1">
      <alignment horizontal="center"/>
    </xf>
    <xf numFmtId="0" fontId="5" fillId="2" borderId="2" xfId="0" applyFont="1" applyFill="1" applyBorder="1" applyAlignment="1">
      <alignment horizontal="center" vertical="center"/>
    </xf>
    <xf numFmtId="0" fontId="3" fillId="0" borderId="9" xfId="0" applyFont="1" applyBorder="1" applyAlignment="1">
      <alignment horizontal="center"/>
    </xf>
    <xf numFmtId="0" fontId="5" fillId="0" borderId="2" xfId="0" applyFont="1" applyBorder="1" applyAlignment="1">
      <alignment horizontal="center"/>
    </xf>
    <xf numFmtId="0" fontId="16" fillId="0" borderId="0" xfId="0" applyFont="1" applyBorder="1" applyAlignment="1">
      <alignment horizontal="center"/>
    </xf>
    <xf numFmtId="168" fontId="5" fillId="2" borderId="2" xfId="0" applyNumberFormat="1" applyFont="1" applyFill="1" applyBorder="1" applyAlignment="1">
      <alignment horizontal="center"/>
    </xf>
    <xf numFmtId="0" fontId="5" fillId="2" borderId="2" xfId="0" applyFont="1" applyFill="1" applyBorder="1" applyAlignment="1">
      <alignment horizontal="center"/>
    </xf>
    <xf numFmtId="0" fontId="14" fillId="0" borderId="0" xfId="0" applyFont="1" applyBorder="1" applyAlignment="1">
      <alignment horizontal="center"/>
    </xf>
    <xf numFmtId="0" fontId="8" fillId="0" borderId="0" xfId="0" applyFont="1" applyAlignment="1">
      <alignment horizontal="center"/>
    </xf>
    <xf numFmtId="0" fontId="5" fillId="0" borderId="0" xfId="0" applyFont="1">
      <alignment vertical="top"/>
    </xf>
    <xf numFmtId="0" fontId="5" fillId="0" borderId="0" xfId="0" applyFont="1" applyBorder="1">
      <alignment vertical="top"/>
    </xf>
    <xf numFmtId="0" fontId="5" fillId="0" borderId="0" xfId="0" applyFont="1" applyAlignment="1">
      <alignment horizontal="right"/>
    </xf>
    <xf numFmtId="0" fontId="5" fillId="0" borderId="0" xfId="0" applyFont="1" applyAlignment="1">
      <alignment horizontal="left"/>
    </xf>
    <xf numFmtId="0" fontId="0" fillId="0" borderId="0" xfId="0" applyBorder="1">
      <alignment vertical="top"/>
    </xf>
    <xf numFmtId="0" fontId="9" fillId="0" borderId="0" xfId="0" applyFont="1">
      <alignment vertical="top"/>
    </xf>
    <xf numFmtId="0" fontId="5" fillId="0" borderId="3" xfId="0" applyFont="1" applyBorder="1" applyAlignment="1"/>
    <xf numFmtId="0" fontId="3" fillId="0" borderId="0" xfId="0" applyFont="1" applyAlignment="1">
      <alignment horizontal="right"/>
    </xf>
    <xf numFmtId="0" fontId="0" fillId="0" borderId="0" xfId="0" applyAlignment="1">
      <alignment vertical="center"/>
    </xf>
    <xf numFmtId="0" fontId="6" fillId="0" borderId="0" xfId="0" applyFont="1">
      <alignment vertical="top"/>
    </xf>
    <xf numFmtId="0" fontId="3" fillId="0" borderId="0" xfId="0" applyFont="1">
      <alignment vertical="top"/>
    </xf>
    <xf numFmtId="0" fontId="6" fillId="0" borderId="0" xfId="0" applyFont="1" applyAlignment="1">
      <alignment horizontal="left"/>
    </xf>
    <xf numFmtId="0" fontId="12" fillId="0" borderId="0" xfId="0" applyFont="1" applyAlignment="1">
      <alignment horizontal="center"/>
    </xf>
    <xf numFmtId="0" fontId="13" fillId="0" borderId="0" xfId="0" applyFont="1" applyAlignment="1">
      <alignment horizontal="right"/>
    </xf>
    <xf numFmtId="0" fontId="14" fillId="0" borderId="0" xfId="0" applyFont="1" applyAlignment="1">
      <alignment horizontal="left"/>
    </xf>
    <xf numFmtId="0" fontId="13" fillId="0" borderId="0" xfId="0" applyFont="1">
      <alignment vertical="top"/>
    </xf>
    <xf numFmtId="0" fontId="14" fillId="0" borderId="0" xfId="0" applyFont="1" applyAlignment="1">
      <alignment horizontal="right"/>
    </xf>
    <xf numFmtId="0" fontId="15" fillId="0" borderId="0" xfId="0" applyFont="1" applyBorder="1" applyAlignment="1">
      <alignment horizontal="center"/>
    </xf>
    <xf numFmtId="0" fontId="5" fillId="0" borderId="0" xfId="0" applyFont="1" applyAlignment="1"/>
    <xf numFmtId="2" fontId="6" fillId="0" borderId="0" xfId="0" applyNumberFormat="1" applyFont="1" applyAlignment="1"/>
    <xf numFmtId="0" fontId="0" fillId="0" borderId="0" xfId="0" applyAlignment="1"/>
    <xf numFmtId="2" fontId="1" fillId="2" borderId="2" xfId="0" applyNumberFormat="1" applyFont="1" applyFill="1" applyBorder="1" applyAlignment="1">
      <alignment horizontal="center"/>
    </xf>
    <xf numFmtId="0" fontId="6" fillId="0" borderId="0" xfId="0" applyFont="1">
      <alignment vertical="top"/>
    </xf>
    <xf numFmtId="0" fontId="5" fillId="0" borderId="7" xfId="0" applyFont="1" applyBorder="1" applyAlignment="1"/>
    <xf numFmtId="0" fontId="6" fillId="0" borderId="0" xfId="0" applyFont="1" applyAlignment="1">
      <alignment horizontal="right"/>
    </xf>
    <xf numFmtId="169" fontId="3" fillId="2" borderId="2" xfId="0" applyNumberFormat="1" applyFont="1" applyFill="1" applyBorder="1" applyAlignment="1">
      <alignment horizontal="center"/>
    </xf>
    <xf numFmtId="0" fontId="0" fillId="0" borderId="8" xfId="0" applyBorder="1">
      <alignment vertical="top"/>
    </xf>
    <xf numFmtId="169" fontId="6" fillId="0" borderId="0" xfId="0" applyNumberFormat="1" applyFont="1" applyBorder="1" applyAlignment="1">
      <alignment horizontal="center"/>
    </xf>
    <xf numFmtId="2" fontId="3" fillId="2" borderId="2" xfId="0" applyNumberFormat="1" applyFont="1" applyFill="1" applyBorder="1" applyAlignment="1">
      <alignment horizontal="center"/>
    </xf>
    <xf numFmtId="0" fontId="5" fillId="2" borderId="0" xfId="0" applyFont="1" applyFill="1" applyBorder="1" applyAlignment="1">
      <alignment horizontal="center"/>
    </xf>
    <xf numFmtId="0" fontId="11" fillId="0" borderId="0" xfId="0" applyFont="1">
      <alignment vertical="top"/>
    </xf>
    <xf numFmtId="0" fontId="6" fillId="0" borderId="0" xfId="0" applyFont="1" applyBorder="1" applyAlignment="1">
      <alignment horizontal="right"/>
    </xf>
    <xf numFmtId="0" fontId="5" fillId="0" borderId="0" xfId="0" applyFont="1" applyBorder="1" applyAlignment="1">
      <alignment horizontal="center"/>
    </xf>
    <xf numFmtId="1" fontId="1" fillId="0" borderId="0" xfId="0" applyNumberFormat="1" applyFont="1" applyBorder="1" applyAlignment="1">
      <alignment horizontal="center"/>
    </xf>
    <xf numFmtId="0" fontId="6" fillId="0" borderId="0" xfId="0" applyFont="1" applyAlignment="1">
      <alignment horizontal="right" vertical="top"/>
    </xf>
    <xf numFmtId="0" fontId="5" fillId="0" borderId="0" xfId="0" applyFont="1" applyBorder="1" applyAlignment="1"/>
    <xf numFmtId="0" fontId="20" fillId="2" borderId="0" xfId="1" applyNumberFormat="1" applyFont="1" applyFill="1" applyBorder="1" applyAlignment="1"/>
    <xf numFmtId="0" fontId="21" fillId="2" borderId="0" xfId="1" applyNumberFormat="1" applyFont="1" applyFill="1" applyBorder="1" applyAlignment="1"/>
    <xf numFmtId="2" fontId="22" fillId="2" borderId="0" xfId="1" applyNumberFormat="1" applyFont="1" applyFill="1" applyBorder="1" applyAlignment="1"/>
    <xf numFmtId="0" fontId="21" fillId="2" borderId="0" xfId="1" applyNumberFormat="1" applyFont="1" applyFill="1" applyBorder="1" applyAlignment="1">
      <alignment horizontal="center" wrapText="1"/>
    </xf>
    <xf numFmtId="0" fontId="11" fillId="0" borderId="0" xfId="0" applyFont="1" applyBorder="1" applyAlignment="1">
      <alignment horizontal="center" wrapText="1"/>
    </xf>
    <xf numFmtId="0" fontId="20" fillId="2" borderId="0" xfId="1" applyNumberFormat="1" applyFont="1" applyFill="1" applyBorder="1" applyAlignment="1">
      <alignment horizontal="left"/>
    </xf>
    <xf numFmtId="0" fontId="20" fillId="2" borderId="0" xfId="1" applyNumberFormat="1" applyFont="1" applyFill="1" applyBorder="1" applyAlignment="1">
      <alignment horizontal="left" wrapText="1"/>
    </xf>
    <xf numFmtId="0" fontId="3" fillId="0" borderId="0" xfId="0" applyFont="1" applyBorder="1" applyAlignment="1">
      <alignment wrapText="1"/>
    </xf>
    <xf numFmtId="0" fontId="14" fillId="0" borderId="0" xfId="0" applyFont="1" applyAlignment="1">
      <alignment horizontal="center"/>
    </xf>
    <xf numFmtId="49" fontId="6" fillId="0" borderId="0" xfId="0" applyNumberFormat="1" applyFont="1" applyAlignment="1">
      <alignment horizontal="left"/>
    </xf>
    <xf numFmtId="0" fontId="6" fillId="0" borderId="0" xfId="0" applyFont="1" applyAlignment="1"/>
    <xf numFmtId="0" fontId="6" fillId="0" borderId="0" xfId="0" applyFont="1" applyAlignment="1">
      <alignment horizontal="center"/>
    </xf>
    <xf numFmtId="49" fontId="6" fillId="0" borderId="0" xfId="0" applyNumberFormat="1" applyFont="1" applyAlignment="1"/>
    <xf numFmtId="0" fontId="6" fillId="0" borderId="0" xfId="0" applyFont="1" applyAlignment="1">
      <alignment horizontal="left"/>
    </xf>
    <xf numFmtId="0" fontId="6" fillId="0" borderId="0" xfId="0" applyFont="1" applyBorder="1" applyAlignment="1">
      <alignment horizontal="center"/>
    </xf>
    <xf numFmtId="0" fontId="6" fillId="0" borderId="0" xfId="0" applyFont="1" applyAlignment="1"/>
    <xf numFmtId="0" fontId="3" fillId="0" borderId="0" xfId="0" applyFont="1" applyAlignment="1"/>
    <xf numFmtId="0" fontId="25" fillId="0" borderId="0" xfId="0" applyFont="1">
      <alignment vertical="top"/>
    </xf>
    <xf numFmtId="0" fontId="26" fillId="0" borderId="0" xfId="0" applyFont="1" applyAlignment="1">
      <alignment horizontal="center"/>
    </xf>
    <xf numFmtId="0" fontId="27" fillId="0" borderId="0" xfId="0" applyFont="1">
      <alignment vertical="top"/>
    </xf>
    <xf numFmtId="0" fontId="25" fillId="0" borderId="3" xfId="0" applyFont="1" applyBorder="1" applyAlignment="1">
      <alignment horizontal="left"/>
    </xf>
    <xf numFmtId="0" fontId="25" fillId="0" borderId="11" xfId="0" applyFont="1" applyBorder="1" applyAlignment="1">
      <alignment horizontal="left"/>
    </xf>
    <xf numFmtId="0" fontId="27" fillId="0" borderId="0" xfId="0" applyFont="1" applyAlignment="1">
      <alignment horizontal="right"/>
    </xf>
    <xf numFmtId="166" fontId="25" fillId="0" borderId="3" xfId="0" applyNumberFormat="1" applyFont="1" applyBorder="1" applyAlignment="1">
      <alignment horizontal="left"/>
    </xf>
    <xf numFmtId="0" fontId="28" fillId="0" borderId="12" xfId="0" applyFont="1" applyBorder="1" applyAlignment="1">
      <alignment horizontal="center"/>
    </xf>
    <xf numFmtId="0" fontId="28" fillId="0" borderId="13" xfId="0" applyFont="1" applyBorder="1" applyAlignment="1">
      <alignment horizontal="center" wrapText="1"/>
    </xf>
    <xf numFmtId="0" fontId="28" fillId="0" borderId="13" xfId="0" applyFont="1" applyBorder="1" applyAlignment="1">
      <alignment horizontal="center"/>
    </xf>
    <xf numFmtId="0" fontId="28" fillId="0" borderId="14" xfId="0" applyFont="1" applyBorder="1" applyAlignment="1">
      <alignment horizontal="center" wrapText="1"/>
    </xf>
    <xf numFmtId="0" fontId="30" fillId="0" borderId="6" xfId="0" applyFont="1" applyBorder="1" applyAlignment="1">
      <alignment horizontal="center" vertical="center" wrapText="1"/>
    </xf>
    <xf numFmtId="0" fontId="30" fillId="0" borderId="16" xfId="0" applyFont="1" applyBorder="1" applyAlignment="1">
      <alignment horizontal="left" vertical="center" wrapText="1"/>
    </xf>
    <xf numFmtId="170" fontId="30" fillId="0" borderId="6" xfId="0" applyNumberFormat="1" applyFont="1" applyBorder="1" applyAlignment="1">
      <alignment horizontal="center" vertical="center" wrapText="1"/>
    </xf>
    <xf numFmtId="0" fontId="30" fillId="0" borderId="17" xfId="0" applyFont="1" applyBorder="1">
      <alignment vertical="top"/>
    </xf>
    <xf numFmtId="0" fontId="30" fillId="0" borderId="18" xfId="0" applyFont="1" applyBorder="1" applyAlignment="1">
      <alignment horizontal="center" vertical="center" wrapText="1"/>
    </xf>
    <xf numFmtId="0" fontId="30" fillId="0" borderId="18" xfId="0" applyFont="1" applyBorder="1" applyAlignment="1">
      <alignment horizontal="left" vertical="center"/>
    </xf>
    <xf numFmtId="170" fontId="30" fillId="0" borderId="19" xfId="0" applyNumberFormat="1" applyFont="1" applyBorder="1" applyAlignment="1">
      <alignment horizontal="center" vertical="center" wrapText="1"/>
    </xf>
    <xf numFmtId="0" fontId="30" fillId="0" borderId="20" xfId="0" applyFont="1" applyBorder="1">
      <alignment vertical="top"/>
    </xf>
    <xf numFmtId="0" fontId="30" fillId="0" borderId="22" xfId="0" applyFont="1" applyBorder="1" applyAlignment="1">
      <alignment horizontal="center" vertical="center" wrapText="1"/>
    </xf>
    <xf numFmtId="0" fontId="30" fillId="0" borderId="23" xfId="0" applyFont="1" applyBorder="1" applyAlignment="1">
      <alignment horizontal="left" vertical="center" wrapText="1"/>
    </xf>
    <xf numFmtId="170" fontId="30" fillId="0" borderId="23" xfId="0" applyNumberFormat="1" applyFont="1" applyBorder="1" applyAlignment="1">
      <alignment horizontal="center" vertical="center" wrapText="1"/>
    </xf>
    <xf numFmtId="0" fontId="30" fillId="0" borderId="24" xfId="0" applyFont="1" applyBorder="1">
      <alignment vertical="top"/>
    </xf>
    <xf numFmtId="0" fontId="30" fillId="0" borderId="25" xfId="0" applyFont="1" applyBorder="1" applyAlignment="1">
      <alignment horizontal="center" vertical="center" wrapText="1"/>
    </xf>
    <xf numFmtId="0" fontId="30" fillId="0" borderId="2" xfId="0" applyFont="1" applyBorder="1" applyAlignment="1">
      <alignment horizontal="left" vertical="center" wrapText="1"/>
    </xf>
    <xf numFmtId="170" fontId="30" fillId="0" borderId="2" xfId="0" applyNumberFormat="1" applyFont="1" applyBorder="1" applyAlignment="1">
      <alignment horizontal="center" vertical="center" wrapText="1"/>
    </xf>
    <xf numFmtId="0" fontId="30" fillId="0" borderId="26" xfId="0" applyFont="1" applyBorder="1">
      <alignment vertical="top"/>
    </xf>
    <xf numFmtId="0" fontId="30" fillId="0" borderId="27" xfId="0" applyFont="1" applyBorder="1" applyAlignment="1">
      <alignment horizontal="center" vertical="center" wrapText="1"/>
    </xf>
    <xf numFmtId="0" fontId="30" fillId="0" borderId="18" xfId="0" applyFont="1" applyBorder="1" applyAlignment="1">
      <alignment horizontal="left" vertical="center" wrapText="1"/>
    </xf>
    <xf numFmtId="0" fontId="30" fillId="0" borderId="28" xfId="0" applyFont="1" applyBorder="1">
      <alignment vertical="top"/>
    </xf>
    <xf numFmtId="0" fontId="30" fillId="0" borderId="21" xfId="0" applyFont="1" applyBorder="1" applyAlignment="1">
      <alignment vertical="center" wrapText="1"/>
    </xf>
    <xf numFmtId="0" fontId="30" fillId="0" borderId="29" xfId="0" applyFont="1" applyBorder="1" applyAlignment="1">
      <alignment horizontal="center" vertical="center" wrapText="1"/>
    </xf>
    <xf numFmtId="0" fontId="30" fillId="0" borderId="30" xfId="0" applyFont="1" applyBorder="1" applyAlignment="1">
      <alignment horizontal="left" vertical="center" wrapText="1"/>
    </xf>
    <xf numFmtId="0" fontId="30" fillId="0" borderId="31" xfId="0" applyFont="1" applyBorder="1">
      <alignment vertical="top"/>
    </xf>
    <xf numFmtId="0" fontId="30" fillId="0" borderId="32" xfId="0" applyFont="1" applyBorder="1" applyAlignment="1">
      <alignment horizontal="left" vertical="center" wrapText="1"/>
    </xf>
    <xf numFmtId="0" fontId="30" fillId="0" borderId="33" xfId="0" applyFont="1" applyBorder="1">
      <alignment vertical="top"/>
    </xf>
    <xf numFmtId="0" fontId="30" fillId="0" borderId="23" xfId="0" applyFont="1" applyBorder="1" applyAlignment="1">
      <alignment horizontal="center" vertical="center" wrapText="1"/>
    </xf>
    <xf numFmtId="0" fontId="30" fillId="0" borderId="34" xfId="0" applyFont="1" applyBorder="1">
      <alignment vertical="top"/>
    </xf>
    <xf numFmtId="0" fontId="30" fillId="0" borderId="19" xfId="0" applyFont="1" applyBorder="1" applyAlignment="1">
      <alignment horizontal="center" vertical="center" wrapText="1"/>
    </xf>
    <xf numFmtId="0" fontId="30" fillId="0" borderId="19" xfId="0" applyFont="1" applyBorder="1" applyAlignment="1">
      <alignment horizontal="left" vertical="center" wrapText="1"/>
    </xf>
    <xf numFmtId="0" fontId="30" fillId="0" borderId="2" xfId="0" applyFont="1" applyBorder="1" applyAlignment="1">
      <alignment horizontal="center" vertical="center" wrapText="1"/>
    </xf>
    <xf numFmtId="0" fontId="30" fillId="0" borderId="6" xfId="0" applyFont="1" applyBorder="1" applyAlignment="1">
      <alignment horizontal="left" vertical="center" wrapText="1"/>
    </xf>
    <xf numFmtId="0" fontId="30" fillId="0" borderId="35" xfId="0" applyFont="1" applyBorder="1">
      <alignment vertical="top"/>
    </xf>
    <xf numFmtId="0" fontId="30" fillId="0" borderId="36" xfId="0" applyFont="1" applyBorder="1" applyAlignment="1">
      <alignment horizontal="center" vertical="center" wrapText="1"/>
    </xf>
    <xf numFmtId="0" fontId="30" fillId="0" borderId="32" xfId="0" applyFont="1" applyBorder="1" applyAlignment="1">
      <alignment horizontal="center" vertical="center" wrapText="1"/>
    </xf>
    <xf numFmtId="0" fontId="30" fillId="0" borderId="37" xfId="0" applyFont="1" applyBorder="1" applyAlignment="1">
      <alignment horizontal="center" vertical="center" wrapText="1"/>
    </xf>
    <xf numFmtId="170" fontId="30" fillId="0" borderId="18" xfId="0" applyNumberFormat="1" applyFont="1" applyBorder="1" applyAlignment="1">
      <alignment horizontal="center" vertical="center" wrapText="1"/>
    </xf>
    <xf numFmtId="0" fontId="30" fillId="0" borderId="38" xfId="0" applyFont="1" applyBorder="1" applyAlignment="1">
      <alignment horizontal="center" vertical="center" wrapText="1"/>
    </xf>
    <xf numFmtId="0" fontId="30" fillId="0" borderId="39" xfId="0" applyFont="1" applyBorder="1" applyAlignment="1">
      <alignment horizontal="left" vertical="center" wrapText="1"/>
    </xf>
    <xf numFmtId="170" fontId="30" fillId="0" borderId="39" xfId="0" applyNumberFormat="1" applyFont="1" applyBorder="1" applyAlignment="1">
      <alignment horizontal="center" vertical="center" wrapText="1"/>
    </xf>
    <xf numFmtId="0" fontId="30" fillId="0" borderId="40" xfId="0" applyFont="1" applyBorder="1">
      <alignment vertical="top"/>
    </xf>
    <xf numFmtId="0" fontId="30" fillId="0" borderId="15" xfId="0" applyFont="1" applyBorder="1" applyAlignment="1">
      <alignment vertical="center" wrapText="1"/>
    </xf>
    <xf numFmtId="0" fontId="30" fillId="0" borderId="41" xfId="0" applyFont="1" applyBorder="1" applyAlignment="1">
      <alignment horizontal="center" vertical="center" wrapText="1"/>
    </xf>
    <xf numFmtId="0" fontId="31" fillId="0" borderId="0" xfId="0" applyFont="1" applyAlignment="1">
      <alignment horizontal="center" vertical="center"/>
    </xf>
    <xf numFmtId="0" fontId="31" fillId="0" borderId="0" xfId="0" applyFont="1" applyAlignment="1">
      <alignment vertical="center"/>
    </xf>
    <xf numFmtId="0" fontId="25" fillId="0" borderId="0" xfId="0" applyFont="1" applyAlignment="1">
      <alignment vertical="center"/>
    </xf>
    <xf numFmtId="0" fontId="32" fillId="0" borderId="0" xfId="0" applyFont="1" applyAlignment="1">
      <alignment horizontal="center" vertical="center"/>
    </xf>
    <xf numFmtId="0" fontId="22" fillId="0" borderId="43" xfId="0" applyFont="1" applyBorder="1" applyAlignment="1">
      <alignment vertical="center"/>
    </xf>
    <xf numFmtId="0" fontId="22" fillId="0" borderId="44" xfId="0" applyFont="1" applyBorder="1" applyAlignment="1">
      <alignment vertical="center"/>
    </xf>
    <xf numFmtId="0" fontId="22" fillId="0" borderId="45" xfId="0" applyFont="1" applyBorder="1" applyAlignment="1">
      <alignment vertical="center"/>
    </xf>
    <xf numFmtId="0" fontId="31" fillId="0" borderId="46" xfId="0" applyFont="1" applyBorder="1" applyAlignment="1">
      <alignment horizontal="left" vertical="center"/>
    </xf>
    <xf numFmtId="0" fontId="31" fillId="0" borderId="47" xfId="0" applyFont="1" applyBorder="1" applyAlignment="1">
      <alignment vertical="center"/>
    </xf>
    <xf numFmtId="0" fontId="31" fillId="0" borderId="48" xfId="0" applyFont="1" applyBorder="1" applyAlignment="1">
      <alignment vertical="center"/>
    </xf>
    <xf numFmtId="0" fontId="33" fillId="0" borderId="0" xfId="0" applyFont="1" applyAlignment="1">
      <alignment horizontal="center" vertical="center"/>
    </xf>
    <xf numFmtId="0" fontId="22" fillId="0" borderId="49" xfId="0" applyFont="1" applyBorder="1" applyAlignment="1">
      <alignment vertical="center"/>
    </xf>
    <xf numFmtId="0" fontId="22" fillId="0" borderId="0" xfId="0" applyFont="1" applyAlignment="1">
      <alignment vertical="center"/>
    </xf>
    <xf numFmtId="0" fontId="34" fillId="0" borderId="0" xfId="0" applyFont="1" applyAlignment="1">
      <alignment horizontal="center" vertical="center"/>
    </xf>
    <xf numFmtId="0" fontId="22" fillId="0" borderId="50" xfId="0" applyFont="1" applyBorder="1" applyAlignment="1">
      <alignment vertical="center"/>
    </xf>
    <xf numFmtId="0" fontId="31" fillId="0" borderId="51" xfId="0" applyFont="1" applyBorder="1" applyAlignment="1">
      <alignment vertical="center"/>
    </xf>
    <xf numFmtId="0" fontId="35" fillId="0" borderId="0" xfId="0" applyFont="1" applyAlignment="1">
      <alignment horizontal="center" vertical="center"/>
    </xf>
    <xf numFmtId="0" fontId="31" fillId="0" borderId="52" xfId="0" applyFont="1" applyBorder="1" applyAlignment="1">
      <alignment vertical="center"/>
    </xf>
    <xf numFmtId="171" fontId="31" fillId="3" borderId="53" xfId="0" applyNumberFormat="1" applyFont="1" applyFill="1" applyBorder="1" applyAlignment="1">
      <alignment horizontal="left" vertical="center"/>
    </xf>
    <xf numFmtId="171" fontId="31" fillId="4" borderId="54" xfId="0" applyNumberFormat="1" applyFont="1" applyFill="1" applyBorder="1" applyAlignment="1">
      <alignment horizontal="left" vertical="center"/>
    </xf>
    <xf numFmtId="0" fontId="31" fillId="0" borderId="0" xfId="0" applyFont="1" applyAlignment="1">
      <alignment horizontal="right" vertical="center"/>
    </xf>
    <xf numFmtId="0" fontId="31" fillId="0" borderId="0" xfId="0" applyFont="1" applyAlignment="1">
      <alignment horizontal="left" vertical="center"/>
    </xf>
    <xf numFmtId="0" fontId="22" fillId="0" borderId="55" xfId="0" applyFont="1" applyBorder="1" applyAlignment="1">
      <alignment vertical="center"/>
    </xf>
    <xf numFmtId="0" fontId="22" fillId="0" borderId="56" xfId="0" applyFont="1" applyBorder="1" applyAlignment="1">
      <alignment vertical="center"/>
    </xf>
    <xf numFmtId="0" fontId="22" fillId="0" borderId="57" xfId="0" applyFont="1" applyBorder="1" applyAlignment="1">
      <alignment vertical="center"/>
    </xf>
    <xf numFmtId="0" fontId="31" fillId="0" borderId="58" xfId="0" applyFont="1" applyBorder="1" applyAlignment="1">
      <alignment vertical="center"/>
    </xf>
    <xf numFmtId="0" fontId="31" fillId="0" borderId="59" xfId="0" applyFont="1" applyBorder="1" applyAlignment="1">
      <alignment vertical="center"/>
    </xf>
    <xf numFmtId="0" fontId="31" fillId="0" borderId="60" xfId="0" applyFont="1" applyBorder="1" applyAlignment="1">
      <alignment vertical="center"/>
    </xf>
    <xf numFmtId="0" fontId="12" fillId="0" borderId="0" xfId="0" applyFont="1" applyAlignment="1">
      <alignment horizontal="right" vertical="center"/>
    </xf>
    <xf numFmtId="171" fontId="31" fillId="3" borderId="53" xfId="0" applyNumberFormat="1" applyFont="1" applyFill="1" applyBorder="1" applyAlignment="1">
      <alignment vertical="center"/>
    </xf>
    <xf numFmtId="171" fontId="31" fillId="0" borderId="61" xfId="0" applyNumberFormat="1" applyFont="1" applyBorder="1" applyAlignment="1">
      <alignment vertical="center"/>
    </xf>
    <xf numFmtId="0" fontId="31" fillId="4" borderId="54" xfId="0" applyFont="1" applyFill="1" applyBorder="1" applyAlignment="1">
      <alignment vertical="center"/>
    </xf>
    <xf numFmtId="0" fontId="31" fillId="3" borderId="53" xfId="0" applyFont="1" applyFill="1" applyBorder="1" applyAlignment="1">
      <alignment vertical="center"/>
    </xf>
    <xf numFmtId="0" fontId="31" fillId="4" borderId="62" xfId="0" applyFont="1" applyFill="1" applyBorder="1" applyAlignment="1">
      <alignment horizontal="left" vertical="center"/>
    </xf>
    <xf numFmtId="0" fontId="36" fillId="0" borderId="0" xfId="0" applyFont="1" applyAlignment="1">
      <alignment vertical="center"/>
    </xf>
    <xf numFmtId="0" fontId="31" fillId="3" borderId="62" xfId="0" applyFont="1" applyFill="1" applyBorder="1" applyAlignment="1">
      <alignment horizontal="left" vertical="center"/>
    </xf>
    <xf numFmtId="0" fontId="37" fillId="0" borderId="0" xfId="0" applyFont="1" applyAlignment="1">
      <alignment horizontal="center" vertical="center"/>
    </xf>
    <xf numFmtId="171" fontId="31" fillId="4" borderId="54" xfId="0" applyNumberFormat="1" applyFont="1" applyFill="1" applyBorder="1" applyAlignment="1">
      <alignment vertical="center"/>
    </xf>
    <xf numFmtId="171" fontId="31" fillId="0" borderId="62" xfId="0" applyNumberFormat="1" applyFont="1" applyBorder="1" applyAlignment="1">
      <alignment vertical="center"/>
    </xf>
    <xf numFmtId="0" fontId="12" fillId="0" borderId="0" xfId="0" applyFont="1" applyAlignment="1">
      <alignment horizontal="center" vertical="center"/>
    </xf>
    <xf numFmtId="0" fontId="31" fillId="0" borderId="59" xfId="0" applyFont="1" applyBorder="1" applyAlignment="1">
      <alignment vertical="center"/>
    </xf>
    <xf numFmtId="0" fontId="31" fillId="0" borderId="63" xfId="0" applyFont="1" applyBorder="1" applyAlignment="1">
      <alignment vertical="center"/>
    </xf>
    <xf numFmtId="171" fontId="31" fillId="4" borderId="62" xfId="0" applyNumberFormat="1" applyFont="1" applyFill="1" applyBorder="1" applyAlignment="1">
      <alignment vertical="center"/>
    </xf>
    <xf numFmtId="171" fontId="31" fillId="3" borderId="62" xfId="0" applyNumberFormat="1" applyFont="1" applyFill="1" applyBorder="1" applyAlignment="1">
      <alignment vertical="center"/>
    </xf>
    <xf numFmtId="0" fontId="31" fillId="0" borderId="43" xfId="0" applyFont="1" applyBorder="1" applyAlignment="1">
      <alignment vertical="center"/>
    </xf>
    <xf numFmtId="0" fontId="31" fillId="0" borderId="44" xfId="0" applyFont="1" applyBorder="1" applyAlignment="1">
      <alignment vertical="center"/>
    </xf>
    <xf numFmtId="0" fontId="12" fillId="0" borderId="44" xfId="0" applyFont="1" applyBorder="1" applyAlignment="1">
      <alignment vertical="center"/>
    </xf>
    <xf numFmtId="0" fontId="31" fillId="0" borderId="45" xfId="0" applyFont="1" applyBorder="1" applyAlignment="1">
      <alignment vertical="center"/>
    </xf>
    <xf numFmtId="0" fontId="31" fillId="0" borderId="46" xfId="0" applyFont="1" applyBorder="1" applyAlignment="1">
      <alignment vertical="center"/>
    </xf>
    <xf numFmtId="0" fontId="12" fillId="0" borderId="47" xfId="0" applyFont="1" applyBorder="1" applyAlignment="1">
      <alignment vertical="center"/>
    </xf>
    <xf numFmtId="0" fontId="12" fillId="3" borderId="53" xfId="0" applyFont="1" applyFill="1" applyBorder="1" applyAlignment="1">
      <alignment horizontal="left" vertical="center"/>
    </xf>
    <xf numFmtId="0" fontId="31" fillId="4" borderId="62" xfId="0" applyFont="1" applyFill="1" applyBorder="1" applyAlignment="1">
      <alignment vertical="center"/>
    </xf>
    <xf numFmtId="0" fontId="31" fillId="3" borderId="62" xfId="0" applyFont="1" applyFill="1" applyBorder="1" applyAlignment="1">
      <alignment vertical="center"/>
    </xf>
    <xf numFmtId="0" fontId="31" fillId="0" borderId="49" xfId="0" applyFont="1" applyBorder="1" applyAlignment="1">
      <alignment vertical="center"/>
    </xf>
    <xf numFmtId="0" fontId="31" fillId="0" borderId="0" xfId="0" applyFont="1" applyBorder="1" applyAlignment="1">
      <alignment vertical="center"/>
    </xf>
    <xf numFmtId="0" fontId="31" fillId="0" borderId="64" xfId="0" applyFont="1" applyBorder="1" applyAlignment="1">
      <alignment horizontal="center" vertical="center"/>
    </xf>
    <xf numFmtId="0" fontId="31" fillId="0" borderId="50" xfId="0" applyFont="1" applyBorder="1" applyAlignment="1">
      <alignment vertical="center"/>
    </xf>
    <xf numFmtId="0" fontId="31" fillId="0" borderId="65" xfId="0" applyFont="1" applyBorder="1" applyAlignment="1">
      <alignment horizontal="center" vertical="center"/>
    </xf>
    <xf numFmtId="0" fontId="31" fillId="0" borderId="66" xfId="0" applyFont="1" applyBorder="1" applyAlignment="1">
      <alignment horizontal="center" vertical="center"/>
    </xf>
    <xf numFmtId="169" fontId="31" fillId="0" borderId="66" xfId="0" applyNumberFormat="1" applyFont="1" applyBorder="1" applyAlignment="1">
      <alignment horizontal="center" vertical="center"/>
    </xf>
    <xf numFmtId="2" fontId="31" fillId="0" borderId="67" xfId="0" applyNumberFormat="1" applyFont="1" applyBorder="1" applyAlignment="1">
      <alignment horizontal="center" vertical="center"/>
    </xf>
    <xf numFmtId="0" fontId="31" fillId="5" borderId="69" xfId="0" applyFont="1" applyFill="1" applyBorder="1" applyAlignment="1">
      <alignment horizontal="center" vertical="center"/>
    </xf>
    <xf numFmtId="0" fontId="31" fillId="5" borderId="1" xfId="0" applyFont="1" applyFill="1" applyBorder="1" applyAlignment="1">
      <alignment horizontal="center" vertical="center"/>
    </xf>
    <xf numFmtId="169" fontId="31" fillId="5" borderId="1" xfId="0" applyNumberFormat="1" applyFont="1" applyFill="1" applyBorder="1" applyAlignment="1">
      <alignment horizontal="center" vertical="center"/>
    </xf>
    <xf numFmtId="2" fontId="31" fillId="5" borderId="70" xfId="0" applyNumberFormat="1" applyFont="1" applyFill="1" applyBorder="1" applyAlignment="1">
      <alignment horizontal="center" vertical="center"/>
    </xf>
    <xf numFmtId="167" fontId="31" fillId="4" borderId="54" xfId="0" applyNumberFormat="1" applyFont="1" applyFill="1" applyBorder="1" applyAlignment="1">
      <alignment vertical="center"/>
    </xf>
    <xf numFmtId="167" fontId="31" fillId="3" borderId="53" xfId="0" applyNumberFormat="1" applyFont="1" applyFill="1" applyBorder="1" applyAlignment="1">
      <alignment vertical="center"/>
    </xf>
    <xf numFmtId="0" fontId="31" fillId="4" borderId="54" xfId="0" applyFont="1" applyFill="1" applyBorder="1" applyAlignment="1">
      <alignment vertical="center"/>
    </xf>
    <xf numFmtId="0" fontId="31" fillId="3" borderId="53" xfId="0" applyFont="1" applyFill="1" applyBorder="1" applyAlignment="1">
      <alignment vertical="center"/>
    </xf>
    <xf numFmtId="172" fontId="31" fillId="4" borderId="62" xfId="0" applyNumberFormat="1" applyFont="1" applyFill="1" applyBorder="1" applyAlignment="1">
      <alignment vertical="center"/>
    </xf>
    <xf numFmtId="0" fontId="12" fillId="0" borderId="0" xfId="0" applyFont="1" applyAlignment="1">
      <alignment vertical="center"/>
    </xf>
    <xf numFmtId="167" fontId="31" fillId="4" borderId="62" xfId="0" applyNumberFormat="1" applyFont="1" applyFill="1" applyBorder="1" applyAlignment="1">
      <alignment vertical="center"/>
    </xf>
    <xf numFmtId="167" fontId="31" fillId="3" borderId="62" xfId="0" applyNumberFormat="1" applyFont="1" applyFill="1" applyBorder="1" applyAlignment="1">
      <alignment vertical="center"/>
    </xf>
    <xf numFmtId="0" fontId="31" fillId="0" borderId="69" xfId="0" applyFont="1" applyBorder="1" applyAlignment="1">
      <alignment horizontal="center" vertical="center"/>
    </xf>
    <xf numFmtId="0" fontId="31" fillId="0" borderId="1" xfId="0" applyFont="1" applyBorder="1" applyAlignment="1">
      <alignment horizontal="center" vertical="center"/>
    </xf>
    <xf numFmtId="169" fontId="31" fillId="0" borderId="1" xfId="0" applyNumberFormat="1" applyFont="1" applyBorder="1" applyAlignment="1">
      <alignment horizontal="center" vertical="center"/>
    </xf>
    <xf numFmtId="2" fontId="31" fillId="0" borderId="70" xfId="0" applyNumberFormat="1" applyFont="1" applyBorder="1" applyAlignment="1">
      <alignment horizontal="center" vertical="center"/>
    </xf>
    <xf numFmtId="0" fontId="12" fillId="0" borderId="0" xfId="0" applyFont="1" applyAlignment="1">
      <alignment horizontal="left" vertical="center"/>
    </xf>
    <xf numFmtId="0" fontId="31" fillId="0" borderId="55" xfId="0" applyFont="1" applyBorder="1" applyAlignment="1">
      <alignment vertical="center"/>
    </xf>
    <xf numFmtId="0" fontId="31" fillId="0" borderId="56" xfId="0" applyFont="1" applyBorder="1" applyAlignment="1">
      <alignment vertical="center"/>
    </xf>
    <xf numFmtId="0" fontId="31" fillId="0" borderId="57" xfId="0" applyFont="1" applyBorder="1" applyAlignment="1">
      <alignment vertical="center"/>
    </xf>
    <xf numFmtId="0" fontId="31" fillId="6" borderId="71" xfId="0" applyFont="1" applyFill="1" applyBorder="1" applyAlignment="1">
      <alignment horizontal="center" vertical="center"/>
    </xf>
    <xf numFmtId="0" fontId="6" fillId="2" borderId="72" xfId="0" applyFont="1" applyFill="1" applyBorder="1" applyAlignment="1">
      <alignment horizontal="center" vertical="center"/>
    </xf>
    <xf numFmtId="0" fontId="31" fillId="6" borderId="58" xfId="0" applyFont="1" applyFill="1" applyBorder="1" applyAlignment="1">
      <alignment horizontal="center" vertical="center"/>
    </xf>
    <xf numFmtId="0" fontId="6" fillId="2" borderId="74" xfId="0" applyFont="1" applyFill="1" applyBorder="1" applyAlignment="1">
      <alignment horizontal="center" vertical="center"/>
    </xf>
    <xf numFmtId="0" fontId="6" fillId="2" borderId="75" xfId="0" applyFont="1" applyFill="1" applyBorder="1" applyAlignment="1">
      <alignment horizontal="center" vertical="center"/>
    </xf>
    <xf numFmtId="0" fontId="6" fillId="2" borderId="76" xfId="0" applyFont="1" applyFill="1" applyBorder="1" applyAlignment="1">
      <alignment horizontal="center" vertical="center"/>
    </xf>
    <xf numFmtId="0" fontId="6" fillId="2" borderId="77" xfId="0" applyFont="1" applyFill="1" applyBorder="1" applyAlignment="1">
      <alignment horizontal="center" vertical="center"/>
    </xf>
    <xf numFmtId="1" fontId="6" fillId="2" borderId="78" xfId="0" applyNumberFormat="1" applyFont="1" applyFill="1" applyBorder="1" applyAlignment="1">
      <alignment horizontal="center" vertical="center"/>
    </xf>
    <xf numFmtId="0" fontId="6" fillId="0" borderId="79" xfId="0" applyFont="1" applyBorder="1" applyAlignment="1">
      <alignment horizontal="center" vertical="center"/>
    </xf>
    <xf numFmtId="0" fontId="6" fillId="0" borderId="5" xfId="0" applyFont="1" applyBorder="1" applyAlignment="1">
      <alignment horizontal="center" vertical="center"/>
    </xf>
    <xf numFmtId="0" fontId="6" fillId="0" borderId="80" xfId="0" applyFont="1" applyBorder="1" applyAlignment="1">
      <alignment horizontal="center" vertical="center"/>
    </xf>
    <xf numFmtId="0" fontId="12" fillId="0" borderId="46" xfId="0" applyFont="1" applyBorder="1" applyAlignment="1">
      <alignment horizontal="left" vertical="center"/>
    </xf>
    <xf numFmtId="1" fontId="6" fillId="2" borderId="81" xfId="0" applyNumberFormat="1" applyFont="1" applyFill="1" applyBorder="1" applyAlignment="1">
      <alignment horizontal="center" vertical="center"/>
    </xf>
    <xf numFmtId="0" fontId="6" fillId="0" borderId="82" xfId="0" applyFont="1" applyBorder="1" applyAlignment="1">
      <alignment horizontal="center" vertical="center"/>
    </xf>
    <xf numFmtId="0" fontId="6" fillId="0" borderId="1" xfId="0" applyFont="1" applyBorder="1" applyAlignment="1">
      <alignment horizontal="center" vertical="center"/>
    </xf>
    <xf numFmtId="0" fontId="6" fillId="0" borderId="83" xfId="0" applyFont="1" applyBorder="1" applyAlignment="1">
      <alignment horizontal="center" vertical="center"/>
    </xf>
    <xf numFmtId="1" fontId="6" fillId="2" borderId="84" xfId="0" applyNumberFormat="1" applyFont="1" applyFill="1" applyBorder="1" applyAlignment="1">
      <alignment horizontal="center" vertical="center"/>
    </xf>
    <xf numFmtId="0" fontId="6" fillId="0" borderId="85" xfId="0" applyFont="1" applyBorder="1" applyAlignment="1">
      <alignment horizontal="center" vertical="center"/>
    </xf>
    <xf numFmtId="0" fontId="6" fillId="0" borderId="86" xfId="0" applyFont="1" applyBorder="1" applyAlignment="1">
      <alignment horizontal="center" vertical="center"/>
    </xf>
    <xf numFmtId="0" fontId="6" fillId="0" borderId="87" xfId="0" applyFont="1" applyBorder="1" applyAlignment="1">
      <alignment horizontal="center" vertical="center"/>
    </xf>
    <xf numFmtId="0" fontId="31" fillId="0" borderId="69" xfId="0" applyFont="1" applyBorder="1" applyAlignment="1">
      <alignment horizontal="center" vertical="center"/>
    </xf>
    <xf numFmtId="0" fontId="31" fillId="0" borderId="1" xfId="0" applyFont="1" applyBorder="1" applyAlignment="1">
      <alignment horizontal="center" vertical="center"/>
    </xf>
    <xf numFmtId="169" fontId="31" fillId="0" borderId="1" xfId="0" applyNumberFormat="1" applyFont="1" applyBorder="1" applyAlignment="1">
      <alignment horizontal="center" vertical="center"/>
    </xf>
    <xf numFmtId="2" fontId="31" fillId="0" borderId="70" xfId="0" applyNumberFormat="1" applyFont="1" applyBorder="1" applyAlignment="1">
      <alignment horizontal="center" vertical="center"/>
    </xf>
    <xf numFmtId="0" fontId="38" fillId="0" borderId="0" xfId="0" applyFont="1" applyBorder="1" applyAlignment="1">
      <alignment vertical="center"/>
    </xf>
    <xf numFmtId="0" fontId="31" fillId="0" borderId="0" xfId="0" applyFont="1" applyBorder="1" applyAlignment="1">
      <alignment horizontal="left" vertical="center"/>
    </xf>
    <xf numFmtId="0" fontId="39" fillId="0" borderId="0" xfId="0" applyFont="1" applyAlignment="1">
      <alignment horizontal="center" vertical="center"/>
    </xf>
    <xf numFmtId="0" fontId="39" fillId="0" borderId="50" xfId="0" applyFont="1" applyBorder="1" applyAlignment="1">
      <alignment horizontal="center" vertical="center"/>
    </xf>
    <xf numFmtId="0" fontId="31" fillId="0" borderId="71" xfId="0" applyFont="1" applyBorder="1" applyAlignment="1">
      <alignment horizontal="center" vertical="center"/>
    </xf>
    <xf numFmtId="0" fontId="31" fillId="5" borderId="88" xfId="0" applyFont="1" applyFill="1" applyBorder="1" applyAlignment="1">
      <alignment horizontal="center" vertical="center"/>
    </xf>
    <xf numFmtId="0" fontId="31" fillId="5" borderId="89" xfId="0" applyFont="1" applyFill="1" applyBorder="1" applyAlignment="1">
      <alignment horizontal="center" vertical="center"/>
    </xf>
    <xf numFmtId="169" fontId="31" fillId="5" borderId="89" xfId="0" applyNumberFormat="1" applyFont="1" applyFill="1" applyBorder="1" applyAlignment="1">
      <alignment horizontal="center" vertical="center"/>
    </xf>
    <xf numFmtId="2" fontId="31" fillId="5" borderId="90" xfId="0" applyNumberFormat="1" applyFont="1" applyFill="1" applyBorder="1" applyAlignment="1">
      <alignment horizontal="center" vertical="center"/>
    </xf>
    <xf numFmtId="169" fontId="40" fillId="0" borderId="1" xfId="0" applyNumberFormat="1" applyFont="1" applyBorder="1" applyAlignment="1">
      <alignment horizontal="center" vertical="center"/>
    </xf>
    <xf numFmtId="0" fontId="31" fillId="7" borderId="69" xfId="0" applyFont="1" applyFill="1" applyBorder="1" applyAlignment="1">
      <alignment horizontal="center" vertical="center"/>
    </xf>
    <xf numFmtId="0" fontId="31" fillId="7" borderId="1" xfId="0" applyFont="1" applyFill="1" applyBorder="1" applyAlignment="1">
      <alignment horizontal="center" vertical="center"/>
    </xf>
    <xf numFmtId="169" fontId="40" fillId="7" borderId="1" xfId="0" applyNumberFormat="1" applyFont="1" applyFill="1" applyBorder="1" applyAlignment="1">
      <alignment horizontal="center" vertical="center"/>
    </xf>
    <xf numFmtId="2" fontId="31" fillId="7" borderId="70" xfId="0" applyNumberFormat="1" applyFont="1" applyFill="1" applyBorder="1" applyAlignment="1">
      <alignment horizontal="center" vertical="center"/>
    </xf>
    <xf numFmtId="0" fontId="25" fillId="0" borderId="50" xfId="0" applyFont="1" applyBorder="1">
      <alignment vertical="top"/>
    </xf>
    <xf numFmtId="169" fontId="40" fillId="0" borderId="1" xfId="0" applyNumberFormat="1" applyFont="1" applyBorder="1" applyAlignment="1">
      <alignment horizontal="center" vertical="center"/>
    </xf>
    <xf numFmtId="0" fontId="22" fillId="0" borderId="0" xfId="0" applyFont="1" applyAlignment="1">
      <alignment horizontal="right" vertical="center"/>
    </xf>
    <xf numFmtId="166" fontId="22" fillId="0" borderId="64" xfId="0" applyNumberFormat="1" applyFont="1" applyBorder="1" applyAlignment="1">
      <alignment horizontal="center" vertical="center" shrinkToFit="1"/>
    </xf>
    <xf numFmtId="0" fontId="22" fillId="0" borderId="64" xfId="0" applyFont="1" applyBorder="1" applyAlignment="1">
      <alignment horizontal="center" vertical="center"/>
    </xf>
    <xf numFmtId="0" fontId="22" fillId="0" borderId="64" xfId="0" applyFont="1" applyBorder="1" applyAlignment="1">
      <alignment horizontal="left" vertical="center"/>
    </xf>
    <xf numFmtId="0" fontId="22" fillId="0" borderId="64" xfId="0" applyFont="1" applyBorder="1" applyAlignment="1">
      <alignment horizontal="center" vertical="center"/>
    </xf>
    <xf numFmtId="0" fontId="35" fillId="0" borderId="0" xfId="0" applyFont="1" applyAlignment="1">
      <alignment horizontal="right" vertical="center"/>
    </xf>
    <xf numFmtId="0" fontId="38" fillId="0" borderId="0" xfId="0" applyFont="1" applyAlignment="1">
      <alignment horizontal="right" vertical="center"/>
    </xf>
    <xf numFmtId="0" fontId="38" fillId="0" borderId="44" xfId="0" applyFont="1" applyBorder="1" applyAlignment="1">
      <alignment vertical="center"/>
    </xf>
    <xf numFmtId="0" fontId="12" fillId="0" borderId="44" xfId="0" applyFont="1" applyBorder="1" applyAlignment="1">
      <alignment horizontal="center" vertical="center"/>
    </xf>
    <xf numFmtId="2" fontId="31" fillId="3" borderId="62" xfId="0" applyNumberFormat="1" applyFont="1" applyFill="1" applyBorder="1" applyAlignment="1">
      <alignment vertical="center"/>
    </xf>
    <xf numFmtId="173" fontId="31" fillId="3" borderId="62" xfId="0" applyNumberFormat="1" applyFont="1" applyFill="1" applyBorder="1" applyAlignment="1">
      <alignment vertical="center"/>
    </xf>
    <xf numFmtId="0" fontId="31" fillId="0" borderId="88" xfId="0" applyFont="1" applyBorder="1" applyAlignment="1">
      <alignment horizontal="center" vertical="center"/>
    </xf>
    <xf numFmtId="0" fontId="31" fillId="0" borderId="89" xfId="0" applyFont="1" applyBorder="1" applyAlignment="1">
      <alignment horizontal="center" vertical="center"/>
    </xf>
    <xf numFmtId="169" fontId="40" fillId="0" borderId="89" xfId="0" applyNumberFormat="1" applyFont="1" applyBorder="1" applyAlignment="1">
      <alignment horizontal="center" vertical="center"/>
    </xf>
    <xf numFmtId="2" fontId="31" fillId="0" borderId="90" xfId="0" applyNumberFormat="1" applyFont="1" applyBorder="1" applyAlignment="1">
      <alignment horizontal="center" vertical="center"/>
    </xf>
    <xf numFmtId="0" fontId="31" fillId="8" borderId="69" xfId="0" applyFont="1" applyFill="1" applyBorder="1" applyAlignment="1">
      <alignment horizontal="center" vertical="center"/>
    </xf>
    <xf numFmtId="0" fontId="31" fillId="8" borderId="1" xfId="0" applyFont="1" applyFill="1" applyBorder="1" applyAlignment="1">
      <alignment horizontal="center" vertical="center"/>
    </xf>
    <xf numFmtId="169" fontId="31" fillId="8" borderId="1" xfId="0" applyNumberFormat="1" applyFont="1" applyFill="1" applyBorder="1" applyAlignment="1">
      <alignment horizontal="center" vertical="center"/>
    </xf>
    <xf numFmtId="2" fontId="31" fillId="8" borderId="70" xfId="0" applyNumberFormat="1" applyFont="1" applyFill="1" applyBorder="1" applyAlignment="1">
      <alignment horizontal="center" vertical="center"/>
    </xf>
    <xf numFmtId="0" fontId="12" fillId="0" borderId="0" xfId="0" applyFont="1">
      <alignment vertical="top"/>
    </xf>
    <xf numFmtId="0" fontId="31" fillId="0" borderId="0" xfId="0" applyFont="1">
      <alignment vertical="top"/>
    </xf>
    <xf numFmtId="0" fontId="6" fillId="4" borderId="79"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80" xfId="0" applyFont="1" applyFill="1" applyBorder="1" applyAlignment="1">
      <alignment horizontal="center" vertical="center"/>
    </xf>
    <xf numFmtId="0" fontId="6" fillId="4" borderId="82"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83" xfId="0" applyFont="1" applyFill="1" applyBorder="1" applyAlignment="1">
      <alignment horizontal="center" vertical="center"/>
    </xf>
    <xf numFmtId="0" fontId="6" fillId="4" borderId="85" xfId="0" applyFont="1" applyFill="1" applyBorder="1" applyAlignment="1">
      <alignment horizontal="center" vertical="center"/>
    </xf>
    <xf numFmtId="0" fontId="6" fillId="4" borderId="86" xfId="0" applyFont="1" applyFill="1" applyBorder="1" applyAlignment="1">
      <alignment horizontal="center" vertical="center"/>
    </xf>
    <xf numFmtId="0" fontId="6" fillId="4" borderId="87" xfId="0" applyFont="1" applyFill="1" applyBorder="1" applyAlignment="1">
      <alignment horizontal="center" vertical="center"/>
    </xf>
    <xf numFmtId="0" fontId="22" fillId="0" borderId="91" xfId="0" applyFont="1" applyBorder="1" applyAlignment="1">
      <alignment horizontal="left" vertical="center"/>
    </xf>
    <xf numFmtId="0" fontId="22" fillId="0" borderId="91" xfId="0" applyFont="1" applyBorder="1" applyAlignment="1">
      <alignment vertical="center"/>
    </xf>
    <xf numFmtId="0" fontId="22" fillId="0" borderId="92" xfId="0" applyFont="1" applyBorder="1" applyAlignment="1">
      <alignment horizontal="left" vertical="center"/>
    </xf>
    <xf numFmtId="0" fontId="22" fillId="0" borderId="92" xfId="0" applyFont="1" applyBorder="1" applyAlignment="1">
      <alignment vertical="center"/>
    </xf>
    <xf numFmtId="0" fontId="6" fillId="3" borderId="79"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80" xfId="0" applyFont="1" applyFill="1" applyBorder="1" applyAlignment="1">
      <alignment horizontal="center" vertical="center"/>
    </xf>
    <xf numFmtId="0" fontId="6" fillId="3" borderId="82"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83" xfId="0" applyFont="1" applyFill="1" applyBorder="1" applyAlignment="1">
      <alignment horizontal="center" vertical="center"/>
    </xf>
    <xf numFmtId="1" fontId="6" fillId="2" borderId="93" xfId="0" applyNumberFormat="1" applyFont="1" applyFill="1" applyBorder="1" applyAlignment="1">
      <alignment horizontal="center" vertical="center"/>
    </xf>
    <xf numFmtId="0" fontId="6" fillId="3" borderId="94" xfId="0" applyFont="1" applyFill="1" applyBorder="1" applyAlignment="1">
      <alignment horizontal="center" vertical="center"/>
    </xf>
    <xf numFmtId="0" fontId="6" fillId="3" borderId="89" xfId="0" applyFont="1" applyFill="1" applyBorder="1" applyAlignment="1">
      <alignment horizontal="center" vertical="center"/>
    </xf>
    <xf numFmtId="0" fontId="6" fillId="3" borderId="95" xfId="0" applyFont="1" applyFill="1" applyBorder="1" applyAlignment="1">
      <alignment horizontal="center" vertical="center"/>
    </xf>
    <xf numFmtId="0" fontId="12" fillId="0" borderId="46" xfId="0" applyFont="1" applyBorder="1" applyAlignment="1">
      <alignment vertical="center"/>
    </xf>
    <xf numFmtId="0" fontId="31" fillId="6" borderId="1" xfId="0" applyFont="1" applyFill="1" applyBorder="1" applyAlignment="1">
      <alignment horizontal="center" vertical="center"/>
    </xf>
    <xf numFmtId="0" fontId="12" fillId="0" borderId="51" xfId="0" applyFont="1" applyBorder="1" applyAlignment="1">
      <alignment vertical="center"/>
    </xf>
    <xf numFmtId="0" fontId="31" fillId="6" borderId="64" xfId="0" applyFont="1" applyFill="1" applyBorder="1" applyAlignment="1">
      <alignment horizontal="center" vertical="center"/>
    </xf>
    <xf numFmtId="2" fontId="31" fillId="0" borderId="64" xfId="0" applyNumberFormat="1" applyFont="1" applyBorder="1" applyAlignment="1">
      <alignment horizontal="center" vertical="center"/>
    </xf>
    <xf numFmtId="2" fontId="31" fillId="0" borderId="68" xfId="0" applyNumberFormat="1" applyFont="1" applyBorder="1" applyAlignment="1">
      <alignment horizontal="center" vertical="center"/>
    </xf>
    <xf numFmtId="169" fontId="31" fillId="3" borderId="62" xfId="0" applyNumberFormat="1" applyFont="1" applyFill="1" applyBorder="1" applyAlignment="1">
      <alignment vertical="center"/>
    </xf>
    <xf numFmtId="0" fontId="31" fillId="8" borderId="88" xfId="0" applyFont="1" applyFill="1" applyBorder="1" applyAlignment="1">
      <alignment horizontal="center" vertical="center"/>
    </xf>
    <xf numFmtId="0" fontId="31" fillId="8" borderId="89" xfId="0" applyFont="1" applyFill="1" applyBorder="1" applyAlignment="1">
      <alignment horizontal="center" vertical="center"/>
    </xf>
    <xf numFmtId="169" fontId="31" fillId="8" borderId="89" xfId="0" applyNumberFormat="1" applyFont="1" applyFill="1" applyBorder="1" applyAlignment="1">
      <alignment horizontal="center" vertical="center"/>
    </xf>
    <xf numFmtId="2" fontId="31" fillId="8" borderId="90" xfId="0" applyNumberFormat="1" applyFont="1" applyFill="1" applyBorder="1" applyAlignment="1">
      <alignment horizontal="center" vertical="center"/>
    </xf>
    <xf numFmtId="0" fontId="22" fillId="4" borderId="62" xfId="0" applyFont="1" applyFill="1" applyBorder="1" applyAlignment="1">
      <alignment horizontal="left" vertical="center"/>
    </xf>
    <xf numFmtId="0" fontId="41" fillId="0" borderId="0" xfId="0" applyFont="1" applyAlignment="1">
      <alignment vertical="center"/>
    </xf>
    <xf numFmtId="0" fontId="22" fillId="3" borderId="62" xfId="0" applyFont="1" applyFill="1" applyBorder="1" applyAlignment="1">
      <alignment horizontal="left" vertical="center"/>
    </xf>
    <xf numFmtId="0" fontId="42" fillId="0" borderId="92" xfId="0" applyFont="1" applyBorder="1">
      <alignment vertical="top"/>
    </xf>
    <xf numFmtId="0" fontId="25" fillId="0" borderId="92" xfId="0" applyFont="1" applyBorder="1">
      <alignment vertical="top"/>
    </xf>
    <xf numFmtId="0" fontId="31" fillId="0" borderId="62" xfId="0" applyFont="1" applyBorder="1" applyAlignment="1">
      <alignment horizontal="center" vertical="center"/>
    </xf>
    <xf numFmtId="0" fontId="25" fillId="0" borderId="0" xfId="0" applyFont="1" applyAlignment="1">
      <alignment horizontal="left" vertical="center"/>
    </xf>
    <xf numFmtId="0" fontId="22" fillId="0" borderId="56" xfId="0" applyFont="1" applyBorder="1" applyAlignment="1">
      <alignment horizontal="left" vertical="center"/>
    </xf>
    <xf numFmtId="0" fontId="31" fillId="6" borderId="1" xfId="0" applyFont="1" applyFill="1" applyBorder="1" applyAlignment="1">
      <alignment horizontal="center" vertical="center"/>
    </xf>
    <xf numFmtId="0" fontId="31" fillId="0" borderId="96" xfId="0" applyFont="1" applyBorder="1" applyAlignment="1">
      <alignment horizontal="center" vertical="center"/>
    </xf>
    <xf numFmtId="0" fontId="31" fillId="4" borderId="97" xfId="0" applyFont="1" applyFill="1" applyBorder="1" applyAlignment="1">
      <alignment horizontal="left" vertical="center"/>
    </xf>
    <xf numFmtId="0" fontId="31" fillId="0" borderId="64" xfId="0" applyFont="1" applyBorder="1" applyAlignment="1">
      <alignment vertical="center"/>
    </xf>
    <xf numFmtId="0" fontId="12" fillId="0" borderId="0" xfId="0" applyFont="1" applyBorder="1" applyAlignment="1">
      <alignment vertical="center"/>
    </xf>
    <xf numFmtId="0" fontId="43" fillId="0" borderId="0" xfId="0" applyFont="1" applyAlignment="1">
      <alignment horizontal="right" vertical="center"/>
    </xf>
    <xf numFmtId="0" fontId="31" fillId="0" borderId="68" xfId="0" applyFont="1" applyBorder="1" applyAlignment="1">
      <alignment horizontal="left" vertical="center"/>
    </xf>
    <xf numFmtId="0" fontId="31" fillId="0" borderId="68" xfId="0" applyFont="1" applyBorder="1" applyAlignment="1">
      <alignment vertical="center"/>
    </xf>
    <xf numFmtId="0" fontId="22" fillId="0" borderId="0" xfId="0" applyFont="1" applyAlignment="1">
      <alignment horizontal="left" vertical="center"/>
    </xf>
    <xf numFmtId="0" fontId="31" fillId="0" borderId="53" xfId="0" applyFont="1" applyBorder="1" applyAlignment="1">
      <alignment horizontal="center" vertical="center"/>
    </xf>
    <xf numFmtId="0" fontId="39" fillId="0" borderId="0" xfId="0" applyFont="1" applyBorder="1" applyAlignment="1">
      <alignment horizontal="center" vertical="center"/>
    </xf>
    <xf numFmtId="0" fontId="31" fillId="3" borderId="98" xfId="0" applyFont="1" applyFill="1" applyBorder="1" applyAlignment="1">
      <alignment horizontal="left" vertical="center"/>
    </xf>
    <xf numFmtId="0" fontId="31" fillId="0" borderId="1" xfId="0" applyFont="1" applyBorder="1" applyAlignment="1">
      <alignment horizontal="center" vertical="center"/>
    </xf>
    <xf numFmtId="0" fontId="31" fillId="6" borderId="99" xfId="0" applyFont="1" applyFill="1" applyBorder="1" applyAlignment="1">
      <alignment horizontal="center" vertical="center"/>
    </xf>
    <xf numFmtId="0" fontId="6" fillId="0" borderId="0" xfId="0" applyFont="1" applyBorder="1" applyAlignment="1">
      <alignment horizontal="center" vertical="center"/>
    </xf>
    <xf numFmtId="0" fontId="6" fillId="0" borderId="0" xfId="0" applyFont="1" applyAlignment="1">
      <alignment vertical="center"/>
    </xf>
    <xf numFmtId="0" fontId="6" fillId="0" borderId="100" xfId="0" applyFont="1" applyBorder="1" applyAlignment="1" applyProtection="1">
      <alignment horizontal="center" vertical="center"/>
    </xf>
    <xf numFmtId="0" fontId="6" fillId="0" borderId="101" xfId="0" applyFont="1" applyBorder="1" applyAlignment="1" applyProtection="1">
      <alignment horizontal="center" vertical="center"/>
    </xf>
    <xf numFmtId="1" fontId="6" fillId="6" borderId="102" xfId="0" applyNumberFormat="1" applyFont="1" applyFill="1" applyBorder="1" applyAlignment="1" applyProtection="1">
      <alignment horizontal="center" vertical="center"/>
      <protection locked="0"/>
    </xf>
    <xf numFmtId="1" fontId="6" fillId="6" borderId="1" xfId="0" applyNumberFormat="1" applyFont="1" applyFill="1" applyBorder="1" applyAlignment="1" applyProtection="1">
      <alignment horizontal="center" vertical="center"/>
      <protection locked="0"/>
    </xf>
    <xf numFmtId="0" fontId="31" fillId="0" borderId="96" xfId="0" applyFont="1" applyBorder="1" applyAlignment="1">
      <alignment vertical="center"/>
    </xf>
    <xf numFmtId="0" fontId="31" fillId="0" borderId="51" xfId="0" applyFont="1" applyBorder="1" applyAlignment="1">
      <alignment horizontal="right" vertical="center"/>
    </xf>
    <xf numFmtId="0" fontId="31" fillId="0" borderId="64" xfId="0" applyFont="1" applyBorder="1" applyAlignment="1">
      <alignment horizontal="center" vertical="center"/>
    </xf>
    <xf numFmtId="0" fontId="25" fillId="0" borderId="52" xfId="0" applyFont="1" applyBorder="1">
      <alignment vertical="top"/>
    </xf>
    <xf numFmtId="0" fontId="31" fillId="0" borderId="103" xfId="0" applyFont="1" applyBorder="1" applyAlignment="1">
      <alignment vertical="center"/>
    </xf>
    <xf numFmtId="0" fontId="31" fillId="0" borderId="104" xfId="0" applyFont="1" applyBorder="1" applyAlignment="1">
      <alignment vertical="center"/>
    </xf>
    <xf numFmtId="0" fontId="31" fillId="0" borderId="106" xfId="0" applyFont="1" applyBorder="1" applyAlignment="1">
      <alignment horizontal="center" vertical="center"/>
    </xf>
    <xf numFmtId="0" fontId="31" fillId="0" borderId="108" xfId="0" applyFont="1" applyBorder="1" applyAlignment="1">
      <alignment horizontal="center" vertical="center"/>
    </xf>
    <xf numFmtId="169" fontId="31" fillId="6" borderId="109" xfId="0" applyNumberFormat="1" applyFont="1" applyFill="1" applyBorder="1" applyAlignment="1">
      <alignment horizontal="center" vertical="center"/>
    </xf>
    <xf numFmtId="169" fontId="31" fillId="6" borderId="110" xfId="0" applyNumberFormat="1" applyFont="1" applyFill="1" applyBorder="1" applyAlignment="1">
      <alignment horizontal="center" vertical="center"/>
    </xf>
    <xf numFmtId="169" fontId="31" fillId="6" borderId="111" xfId="0" applyNumberFormat="1" applyFont="1" applyFill="1" applyBorder="1" applyAlignment="1">
      <alignment horizontal="center" vertical="center"/>
    </xf>
    <xf numFmtId="169" fontId="31" fillId="6" borderId="112" xfId="0" applyNumberFormat="1" applyFont="1" applyFill="1" applyBorder="1" applyAlignment="1">
      <alignment horizontal="center" vertical="center"/>
    </xf>
    <xf numFmtId="169" fontId="31" fillId="6" borderId="113" xfId="0" applyNumberFormat="1" applyFont="1" applyFill="1" applyBorder="1" applyAlignment="1">
      <alignment horizontal="center" vertical="center"/>
    </xf>
    <xf numFmtId="169" fontId="31" fillId="6" borderId="53" xfId="0" applyNumberFormat="1" applyFont="1" applyFill="1" applyBorder="1" applyAlignment="1">
      <alignment horizontal="center" vertical="center"/>
    </xf>
    <xf numFmtId="169" fontId="31" fillId="6" borderId="114" xfId="0" applyNumberFormat="1" applyFont="1" applyFill="1" applyBorder="1" applyAlignment="1">
      <alignment horizontal="center" vertical="center"/>
    </xf>
    <xf numFmtId="169" fontId="31" fillId="6" borderId="115" xfId="0" applyNumberFormat="1" applyFont="1" applyFill="1" applyBorder="1" applyAlignment="1">
      <alignment horizontal="center" vertical="center"/>
    </xf>
    <xf numFmtId="169" fontId="31" fillId="6" borderId="116" xfId="0" applyNumberFormat="1" applyFont="1" applyFill="1" applyBorder="1" applyAlignment="1">
      <alignment horizontal="center" vertical="center"/>
    </xf>
    <xf numFmtId="169" fontId="31" fillId="6" borderId="117" xfId="0" applyNumberFormat="1" applyFont="1" applyFill="1" applyBorder="1" applyAlignment="1">
      <alignment horizontal="center" vertical="center"/>
    </xf>
    <xf numFmtId="169" fontId="31" fillId="6" borderId="118" xfId="0" applyNumberFormat="1" applyFont="1" applyFill="1" applyBorder="1" applyAlignment="1">
      <alignment horizontal="center" vertical="center"/>
    </xf>
    <xf numFmtId="169" fontId="31" fillId="6" borderId="119" xfId="0" applyNumberFormat="1" applyFont="1" applyFill="1" applyBorder="1" applyAlignment="1">
      <alignment horizontal="center" vertical="center"/>
    </xf>
    <xf numFmtId="169" fontId="31" fillId="6" borderId="120" xfId="0" applyNumberFormat="1" applyFont="1" applyFill="1" applyBorder="1" applyAlignment="1">
      <alignment horizontal="center" vertical="center"/>
    </xf>
    <xf numFmtId="0" fontId="25" fillId="0" borderId="51" xfId="0" applyFont="1" applyBorder="1">
      <alignment vertical="top"/>
    </xf>
    <xf numFmtId="0" fontId="22" fillId="0" borderId="64" xfId="0" applyFont="1" applyBorder="1" applyAlignment="1">
      <alignment vertical="center"/>
    </xf>
    <xf numFmtId="0" fontId="22" fillId="0" borderId="121" xfId="0" applyFont="1" applyBorder="1" applyAlignment="1">
      <alignment vertical="center"/>
    </xf>
    <xf numFmtId="10" fontId="31" fillId="0" borderId="122" xfId="0" applyNumberFormat="1" applyFont="1" applyBorder="1" applyAlignment="1">
      <alignment horizontal="center" vertical="center"/>
    </xf>
    <xf numFmtId="10" fontId="31" fillId="0" borderId="123" xfId="0" applyNumberFormat="1" applyFont="1" applyBorder="1" applyAlignment="1">
      <alignment horizontal="center" vertical="center"/>
    </xf>
    <xf numFmtId="10" fontId="31" fillId="0" borderId="112" xfId="0" applyNumberFormat="1" applyFont="1" applyBorder="1" applyAlignment="1">
      <alignment horizontal="center" vertical="center"/>
    </xf>
    <xf numFmtId="0" fontId="22" fillId="0" borderId="68" xfId="0" applyFont="1" applyBorder="1" applyAlignment="1">
      <alignment horizontal="left" vertical="center"/>
    </xf>
    <xf numFmtId="0" fontId="22" fillId="0" borderId="68" xfId="0" applyFont="1" applyBorder="1" applyAlignment="1">
      <alignment vertical="center"/>
    </xf>
    <xf numFmtId="0" fontId="22" fillId="0" borderId="124" xfId="0" applyFont="1" applyBorder="1" applyAlignment="1">
      <alignment vertical="center"/>
    </xf>
    <xf numFmtId="10" fontId="31" fillId="0" borderId="125" xfId="0" applyNumberFormat="1" applyFont="1" applyBorder="1" applyAlignment="1">
      <alignment horizontal="center" vertical="center"/>
    </xf>
    <xf numFmtId="10" fontId="31" fillId="0" borderId="126" xfId="0" applyNumberFormat="1" applyFont="1" applyBorder="1" applyAlignment="1">
      <alignment horizontal="center" vertical="center"/>
    </xf>
    <xf numFmtId="10" fontId="31" fillId="0" borderId="115" xfId="0" applyNumberFormat="1" applyFont="1" applyBorder="1" applyAlignment="1">
      <alignment horizontal="center" vertical="center"/>
    </xf>
    <xf numFmtId="10" fontId="31" fillId="0" borderId="127" xfId="0" applyNumberFormat="1" applyFont="1" applyBorder="1" applyAlignment="1">
      <alignment horizontal="center" vertical="center"/>
    </xf>
    <xf numFmtId="10" fontId="31" fillId="0" borderId="128" xfId="0" applyNumberFormat="1" applyFont="1" applyBorder="1" applyAlignment="1">
      <alignment horizontal="center" vertical="center"/>
    </xf>
    <xf numFmtId="10" fontId="31" fillId="0" borderId="120" xfId="0" applyNumberFormat="1" applyFont="1" applyBorder="1" applyAlignment="1">
      <alignment horizontal="center" vertical="center"/>
    </xf>
    <xf numFmtId="10" fontId="31" fillId="0" borderId="65" xfId="0" applyNumberFormat="1" applyFont="1" applyBorder="1" applyAlignment="1">
      <alignment horizontal="center" vertical="center"/>
    </xf>
    <xf numFmtId="10" fontId="31" fillId="0" borderId="66" xfId="0" applyNumberFormat="1" applyFont="1" applyBorder="1" applyAlignment="1">
      <alignment horizontal="center" vertical="center"/>
    </xf>
    <xf numFmtId="10" fontId="31" fillId="0" borderId="67" xfId="0" applyNumberFormat="1" applyFont="1" applyBorder="1" applyAlignment="1">
      <alignment horizontal="center" vertical="center"/>
    </xf>
    <xf numFmtId="10" fontId="31" fillId="0" borderId="88" xfId="0" applyNumberFormat="1" applyFont="1" applyBorder="1" applyAlignment="1">
      <alignment horizontal="center" vertical="center"/>
    </xf>
    <xf numFmtId="10" fontId="31" fillId="0" borderId="89" xfId="0" applyNumberFormat="1" applyFont="1" applyBorder="1" applyAlignment="1">
      <alignment horizontal="center" vertical="center"/>
    </xf>
    <xf numFmtId="10" fontId="31" fillId="0" borderId="90" xfId="0" applyNumberFormat="1" applyFont="1" applyBorder="1" applyAlignment="1">
      <alignment horizontal="center" vertical="center"/>
    </xf>
    <xf numFmtId="1" fontId="6" fillId="0" borderId="102" xfId="0" applyNumberFormat="1" applyFont="1" applyBorder="1" applyAlignment="1" applyProtection="1">
      <alignment horizontal="center" vertical="center"/>
      <protection locked="0"/>
    </xf>
    <xf numFmtId="1" fontId="6" fillId="0" borderId="1" xfId="0" applyNumberFormat="1" applyFont="1" applyBorder="1" applyAlignment="1" applyProtection="1">
      <alignment horizontal="center" vertical="center"/>
      <protection locked="0"/>
    </xf>
    <xf numFmtId="0" fontId="31" fillId="0" borderId="129" xfId="0" applyFont="1" applyBorder="1" applyAlignment="1">
      <alignment vertical="center"/>
    </xf>
    <xf numFmtId="0" fontId="31" fillId="0" borderId="0" xfId="0" applyFont="1" applyBorder="1" applyAlignment="1">
      <alignment horizontal="center" vertical="center"/>
    </xf>
    <xf numFmtId="169" fontId="31" fillId="6" borderId="122" xfId="0" applyNumberFormat="1" applyFont="1" applyFill="1" applyBorder="1" applyAlignment="1">
      <alignment horizontal="center" vertical="center"/>
    </xf>
    <xf numFmtId="169" fontId="31" fillId="6" borderId="123" xfId="0" applyNumberFormat="1" applyFont="1" applyFill="1" applyBorder="1" applyAlignment="1">
      <alignment horizontal="center" vertical="center"/>
    </xf>
    <xf numFmtId="169" fontId="31" fillId="6" borderId="125" xfId="0" applyNumberFormat="1" applyFont="1" applyFill="1" applyBorder="1" applyAlignment="1">
      <alignment horizontal="center" vertical="center"/>
    </xf>
    <xf numFmtId="169" fontId="31" fillId="6" borderId="126" xfId="0" applyNumberFormat="1" applyFont="1" applyFill="1" applyBorder="1" applyAlignment="1">
      <alignment horizontal="center" vertical="center"/>
    </xf>
    <xf numFmtId="169" fontId="31" fillId="6" borderId="130" xfId="0" applyNumberFormat="1" applyFont="1" applyFill="1" applyBorder="1" applyAlignment="1">
      <alignment horizontal="center" vertical="center"/>
    </xf>
    <xf numFmtId="10" fontId="31" fillId="0" borderId="69" xfId="0" applyNumberFormat="1" applyFont="1" applyBorder="1" applyAlignment="1">
      <alignment horizontal="center" vertical="center"/>
    </xf>
    <xf numFmtId="10" fontId="31" fillId="0" borderId="1" xfId="0" applyNumberFormat="1" applyFont="1" applyBorder="1" applyAlignment="1">
      <alignment horizontal="center" vertical="center"/>
    </xf>
    <xf numFmtId="10" fontId="31" fillId="0" borderId="102" xfId="0" applyNumberFormat="1" applyFont="1" applyBorder="1" applyAlignment="1">
      <alignment horizontal="center" vertical="center"/>
    </xf>
    <xf numFmtId="10" fontId="31" fillId="0" borderId="70" xfId="0" applyNumberFormat="1" applyFont="1" applyBorder="1" applyAlignment="1">
      <alignment horizontal="center" vertical="center"/>
    </xf>
    <xf numFmtId="169" fontId="31" fillId="6" borderId="127" xfId="0" applyNumberFormat="1" applyFont="1" applyFill="1" applyBorder="1" applyAlignment="1">
      <alignment horizontal="center" vertical="center"/>
    </xf>
    <xf numFmtId="169" fontId="31" fillId="6" borderId="128" xfId="0" applyNumberFormat="1" applyFont="1" applyFill="1" applyBorder="1" applyAlignment="1">
      <alignment horizontal="center" vertical="center"/>
    </xf>
    <xf numFmtId="10" fontId="31" fillId="0" borderId="131" xfId="0" applyNumberFormat="1" applyFont="1" applyBorder="1" applyAlignment="1">
      <alignment horizontal="center" vertical="center"/>
    </xf>
    <xf numFmtId="10" fontId="31" fillId="0" borderId="132" xfId="0" applyNumberFormat="1" applyFont="1" applyBorder="1" applyAlignment="1">
      <alignment horizontal="center" vertical="center"/>
    </xf>
    <xf numFmtId="0" fontId="31" fillId="0" borderId="133" xfId="0" applyFont="1" applyBorder="1" applyAlignment="1">
      <alignment horizontal="center" vertical="center"/>
    </xf>
    <xf numFmtId="0" fontId="31" fillId="0" borderId="134" xfId="0" applyFont="1" applyBorder="1" applyAlignment="1">
      <alignment horizontal="center" vertical="center"/>
    </xf>
    <xf numFmtId="0" fontId="31" fillId="0" borderId="135" xfId="0" applyFont="1" applyBorder="1" applyAlignment="1">
      <alignment horizontal="center" vertical="center"/>
    </xf>
    <xf numFmtId="0" fontId="31" fillId="0" borderId="136" xfId="0" applyFont="1" applyBorder="1" applyAlignment="1">
      <alignment horizontal="center" vertical="center"/>
    </xf>
    <xf numFmtId="0" fontId="25" fillId="0" borderId="49" xfId="0" applyFont="1" applyBorder="1">
      <alignment vertical="top"/>
    </xf>
    <xf numFmtId="174" fontId="31" fillId="0" borderId="133" xfId="0" applyNumberFormat="1" applyFont="1" applyBorder="1" applyAlignment="1">
      <alignment horizontal="center" vertical="center"/>
    </xf>
    <xf numFmtId="0" fontId="22" fillId="0" borderId="0" xfId="0" applyFont="1" applyBorder="1" applyAlignment="1">
      <alignment vertical="center"/>
    </xf>
    <xf numFmtId="0" fontId="25" fillId="0" borderId="55" xfId="0" applyFont="1" applyBorder="1">
      <alignment vertical="top"/>
    </xf>
    <xf numFmtId="0" fontId="25" fillId="0" borderId="56" xfId="0" applyFont="1" applyBorder="1">
      <alignment vertical="top"/>
    </xf>
    <xf numFmtId="0" fontId="25" fillId="0" borderId="57" xfId="0" applyFont="1" applyBorder="1">
      <alignment vertical="top"/>
    </xf>
    <xf numFmtId="0" fontId="22" fillId="0" borderId="59" xfId="0" applyFont="1" applyBorder="1" applyAlignment="1">
      <alignment vertical="center"/>
    </xf>
    <xf numFmtId="0" fontId="31" fillId="0" borderId="62" xfId="0" applyFont="1" applyBorder="1" applyAlignment="1">
      <alignment vertical="center"/>
    </xf>
    <xf numFmtId="0" fontId="31" fillId="4" borderId="1" xfId="0" applyFont="1" applyFill="1" applyBorder="1" applyAlignment="1">
      <alignment horizontal="center" vertical="center"/>
    </xf>
    <xf numFmtId="0" fontId="38" fillId="0" borderId="0" xfId="0" applyFont="1" applyBorder="1" applyAlignment="1">
      <alignment horizontal="right" vertical="center"/>
    </xf>
    <xf numFmtId="0" fontId="31" fillId="6" borderId="64" xfId="0" applyFont="1" applyFill="1" applyBorder="1" applyAlignment="1">
      <alignment horizontal="center"/>
    </xf>
    <xf numFmtId="0" fontId="31" fillId="0" borderId="0" xfId="0" applyFont="1" applyAlignment="1">
      <alignment horizontal="right" vertical="center"/>
    </xf>
    <xf numFmtId="1" fontId="31" fillId="0" borderId="96" xfId="0" applyNumberFormat="1" applyFont="1" applyBorder="1" applyAlignment="1">
      <alignment horizontal="center" vertical="center"/>
    </xf>
    <xf numFmtId="0" fontId="31" fillId="0" borderId="137" xfId="0" applyFont="1" applyBorder="1" applyAlignment="1">
      <alignment horizontal="center" vertical="center"/>
    </xf>
    <xf numFmtId="0" fontId="31" fillId="6" borderId="65" xfId="0" applyFont="1" applyFill="1" applyBorder="1" applyAlignment="1">
      <alignment horizontal="center" vertical="center"/>
    </xf>
    <xf numFmtId="0" fontId="31" fillId="6" borderId="66" xfId="0" applyFont="1" applyFill="1" applyBorder="1" applyAlignment="1">
      <alignment horizontal="center" vertical="center"/>
    </xf>
    <xf numFmtId="1" fontId="31" fillId="0" borderId="99" xfId="0" applyNumberFormat="1" applyFont="1" applyBorder="1" applyAlignment="1">
      <alignment horizontal="center" vertical="center"/>
    </xf>
    <xf numFmtId="0" fontId="31" fillId="0" borderId="138" xfId="0" applyFont="1" applyBorder="1" applyAlignment="1">
      <alignment horizontal="center" vertical="center"/>
    </xf>
    <xf numFmtId="0" fontId="31" fillId="6" borderId="69" xfId="0" applyFont="1" applyFill="1" applyBorder="1" applyAlignment="1">
      <alignment horizontal="center" vertical="center"/>
    </xf>
    <xf numFmtId="1" fontId="31" fillId="0" borderId="68" xfId="0" applyNumberFormat="1" applyFont="1" applyBorder="1" applyAlignment="1">
      <alignment horizontal="center" vertical="center"/>
    </xf>
    <xf numFmtId="1" fontId="31" fillId="6" borderId="1" xfId="0" applyNumberFormat="1" applyFont="1" applyFill="1" applyBorder="1" applyAlignment="1">
      <alignment horizontal="center" vertical="center"/>
    </xf>
    <xf numFmtId="0" fontId="31" fillId="0" borderId="139" xfId="0" applyFont="1" applyBorder="1" applyAlignment="1">
      <alignment horizontal="center" vertical="center"/>
    </xf>
    <xf numFmtId="0" fontId="31" fillId="6" borderId="88" xfId="0" applyFont="1" applyFill="1" applyBorder="1" applyAlignment="1">
      <alignment horizontal="center" vertical="center"/>
    </xf>
    <xf numFmtId="0" fontId="31" fillId="6" borderId="89" xfId="0" applyFont="1" applyFill="1" applyBorder="1" applyAlignment="1">
      <alignment horizontal="center" vertical="center"/>
    </xf>
    <xf numFmtId="1" fontId="31" fillId="6" borderId="89" xfId="0" applyNumberFormat="1" applyFont="1" applyFill="1" applyBorder="1" applyAlignment="1">
      <alignment horizontal="center" vertical="center"/>
    </xf>
    <xf numFmtId="1" fontId="31" fillId="0" borderId="140" xfId="0" applyNumberFormat="1" applyFont="1" applyBorder="1" applyAlignment="1">
      <alignment horizontal="center" vertical="center"/>
    </xf>
    <xf numFmtId="169" fontId="31" fillId="0" borderId="96" xfId="0" applyNumberFormat="1" applyFont="1" applyBorder="1" applyAlignment="1">
      <alignment horizontal="center" vertical="center"/>
    </xf>
    <xf numFmtId="0" fontId="25" fillId="0" borderId="96" xfId="0" applyFont="1" applyBorder="1" applyAlignment="1">
      <alignment vertical="center"/>
    </xf>
    <xf numFmtId="1" fontId="31" fillId="6" borderId="66" xfId="0" applyNumberFormat="1" applyFont="1" applyFill="1" applyBorder="1" applyAlignment="1">
      <alignment horizontal="center" vertical="center"/>
    </xf>
    <xf numFmtId="173" fontId="31" fillId="0" borderId="0" xfId="0" applyNumberFormat="1" applyFont="1" applyAlignment="1">
      <alignment vertical="center"/>
    </xf>
    <xf numFmtId="0" fontId="31" fillId="0" borderId="67" xfId="0" applyFont="1" applyBorder="1" applyAlignment="1">
      <alignment vertical="center"/>
    </xf>
    <xf numFmtId="2" fontId="31" fillId="0" borderId="1" xfId="0" applyNumberFormat="1" applyFont="1" applyBorder="1" applyAlignment="1">
      <alignment horizontal="center" vertical="center"/>
    </xf>
    <xf numFmtId="0" fontId="31" fillId="0" borderId="70" xfId="0" applyFont="1" applyBorder="1" applyAlignment="1">
      <alignment horizontal="center" vertical="center"/>
    </xf>
    <xf numFmtId="0" fontId="31" fillId="0" borderId="0" xfId="0" applyFont="1" applyAlignment="1">
      <alignment vertical="center"/>
    </xf>
    <xf numFmtId="1" fontId="31" fillId="0" borderId="1" xfId="0" applyNumberFormat="1" applyFont="1" applyBorder="1" applyAlignment="1">
      <alignment horizontal="center" vertical="center"/>
    </xf>
    <xf numFmtId="0" fontId="31" fillId="4" borderId="70" xfId="0" applyFont="1" applyFill="1" applyBorder="1" applyAlignment="1">
      <alignment vertical="center"/>
    </xf>
    <xf numFmtId="0" fontId="31" fillId="0" borderId="52" xfId="0" applyFont="1" applyBorder="1" applyAlignment="1">
      <alignment horizontal="center" vertical="center"/>
    </xf>
    <xf numFmtId="2" fontId="31" fillId="0" borderId="89" xfId="0" applyNumberFormat="1" applyFont="1" applyBorder="1" applyAlignment="1">
      <alignment horizontal="center" vertical="center"/>
    </xf>
    <xf numFmtId="0" fontId="31" fillId="0" borderId="90" xfId="0" applyFont="1" applyBorder="1" applyAlignment="1">
      <alignment horizontal="center" vertical="center"/>
    </xf>
    <xf numFmtId="0" fontId="31" fillId="0" borderId="0" xfId="0" applyFont="1" applyAlignment="1">
      <alignment horizontal="center" vertical="top"/>
    </xf>
    <xf numFmtId="2" fontId="31" fillId="6" borderId="66" xfId="0" applyNumberFormat="1" applyFont="1" applyFill="1" applyBorder="1" applyAlignment="1">
      <alignment horizontal="center" vertical="center"/>
    </xf>
    <xf numFmtId="2" fontId="31" fillId="0" borderId="0" xfId="0" applyNumberFormat="1" applyFont="1" applyAlignment="1">
      <alignment horizontal="center" vertical="center"/>
    </xf>
    <xf numFmtId="0" fontId="31" fillId="4" borderId="76" xfId="0" applyFont="1" applyFill="1" applyBorder="1" applyAlignment="1">
      <alignment horizontal="center" vertical="center"/>
    </xf>
    <xf numFmtId="2" fontId="31" fillId="6" borderId="1" xfId="0" applyNumberFormat="1" applyFont="1" applyFill="1" applyBorder="1" applyAlignment="1">
      <alignment horizontal="center" vertical="center"/>
    </xf>
    <xf numFmtId="0" fontId="31" fillId="4" borderId="108" xfId="0" applyFont="1" applyFill="1" applyBorder="1" applyAlignment="1">
      <alignment horizontal="center" vertical="center"/>
    </xf>
    <xf numFmtId="0" fontId="31" fillId="4" borderId="101" xfId="0" applyFont="1" applyFill="1" applyBorder="1" applyAlignment="1">
      <alignment horizontal="center" vertical="center"/>
    </xf>
    <xf numFmtId="0" fontId="38" fillId="0" borderId="56" xfId="0" applyFont="1" applyBorder="1" applyAlignment="1">
      <alignment horizontal="right" vertical="center"/>
    </xf>
    <xf numFmtId="0" fontId="22" fillId="0" borderId="0" xfId="0" applyFont="1" applyBorder="1" applyAlignment="1">
      <alignment horizontal="right" vertical="center"/>
    </xf>
    <xf numFmtId="0" fontId="31" fillId="0" borderId="0" xfId="0" applyFont="1" applyBorder="1" applyAlignment="1">
      <alignment horizontal="right" vertical="center"/>
    </xf>
    <xf numFmtId="0" fontId="31" fillId="0" borderId="67" xfId="0" applyFont="1" applyBorder="1" applyAlignment="1">
      <alignment horizontal="center" vertical="center"/>
    </xf>
    <xf numFmtId="166" fontId="31" fillId="0" borderId="64" xfId="0" applyNumberFormat="1" applyFont="1" applyBorder="1" applyAlignment="1">
      <alignment horizontal="center" vertical="center"/>
    </xf>
    <xf numFmtId="0" fontId="31" fillId="0" borderId="46" xfId="0" applyFont="1" applyBorder="1" applyAlignment="1">
      <alignment horizontal="center" vertical="center"/>
    </xf>
    <xf numFmtId="0" fontId="31" fillId="0" borderId="48" xfId="0" applyFont="1" applyBorder="1" applyAlignment="1">
      <alignment horizontal="center" vertical="center"/>
    </xf>
    <xf numFmtId="0" fontId="31" fillId="0" borderId="51" xfId="0" applyFont="1" applyBorder="1" applyAlignment="1">
      <alignment horizontal="center" vertical="center"/>
    </xf>
    <xf numFmtId="0" fontId="25" fillId="0" borderId="51" xfId="0" applyFont="1" applyBorder="1" applyAlignment="1">
      <alignment vertical="center"/>
    </xf>
    <xf numFmtId="2" fontId="31" fillId="0" borderId="64" xfId="0" applyNumberFormat="1" applyFont="1" applyBorder="1" applyAlignment="1">
      <alignment horizontal="center" vertical="center"/>
    </xf>
    <xf numFmtId="0" fontId="31" fillId="0" borderId="58" xfId="0" applyFont="1" applyBorder="1" applyAlignment="1">
      <alignment horizontal="center" vertical="center"/>
    </xf>
    <xf numFmtId="0" fontId="31" fillId="0" borderId="60" xfId="0" applyFont="1" applyBorder="1" applyAlignment="1">
      <alignment horizontal="center" vertical="center"/>
    </xf>
    <xf numFmtId="173" fontId="31" fillId="0" borderId="1" xfId="0" applyNumberFormat="1" applyFont="1" applyBorder="1" applyAlignment="1">
      <alignment horizontal="center" vertical="center"/>
    </xf>
    <xf numFmtId="166" fontId="31" fillId="0" borderId="141" xfId="0" applyNumberFormat="1" applyFont="1" applyBorder="1" applyAlignment="1">
      <alignment horizontal="center" vertical="center"/>
    </xf>
    <xf numFmtId="169" fontId="31" fillId="0" borderId="64" xfId="0" applyNumberFormat="1" applyFont="1" applyBorder="1" applyAlignment="1">
      <alignment horizontal="center" vertical="center"/>
    </xf>
    <xf numFmtId="0" fontId="32" fillId="0" borderId="0" xfId="0" applyFont="1" applyBorder="1" applyAlignment="1">
      <alignment vertical="center"/>
    </xf>
    <xf numFmtId="2" fontId="6" fillId="4" borderId="68" xfId="0" applyNumberFormat="1" applyFont="1" applyFill="1" applyBorder="1" applyAlignment="1">
      <alignment horizontal="center" vertical="center"/>
    </xf>
    <xf numFmtId="1" fontId="31" fillId="0" borderId="1" xfId="0" applyNumberFormat="1" applyFont="1" applyBorder="1" applyAlignment="1">
      <alignment horizontal="center" vertical="center"/>
    </xf>
    <xf numFmtId="2" fontId="31" fillId="0" borderId="1" xfId="0" applyNumberFormat="1" applyFont="1" applyBorder="1" applyAlignment="1">
      <alignment horizontal="center" vertical="center"/>
    </xf>
    <xf numFmtId="173" fontId="31" fillId="0" borderId="1" xfId="0" applyNumberFormat="1" applyFont="1" applyBorder="1" applyAlignment="1">
      <alignment horizontal="center" vertical="center"/>
    </xf>
    <xf numFmtId="175" fontId="31" fillId="0" borderId="64" xfId="0" applyNumberFormat="1" applyFont="1" applyBorder="1" applyAlignment="1">
      <alignment horizontal="center" vertical="center"/>
    </xf>
    <xf numFmtId="0" fontId="25" fillId="0" borderId="103" xfId="0" applyFont="1" applyBorder="1">
      <alignment vertical="top"/>
    </xf>
    <xf numFmtId="0" fontId="25" fillId="0" borderId="59" xfId="0" applyFont="1" applyBorder="1">
      <alignment vertical="top"/>
    </xf>
    <xf numFmtId="0" fontId="32" fillId="0" borderId="59" xfId="0" applyFont="1" applyBorder="1" applyAlignment="1">
      <alignment vertical="center"/>
    </xf>
    <xf numFmtId="0" fontId="25" fillId="0" borderId="104" xfId="0" applyFont="1" applyBorder="1">
      <alignment vertical="top"/>
    </xf>
    <xf numFmtId="10" fontId="31" fillId="0" borderId="1" xfId="0" applyNumberFormat="1" applyFont="1" applyBorder="1" applyAlignment="1">
      <alignment horizontal="center" vertical="center"/>
    </xf>
    <xf numFmtId="175" fontId="31" fillId="0" borderId="64" xfId="0" applyNumberFormat="1" applyFont="1" applyBorder="1" applyAlignment="1">
      <alignment horizontal="center" vertical="center"/>
    </xf>
    <xf numFmtId="169" fontId="31" fillId="0" borderId="64" xfId="0" applyNumberFormat="1" applyFont="1" applyBorder="1" applyAlignment="1">
      <alignment horizontal="center" vertical="center"/>
    </xf>
    <xf numFmtId="0" fontId="25" fillId="0" borderId="59" xfId="0" applyFont="1" applyBorder="1" applyAlignment="1">
      <alignment vertical="center"/>
    </xf>
    <xf numFmtId="0" fontId="31" fillId="0" borderId="59" xfId="0" applyFont="1" applyBorder="1" applyAlignment="1">
      <alignment horizontal="right" vertical="center"/>
    </xf>
    <xf numFmtId="0" fontId="31" fillId="0" borderId="62" xfId="0" applyFont="1" applyBorder="1" applyAlignment="1">
      <alignment horizontal="left" vertical="center"/>
    </xf>
    <xf numFmtId="169" fontId="31" fillId="0" borderId="65" xfId="0" applyNumberFormat="1" applyFont="1" applyBorder="1" applyAlignment="1">
      <alignment horizontal="center" vertical="center"/>
    </xf>
    <xf numFmtId="173" fontId="31" fillId="0" borderId="66" xfId="0" applyNumberFormat="1" applyFont="1" applyBorder="1" applyAlignment="1">
      <alignment horizontal="center" vertical="center"/>
    </xf>
    <xf numFmtId="169" fontId="31" fillId="0" borderId="69" xfId="0" applyNumberFormat="1" applyFont="1" applyBorder="1" applyAlignment="1">
      <alignment horizontal="center" vertical="center"/>
    </xf>
    <xf numFmtId="169" fontId="31" fillId="0" borderId="68" xfId="0" applyNumberFormat="1" applyFont="1" applyBorder="1" applyAlignment="1">
      <alignment horizontal="center" vertical="center"/>
    </xf>
    <xf numFmtId="169" fontId="31" fillId="0" borderId="88" xfId="0" applyNumberFormat="1" applyFont="1" applyBorder="1" applyAlignment="1">
      <alignment horizontal="center" vertical="center"/>
    </xf>
    <xf numFmtId="173" fontId="31" fillId="0" borderId="89" xfId="0" applyNumberFormat="1" applyFont="1" applyBorder="1" applyAlignment="1">
      <alignment horizontal="center" vertical="center"/>
    </xf>
    <xf numFmtId="175" fontId="31" fillId="0" borderId="68" xfId="0" applyNumberFormat="1" applyFont="1" applyBorder="1" applyAlignment="1">
      <alignment horizontal="center" vertical="center"/>
    </xf>
    <xf numFmtId="2" fontId="31" fillId="0" borderId="0" xfId="0" applyNumberFormat="1" applyFont="1" applyBorder="1" applyAlignment="1">
      <alignment horizontal="center" vertical="center"/>
    </xf>
    <xf numFmtId="0" fontId="25" fillId="0" borderId="47" xfId="0" applyFont="1" applyBorder="1">
      <alignment vertical="top"/>
    </xf>
    <xf numFmtId="0" fontId="25" fillId="0" borderId="48" xfId="0" applyFont="1" applyBorder="1">
      <alignment vertical="top"/>
    </xf>
    <xf numFmtId="0" fontId="31" fillId="0" borderId="51" xfId="0" applyFont="1" applyBorder="1">
      <alignment vertical="top"/>
    </xf>
    <xf numFmtId="0" fontId="31" fillId="0" borderId="50" xfId="0" applyFont="1" applyBorder="1" applyAlignment="1">
      <alignment horizontal="center" vertical="center"/>
    </xf>
    <xf numFmtId="2" fontId="31" fillId="0" borderId="144" xfId="0" applyNumberFormat="1" applyFont="1" applyBorder="1" applyAlignment="1">
      <alignment horizontal="center" vertical="center"/>
    </xf>
    <xf numFmtId="0" fontId="25" fillId="0" borderId="58" xfId="0" applyFont="1" applyBorder="1">
      <alignment vertical="top"/>
    </xf>
    <xf numFmtId="0" fontId="25" fillId="0" borderId="60" xfId="0" applyFont="1" applyBorder="1">
      <alignment vertical="top"/>
    </xf>
    <xf numFmtId="2" fontId="31" fillId="0" borderId="145" xfId="0" applyNumberFormat="1" applyFont="1" applyBorder="1" applyAlignment="1">
      <alignment horizontal="center" vertical="center"/>
    </xf>
    <xf numFmtId="0" fontId="25" fillId="0" borderId="47" xfId="0" applyFont="1" applyBorder="1" applyAlignment="1">
      <alignment vertical="center"/>
    </xf>
    <xf numFmtId="2" fontId="31" fillId="0" borderId="146" xfId="0" applyNumberFormat="1" applyFont="1" applyBorder="1" applyAlignment="1">
      <alignment horizontal="center" vertical="center"/>
    </xf>
    <xf numFmtId="0" fontId="31" fillId="6" borderId="64" xfId="0" applyFont="1" applyFill="1" applyBorder="1" applyAlignment="1">
      <alignment horizontal="left"/>
    </xf>
    <xf numFmtId="10" fontId="31" fillId="0" borderId="146" xfId="0" applyNumberFormat="1" applyFont="1" applyBorder="1" applyAlignment="1">
      <alignment horizontal="center" vertical="center"/>
    </xf>
    <xf numFmtId="0" fontId="12" fillId="0" borderId="0" xfId="0" applyFont="1" applyBorder="1" applyAlignment="1">
      <alignment horizontal="right" vertical="center"/>
    </xf>
    <xf numFmtId="169" fontId="12" fillId="0" borderId="64" xfId="0" applyNumberFormat="1" applyFont="1" applyBorder="1" applyAlignment="1">
      <alignment horizontal="center" vertical="center"/>
    </xf>
    <xf numFmtId="0" fontId="25" fillId="0" borderId="64" xfId="0" applyFont="1" applyBorder="1">
      <alignment vertical="top"/>
    </xf>
    <xf numFmtId="0" fontId="31" fillId="0" borderId="147" xfId="0" applyFont="1" applyBorder="1" applyAlignment="1">
      <alignment vertical="center"/>
    </xf>
    <xf numFmtId="0" fontId="12" fillId="0" borderId="148" xfId="0" applyFont="1" applyBorder="1" applyAlignment="1">
      <alignment vertical="center"/>
    </xf>
    <xf numFmtId="0" fontId="31" fillId="0" borderId="148" xfId="0" applyFont="1" applyBorder="1" applyAlignment="1">
      <alignment vertical="center"/>
    </xf>
    <xf numFmtId="0" fontId="31" fillId="0" borderId="149" xfId="0" applyFont="1" applyBorder="1" applyAlignment="1">
      <alignment vertical="center"/>
    </xf>
    <xf numFmtId="169" fontId="6" fillId="0" borderId="96" xfId="0" applyNumberFormat="1" applyFont="1" applyBorder="1" applyAlignment="1" applyProtection="1">
      <alignment horizontal="center" vertical="center"/>
      <protection locked="0"/>
    </xf>
    <xf numFmtId="0" fontId="31" fillId="0" borderId="1" xfId="1" applyNumberFormat="1" applyFont="1" applyFill="1" applyBorder="1" applyAlignment="1" applyProtection="1">
      <alignment horizontal="center" vertical="center"/>
    </xf>
    <xf numFmtId="0" fontId="31" fillId="0" borderId="44" xfId="0" applyFont="1" applyBorder="1" applyAlignment="1">
      <alignment horizontal="right" vertical="center"/>
    </xf>
    <xf numFmtId="0" fontId="31" fillId="0" borderId="150" xfId="0" applyFont="1" applyBorder="1" applyAlignment="1">
      <alignment horizontal="left" vertical="center"/>
    </xf>
    <xf numFmtId="0" fontId="31" fillId="0" borderId="44" xfId="0" applyFont="1" applyBorder="1" applyAlignment="1">
      <alignment horizontal="center" vertical="center"/>
    </xf>
    <xf numFmtId="2" fontId="31" fillId="0" borderId="62" xfId="0" applyNumberFormat="1" applyFont="1" applyBorder="1" applyAlignment="1">
      <alignment horizontal="center" vertical="center"/>
    </xf>
    <xf numFmtId="0" fontId="31" fillId="0" borderId="151" xfId="0" applyFont="1" applyBorder="1" applyAlignment="1">
      <alignment horizontal="center" vertical="center"/>
    </xf>
    <xf numFmtId="0" fontId="31" fillId="0" borderId="101" xfId="0" applyFont="1" applyBorder="1" applyAlignment="1">
      <alignment horizontal="center" vertical="center"/>
    </xf>
    <xf numFmtId="0" fontId="31" fillId="0" borderId="152" xfId="0" applyFont="1" applyBorder="1" applyAlignment="1">
      <alignment horizontal="center" vertical="center"/>
    </xf>
    <xf numFmtId="175" fontId="31" fillId="0" borderId="1" xfId="0" applyNumberFormat="1" applyFont="1" applyBorder="1" applyAlignment="1">
      <alignment horizontal="center" vertical="center"/>
    </xf>
    <xf numFmtId="175" fontId="31" fillId="0" borderId="145" xfId="0" applyNumberFormat="1" applyFont="1" applyBorder="1" applyAlignment="1">
      <alignment horizontal="center" vertical="center"/>
    </xf>
    <xf numFmtId="0" fontId="31" fillId="0" borderId="148" xfId="0" applyFont="1" applyBorder="1" applyAlignment="1">
      <alignment horizontal="center" vertical="center"/>
    </xf>
    <xf numFmtId="2" fontId="31" fillId="0" borderId="148" xfId="0" applyNumberFormat="1" applyFont="1" applyBorder="1" applyAlignment="1">
      <alignment horizontal="center" vertical="center"/>
    </xf>
    <xf numFmtId="169" fontId="31" fillId="0" borderId="148" xfId="0" applyNumberFormat="1" applyFont="1" applyBorder="1" applyAlignment="1">
      <alignment horizontal="center" vertical="center"/>
    </xf>
    <xf numFmtId="173" fontId="31" fillId="0" borderId="148" xfId="0" applyNumberFormat="1" applyFont="1" applyBorder="1" applyAlignment="1">
      <alignment horizontal="center" vertical="center"/>
    </xf>
    <xf numFmtId="0" fontId="31" fillId="0" borderId="153" xfId="0" applyFont="1" applyBorder="1" applyAlignment="1">
      <alignment horizontal="right" vertical="center"/>
    </xf>
    <xf numFmtId="10" fontId="31" fillId="0" borderId="154" xfId="0" applyNumberFormat="1" applyFont="1" applyBorder="1" applyAlignment="1">
      <alignment horizontal="center" vertical="center"/>
    </xf>
    <xf numFmtId="0" fontId="31" fillId="0" borderId="0" xfId="0" applyFont="1" applyAlignment="1">
      <alignment vertical="center"/>
    </xf>
    <xf numFmtId="0" fontId="31" fillId="0" borderId="155" xfId="0" applyFont="1" applyBorder="1" applyAlignment="1">
      <alignment horizontal="center" vertical="center"/>
    </xf>
    <xf numFmtId="10" fontId="31" fillId="0" borderId="0" xfId="0" applyNumberFormat="1" applyFont="1" applyAlignment="1">
      <alignment vertical="center"/>
    </xf>
    <xf numFmtId="2" fontId="31" fillId="0" borderId="53" xfId="0" applyNumberFormat="1" applyFont="1" applyBorder="1" applyAlignment="1">
      <alignment horizontal="center" vertical="center"/>
    </xf>
    <xf numFmtId="169" fontId="31" fillId="0" borderId="53" xfId="0" applyNumberFormat="1" applyFont="1" applyBorder="1" applyAlignment="1">
      <alignment horizontal="center" vertical="center"/>
    </xf>
    <xf numFmtId="173" fontId="31" fillId="0" borderId="53" xfId="0" applyNumberFormat="1" applyFont="1" applyBorder="1" applyAlignment="1">
      <alignment horizontal="center" vertical="center"/>
    </xf>
    <xf numFmtId="174" fontId="31" fillId="0" borderId="0" xfId="0" applyNumberFormat="1" applyFont="1" applyAlignment="1">
      <alignment vertical="center"/>
    </xf>
    <xf numFmtId="10" fontId="31" fillId="0" borderId="53" xfId="0" applyNumberFormat="1" applyFont="1" applyBorder="1" applyAlignment="1">
      <alignment horizontal="center" vertical="center"/>
    </xf>
    <xf numFmtId="0" fontId="31" fillId="0" borderId="61" xfId="0" applyFont="1" applyBorder="1" applyAlignment="1">
      <alignment horizontal="center" vertical="center"/>
    </xf>
    <xf numFmtId="0" fontId="31" fillId="0" borderId="156" xfId="0" applyFont="1" applyBorder="1" applyAlignment="1">
      <alignment horizontal="center" vertical="center"/>
    </xf>
    <xf numFmtId="173" fontId="31" fillId="4" borderId="53" xfId="0" applyNumberFormat="1" applyFont="1" applyFill="1" applyBorder="1" applyAlignment="1">
      <alignment horizontal="center" vertical="center"/>
    </xf>
    <xf numFmtId="2" fontId="31" fillId="4" borderId="53" xfId="0" applyNumberFormat="1" applyFont="1" applyFill="1" applyBorder="1" applyAlignment="1">
      <alignment horizontal="center" vertical="center"/>
    </xf>
    <xf numFmtId="174" fontId="31" fillId="0" borderId="96" xfId="0" applyNumberFormat="1" applyFont="1" applyBorder="1" applyAlignment="1">
      <alignment horizontal="center" vertical="center"/>
    </xf>
    <xf numFmtId="0" fontId="6" fillId="0" borderId="157" xfId="0" applyFont="1" applyBorder="1" applyAlignment="1">
      <alignment horizontal="center" vertical="center"/>
    </xf>
    <xf numFmtId="0" fontId="6" fillId="0" borderId="1" xfId="0" applyFont="1" applyBorder="1" applyAlignment="1">
      <alignment horizontal="center" vertical="center"/>
    </xf>
    <xf numFmtId="169" fontId="6" fillId="0" borderId="65" xfId="0" applyNumberFormat="1" applyFont="1" applyBorder="1" applyAlignment="1">
      <alignment horizontal="center" vertical="center"/>
    </xf>
    <xf numFmtId="173" fontId="6" fillId="0" borderId="66" xfId="0" applyNumberFormat="1" applyFont="1" applyBorder="1" applyAlignment="1" applyProtection="1">
      <alignment horizontal="center" vertical="center"/>
      <protection locked="0"/>
    </xf>
    <xf numFmtId="173" fontId="6" fillId="0" borderId="158" xfId="0" applyNumberFormat="1" applyFont="1" applyBorder="1" applyAlignment="1" applyProtection="1">
      <alignment horizontal="center" vertical="center"/>
      <protection locked="0"/>
    </xf>
    <xf numFmtId="169" fontId="6" fillId="0" borderId="159" xfId="0" applyNumberFormat="1" applyFont="1" applyBorder="1" applyAlignment="1">
      <alignment horizontal="center" vertical="center"/>
    </xf>
    <xf numFmtId="173" fontId="6" fillId="0" borderId="76" xfId="0" applyNumberFormat="1" applyFont="1" applyBorder="1" applyAlignment="1" applyProtection="1">
      <alignment horizontal="center" vertical="center"/>
      <protection locked="0"/>
    </xf>
    <xf numFmtId="173" fontId="6" fillId="0" borderId="89" xfId="0" applyNumberFormat="1" applyFont="1" applyBorder="1" applyAlignment="1" applyProtection="1">
      <alignment horizontal="center" vertical="center"/>
      <protection locked="0"/>
    </xf>
    <xf numFmtId="173" fontId="6" fillId="0" borderId="160" xfId="0" applyNumberFormat="1" applyFont="1" applyBorder="1" applyAlignment="1" applyProtection="1">
      <alignment horizontal="center" vertical="center"/>
      <protection locked="0"/>
    </xf>
    <xf numFmtId="0" fontId="6" fillId="0" borderId="65" xfId="0" applyFont="1" applyBorder="1" applyAlignment="1">
      <alignment horizontal="center" vertical="center"/>
    </xf>
    <xf numFmtId="2" fontId="6" fillId="0" borderId="66" xfId="0" applyNumberFormat="1" applyFont="1" applyBorder="1" applyAlignment="1">
      <alignment horizontal="center" vertical="center"/>
    </xf>
    <xf numFmtId="2" fontId="6" fillId="0" borderId="67" xfId="0" applyNumberFormat="1" applyFont="1" applyBorder="1" applyAlignment="1">
      <alignment horizontal="center" vertical="center"/>
    </xf>
    <xf numFmtId="10" fontId="31" fillId="0" borderId="96" xfId="0" applyNumberFormat="1" applyFont="1" applyBorder="1" applyAlignment="1">
      <alignment horizontal="center" vertical="center"/>
    </xf>
    <xf numFmtId="0" fontId="6" fillId="0" borderId="88" xfId="0" applyFont="1" applyBorder="1" applyAlignment="1">
      <alignment horizontal="center" vertical="center"/>
    </xf>
    <xf numFmtId="10" fontId="6" fillId="0" borderId="89" xfId="0" applyNumberFormat="1" applyFont="1" applyBorder="1" applyAlignment="1">
      <alignment horizontal="center" vertical="center"/>
    </xf>
    <xf numFmtId="10" fontId="6" fillId="0" borderId="90" xfId="0" applyNumberFormat="1" applyFont="1" applyBorder="1" applyAlignment="1">
      <alignment horizontal="center" vertical="center"/>
    </xf>
    <xf numFmtId="2" fontId="6" fillId="0" borderId="66" xfId="0" applyNumberFormat="1" applyFont="1" applyBorder="1" applyAlignment="1" applyProtection="1">
      <alignment horizontal="center" vertical="center"/>
      <protection locked="0"/>
    </xf>
    <xf numFmtId="2" fontId="6" fillId="0" borderId="67" xfId="0" applyNumberFormat="1" applyFont="1" applyBorder="1" applyAlignment="1" applyProtection="1">
      <alignment horizontal="center" vertical="center"/>
      <protection locked="0"/>
    </xf>
    <xf numFmtId="0" fontId="6" fillId="0" borderId="88" xfId="0" applyFont="1" applyBorder="1" applyAlignment="1" applyProtection="1">
      <alignment horizontal="center" vertical="center"/>
      <protection locked="0"/>
    </xf>
    <xf numFmtId="2" fontId="6" fillId="0" borderId="89" xfId="0" applyNumberFormat="1" applyFont="1" applyBorder="1" applyAlignment="1" applyProtection="1">
      <alignment horizontal="center" vertical="center"/>
      <protection locked="0"/>
    </xf>
    <xf numFmtId="2" fontId="6" fillId="0" borderId="90" xfId="0" applyNumberFormat="1"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6" fillId="10" borderId="161" xfId="0" applyFont="1" applyFill="1" applyBorder="1" applyAlignment="1">
      <alignment horizontal="center" vertical="center"/>
    </xf>
    <xf numFmtId="2" fontId="31" fillId="0" borderId="66" xfId="0" applyNumberFormat="1" applyFont="1" applyBorder="1" applyAlignment="1">
      <alignment horizontal="center" vertical="center"/>
    </xf>
    <xf numFmtId="0" fontId="25" fillId="0" borderId="52" xfId="0" applyFont="1" applyBorder="1" applyAlignment="1">
      <alignment vertical="center"/>
    </xf>
    <xf numFmtId="0" fontId="6" fillId="0" borderId="51" xfId="0" applyFont="1" applyBorder="1" applyAlignment="1">
      <alignment horizontal="center" vertical="center"/>
    </xf>
    <xf numFmtId="0" fontId="6" fillId="0" borderId="51"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173" fontId="6" fillId="0" borderId="51" xfId="0" applyNumberFormat="1" applyFont="1" applyBorder="1" applyAlignment="1" applyProtection="1">
      <alignment horizontal="center" vertical="center"/>
      <protection locked="0"/>
    </xf>
    <xf numFmtId="173" fontId="6" fillId="0" borderId="0" xfId="0" applyNumberFormat="1" applyFont="1" applyBorder="1" applyAlignment="1" applyProtection="1">
      <alignment horizontal="center" vertical="center"/>
      <protection locked="0"/>
    </xf>
    <xf numFmtId="173" fontId="6" fillId="0" borderId="51" xfId="0" applyNumberFormat="1" applyFont="1" applyBorder="1" applyAlignment="1">
      <alignment horizontal="center" vertical="center"/>
    </xf>
    <xf numFmtId="173" fontId="6" fillId="0" borderId="0" xfId="0" applyNumberFormat="1" applyFont="1" applyBorder="1" applyAlignment="1">
      <alignment horizontal="center" vertical="center"/>
    </xf>
    <xf numFmtId="0" fontId="25" fillId="0" borderId="56" xfId="0" applyFont="1" applyBorder="1" applyAlignment="1">
      <alignment vertical="center"/>
    </xf>
    <xf numFmtId="0" fontId="33" fillId="0" borderId="51" xfId="0" applyFont="1" applyBorder="1" applyAlignment="1">
      <alignment vertical="center"/>
    </xf>
    <xf numFmtId="166" fontId="31" fillId="6" borderId="64" xfId="0" applyNumberFormat="1" applyFont="1" applyFill="1" applyBorder="1" applyAlignment="1">
      <alignment horizontal="center"/>
    </xf>
    <xf numFmtId="166" fontId="31" fillId="6" borderId="64" xfId="0" applyNumberFormat="1" applyFont="1" applyFill="1" applyBorder="1" applyAlignment="1">
      <alignment horizontal="center" vertical="center"/>
    </xf>
    <xf numFmtId="0" fontId="12" fillId="0" borderId="46" xfId="0" applyFont="1" applyBorder="1" applyAlignment="1">
      <alignment horizontal="center" vertical="center"/>
    </xf>
    <xf numFmtId="0" fontId="31" fillId="4" borderId="70" xfId="0" applyFont="1" applyFill="1" applyBorder="1" applyAlignment="1">
      <alignment horizontal="center" vertical="center"/>
    </xf>
    <xf numFmtId="0" fontId="31" fillId="4" borderId="90" xfId="0" applyFont="1" applyFill="1" applyBorder="1" applyAlignment="1">
      <alignment horizontal="center" vertical="center"/>
    </xf>
    <xf numFmtId="169" fontId="31" fillId="4" borderId="1" xfId="0" applyNumberFormat="1" applyFont="1" applyFill="1" applyBorder="1" applyAlignment="1">
      <alignment horizontal="center" vertical="center"/>
    </xf>
    <xf numFmtId="0" fontId="25" fillId="0" borderId="46" xfId="0" applyFont="1" applyBorder="1" applyAlignment="1">
      <alignment vertical="center"/>
    </xf>
    <xf numFmtId="0" fontId="22" fillId="0" borderId="47" xfId="0" applyFont="1" applyBorder="1" applyAlignment="1">
      <alignment vertical="center"/>
    </xf>
    <xf numFmtId="0" fontId="22" fillId="0" borderId="47" xfId="0" applyFont="1" applyBorder="1" applyAlignment="1">
      <alignment horizontal="left" vertical="center"/>
    </xf>
    <xf numFmtId="0" fontId="25" fillId="0" borderId="48" xfId="0" applyFont="1" applyBorder="1" applyAlignment="1">
      <alignment vertical="center"/>
    </xf>
    <xf numFmtId="0" fontId="22" fillId="3" borderId="97" xfId="0" applyFont="1" applyFill="1" applyBorder="1" applyAlignment="1">
      <alignment horizontal="left" vertical="center"/>
    </xf>
    <xf numFmtId="0" fontId="22" fillId="0" borderId="162" xfId="0" applyFont="1" applyBorder="1" applyAlignment="1">
      <alignment vertical="center"/>
    </xf>
    <xf numFmtId="0" fontId="22" fillId="4" borderId="64" xfId="0" applyFont="1" applyFill="1" applyBorder="1" applyAlignment="1">
      <alignment horizontal="left" vertical="center"/>
    </xf>
    <xf numFmtId="0" fontId="44" fillId="0" borderId="0" xfId="0" applyFont="1" applyAlignment="1">
      <alignment horizontal="right" vertical="center"/>
    </xf>
    <xf numFmtId="0" fontId="43" fillId="0" borderId="163" xfId="0" applyFont="1" applyBorder="1" applyAlignment="1">
      <alignment vertical="center"/>
    </xf>
    <xf numFmtId="0" fontId="45" fillId="0" borderId="68" xfId="0" applyFont="1" applyBorder="1" applyAlignment="1">
      <alignment horizontal="left" vertical="center"/>
    </xf>
    <xf numFmtId="0" fontId="25" fillId="0" borderId="58" xfId="0" applyFont="1" applyBorder="1" applyAlignment="1">
      <alignment vertical="center"/>
    </xf>
    <xf numFmtId="0" fontId="25" fillId="0" borderId="60" xfId="0" applyFont="1" applyBorder="1" applyAlignment="1">
      <alignment vertical="center"/>
    </xf>
    <xf numFmtId="0" fontId="25" fillId="0" borderId="0" xfId="0" applyFont="1" applyAlignment="1"/>
    <xf numFmtId="0" fontId="15" fillId="0" borderId="0" xfId="0" applyFont="1" applyAlignment="1"/>
    <xf numFmtId="0" fontId="25" fillId="0" borderId="65" xfId="0" applyFont="1" applyBorder="1" applyAlignment="1"/>
    <xf numFmtId="0" fontId="25" fillId="0" borderId="69" xfId="0" applyFont="1" applyBorder="1" applyAlignment="1">
      <alignment horizontal="center"/>
    </xf>
    <xf numFmtId="0" fontId="25" fillId="0" borderId="1" xfId="0" applyFont="1" applyBorder="1" applyAlignment="1">
      <alignment horizontal="center"/>
    </xf>
    <xf numFmtId="0" fontId="25" fillId="0" borderId="70" xfId="0" applyFont="1" applyBorder="1" applyAlignment="1">
      <alignment horizontal="center"/>
    </xf>
    <xf numFmtId="0" fontId="25" fillId="0" borderId="88" xfId="0" applyFont="1" applyBorder="1" applyAlignment="1">
      <alignment horizontal="center"/>
    </xf>
    <xf numFmtId="0" fontId="25" fillId="0" borderId="89" xfId="0" applyFont="1" applyBorder="1" applyAlignment="1">
      <alignment horizontal="center"/>
    </xf>
    <xf numFmtId="0" fontId="25" fillId="0" borderId="90" xfId="0" applyFont="1" applyBorder="1" applyAlignment="1">
      <alignment horizontal="center"/>
    </xf>
    <xf numFmtId="0" fontId="25" fillId="0" borderId="67" xfId="0" applyFont="1" applyBorder="1" applyAlignment="1"/>
    <xf numFmtId="0" fontId="25" fillId="0" borderId="0" xfId="0" applyFont="1" applyBorder="1" applyAlignment="1">
      <alignment horizontal="center"/>
    </xf>
    <xf numFmtId="0" fontId="25" fillId="0" borderId="1" xfId="0" applyFont="1" applyBorder="1" applyAlignment="1">
      <alignment horizontal="center" vertical="center"/>
    </xf>
    <xf numFmtId="0" fontId="25" fillId="0" borderId="0" xfId="0" applyFont="1" applyBorder="1" applyAlignment="1">
      <alignment horizontal="center" vertical="center"/>
    </xf>
    <xf numFmtId="0" fontId="15" fillId="0" borderId="0" xfId="0" applyFont="1" applyAlignment="1">
      <alignment horizontal="center"/>
    </xf>
    <xf numFmtId="0" fontId="25" fillId="0" borderId="0" xfId="0" applyFont="1" applyAlignment="1">
      <alignment horizontal="center"/>
    </xf>
    <xf numFmtId="173" fontId="25" fillId="0" borderId="0" xfId="0" applyNumberFormat="1" applyFont="1" applyAlignment="1">
      <alignment horizontal="center"/>
    </xf>
    <xf numFmtId="2" fontId="25" fillId="0" borderId="0" xfId="0" applyNumberFormat="1" applyFont="1" applyAlignment="1">
      <alignment horizontal="center"/>
    </xf>
    <xf numFmtId="0" fontId="25" fillId="0" borderId="0" xfId="0" applyFont="1" applyAlignment="1">
      <alignment horizontal="center" vertical="top"/>
    </xf>
    <xf numFmtId="0" fontId="25" fillId="0" borderId="53" xfId="0" applyFont="1" applyBorder="1" applyAlignment="1">
      <alignment horizontal="center"/>
    </xf>
    <xf numFmtId="2" fontId="22" fillId="0" borderId="53" xfId="0" applyNumberFormat="1" applyFont="1" applyBorder="1" applyAlignment="1">
      <alignment horizontal="center"/>
    </xf>
    <xf numFmtId="0" fontId="25" fillId="0" borderId="0" xfId="0" applyFont="1" applyAlignment="1">
      <alignment horizontal="right"/>
    </xf>
    <xf numFmtId="2" fontId="25" fillId="0" borderId="0" xfId="0" applyNumberFormat="1" applyFont="1" applyAlignment="1">
      <alignment horizontal="center" vertical="top"/>
    </xf>
    <xf numFmtId="0" fontId="25" fillId="0" borderId="0" xfId="0" applyFont="1" applyAlignment="1">
      <alignment horizontal="center" vertical="center"/>
    </xf>
    <xf numFmtId="2" fontId="25" fillId="0" borderId="0" xfId="0" applyNumberFormat="1" applyFont="1" applyAlignment="1">
      <alignment horizontal="center" vertical="center"/>
    </xf>
    <xf numFmtId="0" fontId="25" fillId="0" borderId="0" xfId="0" applyFont="1" applyAlignment="1">
      <alignment horizontal="right" vertical="top"/>
    </xf>
    <xf numFmtId="0" fontId="3" fillId="0" borderId="65" xfId="0" applyFont="1" applyBorder="1" applyAlignment="1" applyProtection="1">
      <alignment horizontal="center"/>
      <protection locked="0"/>
    </xf>
    <xf numFmtId="0" fontId="3" fillId="0" borderId="66" xfId="0" applyFont="1" applyBorder="1" applyAlignment="1" applyProtection="1">
      <alignment horizontal="center"/>
      <protection locked="0"/>
    </xf>
    <xf numFmtId="0" fontId="3" fillId="0" borderId="67" xfId="0" applyFont="1" applyBorder="1" applyAlignment="1" applyProtection="1">
      <alignment horizontal="center"/>
      <protection locked="0"/>
    </xf>
    <xf numFmtId="0" fontId="3" fillId="0" borderId="0" xfId="0" applyFont="1" applyAlignment="1" applyProtection="1">
      <protection locked="0"/>
    </xf>
    <xf numFmtId="0" fontId="3" fillId="0" borderId="69"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70" xfId="0" applyFont="1" applyBorder="1" applyAlignment="1" applyProtection="1">
      <alignment horizontal="center"/>
      <protection locked="0"/>
    </xf>
    <xf numFmtId="0" fontId="3" fillId="0" borderId="88" xfId="0" applyFont="1" applyBorder="1" applyAlignment="1" applyProtection="1">
      <alignment horizontal="center"/>
      <protection locked="0"/>
    </xf>
    <xf numFmtId="0" fontId="3" fillId="0" borderId="89" xfId="0" applyFont="1" applyBorder="1" applyAlignment="1" applyProtection="1">
      <alignment horizontal="center"/>
      <protection locked="0"/>
    </xf>
    <xf numFmtId="0" fontId="3" fillId="0" borderId="90" xfId="0" applyFont="1" applyBorder="1" applyAlignment="1" applyProtection="1">
      <alignment horizontal="center"/>
      <protection locked="0"/>
    </xf>
    <xf numFmtId="0" fontId="22" fillId="0" borderId="0" xfId="0" applyFont="1" applyAlignment="1"/>
    <xf numFmtId="0" fontId="3" fillId="0" borderId="0" xfId="0" applyFont="1" applyAlignment="1" applyProtection="1">
      <alignment horizontal="center"/>
      <protection locked="0"/>
    </xf>
    <xf numFmtId="169" fontId="25" fillId="0" borderId="0" xfId="0" applyNumberFormat="1" applyFont="1" applyAlignment="1">
      <alignment horizontal="center"/>
    </xf>
    <xf numFmtId="0" fontId="25" fillId="0" borderId="0" xfId="0" applyFont="1" applyAlignment="1">
      <alignment horizontal="center"/>
    </xf>
    <xf numFmtId="0" fontId="25" fillId="0" borderId="53" xfId="0" applyFont="1" applyBorder="1" applyAlignment="1">
      <alignment horizontal="center" vertical="top"/>
    </xf>
    <xf numFmtId="0" fontId="25" fillId="0" borderId="53" xfId="0" applyFont="1" applyBorder="1">
      <alignment vertical="top"/>
    </xf>
    <xf numFmtId="0" fontId="25" fillId="0" borderId="53" xfId="0" applyFont="1" applyBorder="1" applyAlignment="1">
      <alignment horizontal="right" vertical="top"/>
    </xf>
    <xf numFmtId="2" fontId="22" fillId="0" borderId="1" xfId="0" applyNumberFormat="1" applyFont="1" applyBorder="1" applyAlignment="1">
      <alignment horizontal="center"/>
    </xf>
    <xf numFmtId="0" fontId="3" fillId="0" borderId="64" xfId="0" applyFont="1" applyBorder="1" applyAlignment="1">
      <alignment horizontal="center" vertical="top"/>
    </xf>
    <xf numFmtId="0" fontId="9" fillId="0" borderId="103" xfId="0" applyFont="1" applyBorder="1" applyAlignment="1">
      <alignment horizontal="center" vertical="center"/>
    </xf>
    <xf numFmtId="0" fontId="9" fillId="0" borderId="59" xfId="0" applyFont="1" applyBorder="1" applyAlignment="1">
      <alignment horizontal="center" vertical="center"/>
    </xf>
    <xf numFmtId="169" fontId="9" fillId="0" borderId="82" xfId="0" applyNumberFormat="1" applyFont="1" applyBorder="1" applyAlignment="1">
      <alignment horizontal="center"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9" fillId="0" borderId="66" xfId="0" applyFont="1" applyBorder="1" applyAlignment="1">
      <alignment horizontal="center" vertical="center"/>
    </xf>
    <xf numFmtId="169" fontId="9" fillId="0" borderId="1" xfId="0" applyNumberFormat="1" applyFont="1" applyBorder="1" applyAlignment="1">
      <alignment horizontal="center" vertical="center"/>
    </xf>
    <xf numFmtId="176" fontId="9" fillId="0" borderId="164" xfId="0" applyNumberFormat="1" applyFont="1" applyBorder="1" applyAlignment="1">
      <alignment horizontal="center" vertical="center"/>
    </xf>
    <xf numFmtId="0" fontId="9" fillId="0" borderId="165" xfId="0" applyFont="1" applyBorder="1" applyAlignment="1">
      <alignment horizontal="center" vertical="center"/>
    </xf>
    <xf numFmtId="0" fontId="9" fillId="0" borderId="82" xfId="0" applyFont="1" applyBorder="1" applyAlignment="1">
      <alignment horizontal="center" vertical="center"/>
    </xf>
    <xf numFmtId="0" fontId="9" fillId="0" borderId="0" xfId="0" applyFont="1" applyBorder="1" applyAlignment="1">
      <alignment horizontal="center" vertical="center"/>
    </xf>
    <xf numFmtId="0" fontId="9" fillId="11" borderId="82" xfId="0" applyFont="1" applyFill="1" applyBorder="1" applyAlignment="1">
      <alignment horizontal="center" vertical="center"/>
    </xf>
    <xf numFmtId="2" fontId="9" fillId="11" borderId="1" xfId="0" applyNumberFormat="1" applyFont="1" applyFill="1" applyBorder="1" applyAlignment="1">
      <alignment horizontal="center" vertical="center"/>
    </xf>
    <xf numFmtId="177" fontId="9" fillId="0" borderId="66" xfId="0" applyNumberFormat="1" applyFont="1" applyBorder="1" applyAlignment="1">
      <alignment horizontal="center" vertical="center"/>
    </xf>
    <xf numFmtId="177" fontId="9" fillId="0" borderId="1" xfId="0" applyNumberFormat="1" applyFont="1" applyBorder="1" applyAlignment="1">
      <alignment horizontal="center" vertical="center"/>
    </xf>
    <xf numFmtId="0" fontId="7" fillId="0" borderId="0" xfId="0" applyFont="1">
      <alignment vertical="top"/>
    </xf>
    <xf numFmtId="0" fontId="25" fillId="12" borderId="0" xfId="0" applyFont="1" applyFill="1" applyProtection="1">
      <alignment vertical="top"/>
      <protection locked="0"/>
    </xf>
    <xf numFmtId="2" fontId="25" fillId="13" borderId="0" xfId="0" applyNumberFormat="1" applyFont="1" applyFill="1" applyProtection="1">
      <alignment vertical="top"/>
      <protection hidden="1"/>
    </xf>
    <xf numFmtId="0" fontId="7" fillId="0" borderId="0" xfId="0" applyFont="1" applyAlignment="1">
      <alignment horizontal="left"/>
    </xf>
    <xf numFmtId="169" fontId="25" fillId="0" borderId="0" xfId="0" applyNumberFormat="1" applyFont="1" applyAlignment="1">
      <alignment horizontal="left"/>
    </xf>
    <xf numFmtId="169" fontId="25" fillId="0" borderId="0" xfId="0" applyNumberFormat="1" applyFont="1" applyAlignment="1">
      <alignment horizontal="left" vertical="top"/>
    </xf>
    <xf numFmtId="0" fontId="6" fillId="0" borderId="0" xfId="0" applyFont="1" applyBorder="1" applyAlignment="1">
      <alignment horizontal="center" vertical="center"/>
    </xf>
    <xf numFmtId="0" fontId="6" fillId="0" borderId="101" xfId="0" applyFont="1" applyBorder="1" applyAlignment="1">
      <alignment horizontal="center" vertical="center"/>
    </xf>
    <xf numFmtId="169" fontId="6" fillId="9" borderId="1" xfId="0" applyNumberFormat="1" applyFont="1" applyFill="1" applyBorder="1" applyAlignment="1" applyProtection="1">
      <alignment horizontal="center" vertical="center"/>
    </xf>
    <xf numFmtId="0" fontId="31" fillId="0" borderId="105" xfId="0" applyFont="1" applyBorder="1" applyAlignment="1">
      <alignment horizontal="center" vertical="center"/>
    </xf>
    <xf numFmtId="0" fontId="31" fillId="0" borderId="106" xfId="0" applyFont="1" applyBorder="1" applyAlignment="1">
      <alignment horizontal="center" vertical="center"/>
    </xf>
    <xf numFmtId="0" fontId="31" fillId="0" borderId="107" xfId="0" applyFont="1" applyBorder="1" applyAlignment="1">
      <alignment horizontal="center" vertical="center" wrapText="1"/>
    </xf>
    <xf numFmtId="0" fontId="31" fillId="0" borderId="108" xfId="0" applyFont="1" applyBorder="1" applyAlignment="1">
      <alignment horizontal="center" vertical="center"/>
    </xf>
    <xf numFmtId="169" fontId="6" fillId="0" borderId="1" xfId="0" applyNumberFormat="1" applyFont="1" applyBorder="1" applyAlignment="1" applyProtection="1">
      <alignment horizontal="center" vertical="center"/>
    </xf>
    <xf numFmtId="0" fontId="31" fillId="0" borderId="96" xfId="0" applyFont="1" applyBorder="1" applyAlignment="1">
      <alignment horizontal="center" vertical="center"/>
    </xf>
    <xf numFmtId="0" fontId="31" fillId="0" borderId="52" xfId="0" applyFont="1" applyBorder="1" applyAlignment="1">
      <alignment horizontal="center" vertical="center" wrapText="1"/>
    </xf>
    <xf numFmtId="0" fontId="31" fillId="0" borderId="0" xfId="0" applyFont="1" applyAlignment="1">
      <alignment horizontal="center" vertical="center"/>
    </xf>
    <xf numFmtId="0" fontId="31" fillId="0" borderId="52" xfId="0" applyFont="1" applyBorder="1" applyAlignment="1">
      <alignment horizontal="center" vertical="center"/>
    </xf>
    <xf numFmtId="0" fontId="12" fillId="0" borderId="0" xfId="0" applyFont="1" applyAlignment="1">
      <alignment horizontal="center" vertical="center"/>
    </xf>
    <xf numFmtId="0" fontId="12" fillId="0" borderId="0" xfId="0" applyFont="1" applyBorder="1" applyAlignment="1">
      <alignment horizontal="center" vertical="center"/>
    </xf>
    <xf numFmtId="0" fontId="12" fillId="0" borderId="142" xfId="0" applyFont="1" applyBorder="1" applyAlignment="1">
      <alignment horizontal="center" vertical="center"/>
    </xf>
    <xf numFmtId="0" fontId="12" fillId="0" borderId="143" xfId="0" applyFont="1" applyBorder="1" applyAlignment="1">
      <alignment horizontal="center" vertical="center"/>
    </xf>
    <xf numFmtId="166" fontId="31" fillId="6" borderId="64" xfId="0" applyNumberFormat="1" applyFont="1" applyFill="1" applyBorder="1" applyAlignment="1">
      <alignment horizontal="center" vertical="center" wrapText="1"/>
    </xf>
    <xf numFmtId="166" fontId="31" fillId="0" borderId="150" xfId="0" applyNumberFormat="1" applyFont="1" applyBorder="1" applyAlignment="1">
      <alignment horizontal="center" vertical="center"/>
    </xf>
    <xf numFmtId="166" fontId="31" fillId="0" borderId="62" xfId="0" applyNumberFormat="1" applyFont="1" applyBorder="1" applyAlignment="1">
      <alignment horizontal="center" vertical="center"/>
    </xf>
    <xf numFmtId="0" fontId="6" fillId="0" borderId="140" xfId="0" applyFont="1" applyBorder="1" applyAlignment="1" applyProtection="1">
      <alignment horizontal="center" vertical="center"/>
      <protection locked="0"/>
    </xf>
    <xf numFmtId="0" fontId="25" fillId="0" borderId="67" xfId="0" applyFont="1" applyBorder="1" applyAlignment="1">
      <alignment horizontal="center"/>
    </xf>
    <xf numFmtId="0" fontId="25" fillId="0" borderId="66" xfId="0" applyFont="1" applyBorder="1" applyAlignment="1">
      <alignment horizontal="center"/>
    </xf>
    <xf numFmtId="0" fontId="25" fillId="0" borderId="66" xfId="0" applyFont="1" applyBorder="1" applyAlignment="1">
      <alignment horizontal="center" vertical="center"/>
    </xf>
    <xf numFmtId="0" fontId="25" fillId="0" borderId="53" xfId="0" applyFont="1" applyBorder="1" applyAlignment="1">
      <alignment horizontal="center" vertical="center"/>
    </xf>
    <xf numFmtId="0" fontId="2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lignment vertical="top"/>
    </xf>
    <xf numFmtId="0" fontId="0" fillId="0" borderId="76" xfId="0" applyFont="1" applyBorder="1">
      <alignment vertical="top"/>
    </xf>
    <xf numFmtId="0" fontId="0" fillId="0" borderId="166" xfId="0" applyFont="1" applyBorder="1">
      <alignment vertical="top"/>
    </xf>
    <xf numFmtId="0" fontId="0" fillId="0" borderId="1" xfId="0" applyBorder="1">
      <alignment vertical="top"/>
    </xf>
    <xf numFmtId="0" fontId="0" fillId="0" borderId="54" xfId="0" applyFont="1" applyBorder="1">
      <alignment vertical="top"/>
    </xf>
  </cellXfs>
  <cellStyles count="2">
    <cellStyle name="Explanatory Text" xfId="1" builtinId="53" customBuiltin="1"/>
    <cellStyle name="Normal" xfId="0" builtinId="0"/>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CCCCC"/>
      <rgbColor rgb="FF808080"/>
      <rgbColor rgb="FF99FFFF"/>
      <rgbColor rgb="FF993366"/>
      <rgbColor rgb="FFE6E6E6"/>
      <rgbColor rgb="FFB4FFFF"/>
      <rgbColor rgb="FF660066"/>
      <rgbColor rgb="FFFF8080"/>
      <rgbColor rgb="FF0066CC"/>
      <rgbColor rgb="FFCFE7F5"/>
      <rgbColor rgb="FF000080"/>
      <rgbColor rgb="FFFF00FF"/>
      <rgbColor rgb="FFFFFF00"/>
      <rgbColor rgb="FF00FFFF"/>
      <rgbColor rgb="FF800080"/>
      <rgbColor rgb="FF800000"/>
      <rgbColor rgb="FF008080"/>
      <rgbColor rgb="FF0000FF"/>
      <rgbColor rgb="FF00CCFF"/>
      <rgbColor rgb="FFE5FFFF"/>
      <rgbColor rgb="FFCCFFCC"/>
      <rgbColor rgb="FFFFFF99"/>
      <rgbColor rgb="FF99CCFF"/>
      <rgbColor rgb="FFFF99CC"/>
      <rgbColor rgb="FFCC99FF"/>
      <rgbColor rgb="FFE3E3E3"/>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1373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Relationships>
</file>

<file path=xl/drawings/_rels/drawing6.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924240" y="1319400"/>
          <a:ext cx="783000" cy="233280"/>
        </a:xfrm>
        <a:prstGeom prst="rect">
          <a:avLst/>
        </a:prstGeom>
        <a:ln>
          <a:noFill/>
        </a:ln>
      </xdr:spPr>
    </xdr:pic>
    <xdr:clientData/>
  </xdr:twoCellAnchor>
  <xdr:twoCellAnchor>
    <xdr:from>
      <xdr:col>0</xdr:col>
      <xdr:colOff>0</xdr:colOff>
      <xdr:row>0</xdr:row>
      <xdr:rowOff>0</xdr:rowOff>
    </xdr:from>
    <xdr:to>
      <xdr:col>15</xdr:col>
      <xdr:colOff>533400</xdr:colOff>
      <xdr:row>44</xdr:row>
      <xdr:rowOff>190500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924240" y="1319400"/>
          <a:ext cx="783000" cy="233280"/>
        </a:xfrm>
        <a:prstGeom prst="rect">
          <a:avLst/>
        </a:prstGeom>
        <a:ln>
          <a:noFill/>
        </a:ln>
      </xdr:spPr>
    </xdr:pic>
    <xdr:clientData/>
  </xdr:twoCellAnchor>
  <xdr:twoCellAnchor>
    <xdr:from>
      <xdr:col>0</xdr:col>
      <xdr:colOff>0</xdr:colOff>
      <xdr:row>0</xdr:row>
      <xdr:rowOff>0</xdr:rowOff>
    </xdr:from>
    <xdr:to>
      <xdr:col>15</xdr:col>
      <xdr:colOff>533400</xdr:colOff>
      <xdr:row>44</xdr:row>
      <xdr:rowOff>190500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533400</xdr:colOff>
      <xdr:row>44</xdr:row>
      <xdr:rowOff>190500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152400</xdr:colOff>
      <xdr:row>26</xdr:row>
      <xdr:rowOff>800100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1080000</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80000" y="1442160"/>
          <a:ext cx="783000" cy="2332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723900</xdr:colOff>
      <xdr:row>55</xdr:row>
      <xdr:rowOff>76200</xdr:rowOff>
    </xdr:to>
    <xdr:sp macro="" textlink="">
      <xdr:nvSpPr>
        <xdr:cNvPr id="51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723900</xdr:colOff>
      <xdr:row>55</xdr:row>
      <xdr:rowOff>76200</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3" name="Picture 2"/>
        <xdr:cNvPicPr/>
      </xdr:nvPicPr>
      <xdr:blipFill>
        <a:blip xmlns:r="http://schemas.openxmlformats.org/officeDocument/2006/relationships" r:embed="rId1"/>
        <a:stretch/>
      </xdr:blipFill>
      <xdr:spPr>
        <a:xfrm>
          <a:off x="7399800" y="658080"/>
          <a:ext cx="6997680" cy="5342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zoomScale="75" zoomScaleNormal="75" workbookViewId="0">
      <selection activeCell="C5" sqref="C5:H5"/>
    </sheetView>
  </sheetViews>
  <sheetFormatPr defaultRowHeight="14.25"/>
  <cols>
    <col min="1" max="1" width="5.25" customWidth="1"/>
    <col min="2" max="2" width="5.75" customWidth="1"/>
    <col min="3" max="3" width="15.75" customWidth="1"/>
    <col min="4" max="4" width="12.5" customWidth="1"/>
    <col min="5" max="5" width="6" customWidth="1"/>
    <col min="6" max="6" width="4.25" customWidth="1"/>
    <col min="7" max="10" width="7.875" customWidth="1"/>
    <col min="11" max="11" width="8.875" customWidth="1"/>
    <col min="12" max="12" width="7.875" customWidth="1"/>
    <col min="13" max="14" width="6" customWidth="1"/>
    <col min="15" max="1025" width="8.25" customWidth="1"/>
  </cols>
  <sheetData>
    <row r="1" spans="1:15" ht="26.25">
      <c r="A1" s="14" t="s">
        <v>0</v>
      </c>
      <c r="B1" s="14"/>
      <c r="C1" s="14"/>
      <c r="D1" s="14"/>
      <c r="E1" s="14"/>
      <c r="F1" s="14"/>
      <c r="G1" s="14"/>
      <c r="H1" s="14"/>
      <c r="I1" s="14"/>
      <c r="J1" s="14"/>
      <c r="K1" s="14"/>
      <c r="L1" s="14"/>
      <c r="M1" s="14"/>
      <c r="N1" s="14"/>
    </row>
    <row r="2" spans="1:15" ht="26.25">
      <c r="A2" s="14" t="s">
        <v>1</v>
      </c>
      <c r="B2" s="14"/>
      <c r="C2" s="14"/>
      <c r="D2" s="14"/>
      <c r="E2" s="14"/>
      <c r="F2" s="14"/>
      <c r="G2" s="14"/>
      <c r="H2" s="14"/>
      <c r="I2" s="14"/>
      <c r="J2" s="14"/>
      <c r="K2" s="14"/>
      <c r="L2" s="14"/>
      <c r="M2" s="14"/>
      <c r="N2" s="14"/>
    </row>
    <row r="3" spans="1:15" ht="16.5" customHeight="1">
      <c r="A3" s="43"/>
      <c r="B3" s="43"/>
      <c r="C3" s="43"/>
      <c r="D3" s="43"/>
      <c r="E3" s="43"/>
      <c r="F3" s="43"/>
      <c r="G3" s="43"/>
      <c r="H3" s="43"/>
      <c r="I3" s="43"/>
      <c r="J3" s="43"/>
      <c r="K3" s="43"/>
      <c r="L3" s="43"/>
      <c r="M3" s="43"/>
      <c r="N3" s="43"/>
    </row>
    <row r="4" spans="1:15" ht="16.5" customHeight="1">
      <c r="A4" s="44" t="s">
        <v>2</v>
      </c>
      <c r="B4" s="44"/>
      <c r="C4" s="13"/>
      <c r="D4" s="13"/>
      <c r="E4" s="13"/>
      <c r="F4" s="13"/>
      <c r="G4" s="13"/>
      <c r="H4" s="13"/>
      <c r="I4" s="45"/>
      <c r="J4" s="46" t="s">
        <v>3</v>
      </c>
      <c r="K4" s="12"/>
      <c r="L4" s="12"/>
      <c r="M4" s="12"/>
      <c r="N4" s="12"/>
    </row>
    <row r="5" spans="1:15" ht="16.5" customHeight="1">
      <c r="A5" s="44" t="s">
        <v>4</v>
      </c>
      <c r="B5" s="44"/>
      <c r="C5" s="13"/>
      <c r="D5" s="13"/>
      <c r="E5" s="13"/>
      <c r="F5" s="13"/>
      <c r="G5" s="13"/>
      <c r="H5" s="13"/>
      <c r="I5" s="45"/>
      <c r="J5" s="46" t="s">
        <v>5</v>
      </c>
      <c r="K5" s="12">
        <f>Sheet1!P7</f>
        <v>0</v>
      </c>
      <c r="L5" s="12"/>
      <c r="M5" s="12"/>
      <c r="N5" s="12"/>
    </row>
    <row r="6" spans="1:15" ht="16.5" customHeight="1">
      <c r="A6" s="44" t="s">
        <v>6</v>
      </c>
      <c r="B6" s="44"/>
      <c r="C6" s="44"/>
      <c r="D6" s="11" t="str">
        <f>Sheet1!X7</f>
        <v>Eugene Mah</v>
      </c>
      <c r="E6" s="11"/>
      <c r="F6" s="11"/>
      <c r="G6" s="11"/>
      <c r="H6" s="11"/>
      <c r="I6" s="45"/>
      <c r="J6" s="46" t="s">
        <v>7</v>
      </c>
      <c r="K6" s="11"/>
      <c r="L6" s="11"/>
      <c r="M6" s="11"/>
      <c r="N6" s="11"/>
    </row>
    <row r="7" spans="1:15" ht="16.5" customHeight="1">
      <c r="A7" s="44" t="s">
        <v>8</v>
      </c>
      <c r="B7" s="44"/>
      <c r="C7" s="44"/>
      <c r="D7" s="11" t="s">
        <v>9</v>
      </c>
      <c r="E7" s="11"/>
      <c r="F7" s="11"/>
      <c r="G7" s="11"/>
      <c r="H7" s="11"/>
      <c r="I7" s="45"/>
      <c r="J7" s="46" t="s">
        <v>10</v>
      </c>
      <c r="K7" s="11" t="str">
        <f>Sheet1!R18</f>
        <v/>
      </c>
      <c r="L7" s="11"/>
      <c r="M7" s="11"/>
      <c r="N7" s="11"/>
    </row>
    <row r="8" spans="1:15" ht="16.5" customHeight="1">
      <c r="A8" s="44" t="s">
        <v>11</v>
      </c>
      <c r="B8" s="44"/>
      <c r="C8" s="44"/>
      <c r="D8" s="10" t="str">
        <f>Sheet1!V12</f>
        <v/>
      </c>
      <c r="E8" s="10"/>
      <c r="F8" s="10"/>
      <c r="G8" s="10"/>
      <c r="H8" s="10"/>
      <c r="I8" s="45"/>
      <c r="J8" s="46" t="s">
        <v>12</v>
      </c>
      <c r="K8" s="11" t="str">
        <f>Sheet1!R14</f>
        <v/>
      </c>
      <c r="L8" s="11"/>
      <c r="M8" s="11"/>
      <c r="N8" s="11"/>
    </row>
    <row r="9" spans="1:15" ht="11.25" customHeight="1">
      <c r="A9" s="47"/>
      <c r="K9" s="48"/>
      <c r="L9" s="48"/>
      <c r="M9" s="48"/>
      <c r="N9" s="48"/>
      <c r="O9" s="48"/>
    </row>
    <row r="10" spans="1:15" s="44" customFormat="1" ht="16.5" customHeight="1">
      <c r="A10" s="47" t="s">
        <v>13</v>
      </c>
      <c r="D10" s="9" t="s">
        <v>14</v>
      </c>
      <c r="E10" s="9"/>
      <c r="F10" s="9"/>
      <c r="G10" s="9"/>
      <c r="H10" s="9"/>
      <c r="I10" s="49" t="s">
        <v>15</v>
      </c>
    </row>
    <row r="11" spans="1:15" ht="11.25" customHeight="1">
      <c r="C11" s="44"/>
      <c r="D11" s="44"/>
      <c r="E11" s="44"/>
      <c r="F11" s="44"/>
      <c r="G11" s="50"/>
      <c r="H11" s="50"/>
      <c r="I11" s="50"/>
      <c r="J11" s="50"/>
      <c r="K11" s="50"/>
      <c r="L11" s="50"/>
      <c r="M11" s="50"/>
      <c r="N11" s="50"/>
      <c r="O11" s="48"/>
    </row>
    <row r="12" spans="1:15" ht="16.5" customHeight="1">
      <c r="A12" s="44" t="s">
        <v>16</v>
      </c>
      <c r="B12" s="44"/>
      <c r="C12" s="44"/>
      <c r="D12" s="8" t="s">
        <v>17</v>
      </c>
      <c r="E12" s="8"/>
      <c r="F12" s="8"/>
      <c r="G12" s="8" t="s">
        <v>10</v>
      </c>
      <c r="H12" s="8"/>
      <c r="I12" s="8" t="s">
        <v>18</v>
      </c>
      <c r="J12" s="8"/>
      <c r="K12" s="8" t="s">
        <v>13</v>
      </c>
      <c r="L12" s="8"/>
      <c r="M12" s="8"/>
      <c r="N12" s="8"/>
    </row>
    <row r="13" spans="1:15" ht="16.5" customHeight="1">
      <c r="A13" s="44"/>
      <c r="B13" s="44"/>
      <c r="C13" s="51" t="s">
        <v>19</v>
      </c>
      <c r="D13" s="7"/>
      <c r="E13" s="7"/>
      <c r="F13" s="7"/>
      <c r="G13" s="7"/>
      <c r="H13" s="7"/>
      <c r="I13" s="6"/>
      <c r="J13" s="6"/>
      <c r="K13" s="7"/>
      <c r="L13" s="7"/>
      <c r="M13" s="7"/>
      <c r="N13" s="7"/>
    </row>
    <row r="14" spans="1:15" ht="16.5" customHeight="1">
      <c r="C14" s="51" t="s">
        <v>20</v>
      </c>
      <c r="D14" s="5"/>
      <c r="E14" s="5"/>
      <c r="F14" s="5"/>
      <c r="G14" s="5"/>
      <c r="H14" s="5"/>
      <c r="I14" s="4"/>
      <c r="J14" s="4"/>
      <c r="K14" s="5"/>
      <c r="L14" s="5"/>
      <c r="M14" s="5"/>
      <c r="N14" s="5"/>
    </row>
    <row r="15" spans="1:15" s="52" customFormat="1" ht="36" customHeight="1">
      <c r="A15" s="3" t="s">
        <v>21</v>
      </c>
      <c r="B15" s="3"/>
      <c r="C15" s="3"/>
      <c r="D15" s="3"/>
      <c r="E15" s="3"/>
      <c r="F15" s="3"/>
      <c r="G15" s="3"/>
      <c r="H15" s="3"/>
      <c r="I15" s="3"/>
      <c r="J15" s="3"/>
      <c r="K15" s="3"/>
      <c r="L15" s="3"/>
      <c r="M15" s="3"/>
      <c r="N15" s="3"/>
    </row>
    <row r="16" spans="1:15" ht="16.5" customHeight="1">
      <c r="A16" s="47" t="s">
        <v>22</v>
      </c>
      <c r="B16" s="47"/>
      <c r="C16" s="53"/>
      <c r="D16" s="54" t="s">
        <v>23</v>
      </c>
      <c r="E16" s="53"/>
      <c r="F16" s="53"/>
      <c r="G16" s="46"/>
      <c r="H16" s="55"/>
      <c r="I16" s="56"/>
      <c r="J16" s="46"/>
      <c r="K16" s="53"/>
      <c r="L16" s="53"/>
      <c r="M16" s="57"/>
      <c r="N16" s="51" t="s">
        <v>24</v>
      </c>
    </row>
    <row r="17" spans="1:14" ht="13.5" customHeight="1">
      <c r="A17" s="58"/>
      <c r="B17" s="58"/>
      <c r="C17" s="59"/>
      <c r="D17" s="60"/>
      <c r="E17" s="59"/>
      <c r="F17" s="59"/>
      <c r="G17" s="60"/>
      <c r="H17" s="57"/>
      <c r="I17" s="61"/>
      <c r="J17" s="61"/>
      <c r="K17" s="61"/>
      <c r="L17" s="61"/>
    </row>
    <row r="18" spans="1:14" ht="21" customHeight="1">
      <c r="A18" s="2" t="s">
        <v>25</v>
      </c>
      <c r="B18" s="2"/>
      <c r="C18" s="2"/>
      <c r="D18" s="2"/>
      <c r="E18" s="2"/>
      <c r="F18" s="2"/>
      <c r="G18" s="2"/>
      <c r="H18" s="2"/>
      <c r="I18" s="2"/>
      <c r="J18" s="2"/>
      <c r="K18" s="2"/>
      <c r="L18" s="2"/>
      <c r="M18" s="2"/>
      <c r="N18" s="2"/>
    </row>
    <row r="19" spans="1:14" ht="15" customHeight="1">
      <c r="A19" s="1" t="s">
        <v>26</v>
      </c>
      <c r="B19" s="1"/>
      <c r="C19" s="1"/>
      <c r="D19" s="1"/>
      <c r="E19" s="1"/>
      <c r="F19" s="1"/>
      <c r="G19" s="1"/>
      <c r="H19" s="1"/>
      <c r="I19" s="1"/>
      <c r="J19" s="1"/>
      <c r="K19" s="1"/>
      <c r="L19" s="1"/>
      <c r="M19" s="1"/>
      <c r="N19" s="1"/>
    </row>
    <row r="20" spans="1:14" ht="15" customHeight="1">
      <c r="M20" s="42" t="s">
        <v>27</v>
      </c>
      <c r="N20" s="42"/>
    </row>
    <row r="21" spans="1:14" ht="15.75" customHeight="1">
      <c r="A21" s="44" t="s">
        <v>28</v>
      </c>
      <c r="B21" s="44"/>
      <c r="C21" s="44"/>
      <c r="D21" s="44"/>
      <c r="E21" s="44"/>
      <c r="F21" s="62"/>
      <c r="G21" s="62"/>
      <c r="H21" s="44"/>
      <c r="I21" s="44"/>
      <c r="J21" s="44"/>
      <c r="K21" s="44"/>
      <c r="L21" s="44"/>
      <c r="M21" s="41"/>
      <c r="N21" s="41"/>
    </row>
    <row r="22" spans="1:14" ht="15.75" customHeight="1">
      <c r="A22" s="44" t="s">
        <v>29</v>
      </c>
      <c r="B22" s="44"/>
      <c r="C22" s="44"/>
      <c r="D22" s="44"/>
      <c r="E22" s="44"/>
      <c r="F22" s="62"/>
      <c r="G22" s="62"/>
      <c r="H22" s="44"/>
      <c r="I22" s="44"/>
      <c r="J22" s="44"/>
      <c r="K22" s="44"/>
      <c r="L22" s="44"/>
      <c r="M22" s="41"/>
      <c r="N22" s="41"/>
    </row>
    <row r="23" spans="1:14" ht="15.75" customHeight="1">
      <c r="A23" s="44" t="s">
        <v>30</v>
      </c>
      <c r="B23" s="44"/>
      <c r="C23" s="44"/>
      <c r="D23" s="44"/>
      <c r="E23" s="44"/>
      <c r="F23" s="62"/>
      <c r="G23" s="62"/>
      <c r="H23" s="44"/>
      <c r="I23" s="44"/>
      <c r="J23" s="45"/>
      <c r="K23" s="45"/>
      <c r="L23" s="45"/>
      <c r="M23" s="41"/>
      <c r="N23" s="41"/>
    </row>
    <row r="24" spans="1:14" ht="15.75" customHeight="1">
      <c r="A24" s="44" t="s">
        <v>31</v>
      </c>
      <c r="B24" s="44"/>
      <c r="C24" s="44"/>
      <c r="D24" s="44"/>
      <c r="E24" s="44"/>
      <c r="F24" s="62"/>
      <c r="G24" s="62"/>
      <c r="H24" s="44"/>
      <c r="I24" s="44"/>
      <c r="J24" s="44"/>
      <c r="K24" s="44"/>
      <c r="L24" s="44"/>
      <c r="M24" s="41"/>
      <c r="N24" s="41"/>
    </row>
    <row r="25" spans="1:14" ht="15.75" customHeight="1">
      <c r="A25" s="44" t="s">
        <v>32</v>
      </c>
      <c r="B25" s="44"/>
      <c r="C25" s="44"/>
      <c r="D25" s="44"/>
      <c r="E25" s="44"/>
      <c r="F25" s="62"/>
      <c r="G25" s="62"/>
      <c r="H25" s="44"/>
      <c r="I25" s="44"/>
      <c r="J25" s="44"/>
      <c r="K25" s="44"/>
      <c r="L25" s="44"/>
      <c r="M25" s="41"/>
      <c r="N25" s="41"/>
    </row>
    <row r="26" spans="1:14" ht="15.75" customHeight="1">
      <c r="A26" s="44" t="s">
        <v>33</v>
      </c>
      <c r="B26" s="44"/>
      <c r="C26" s="44"/>
      <c r="D26" s="44"/>
      <c r="E26" s="44"/>
      <c r="F26" s="62"/>
      <c r="G26" s="62"/>
      <c r="H26" s="44"/>
      <c r="I26" s="44"/>
      <c r="J26" s="44"/>
      <c r="K26" s="44"/>
      <c r="L26" s="44"/>
      <c r="M26" s="41"/>
      <c r="N26" s="41"/>
    </row>
    <row r="27" spans="1:14" ht="15.75" customHeight="1">
      <c r="A27" s="44" t="s">
        <v>34</v>
      </c>
      <c r="B27" s="44"/>
      <c r="C27" s="44"/>
      <c r="D27" s="44"/>
      <c r="E27" s="44"/>
      <c r="F27" s="62"/>
      <c r="G27" s="62"/>
      <c r="H27" s="44"/>
      <c r="I27" s="44"/>
      <c r="J27" s="44"/>
      <c r="K27" s="44"/>
      <c r="L27" s="44"/>
      <c r="M27" s="41"/>
      <c r="N27" s="41"/>
    </row>
    <row r="28" spans="1:14" ht="15.75" customHeight="1">
      <c r="A28" s="44" t="s">
        <v>35</v>
      </c>
      <c r="B28" s="44"/>
      <c r="C28" s="44"/>
      <c r="D28" s="44"/>
      <c r="E28" s="44"/>
      <c r="F28" s="62"/>
      <c r="G28" s="62"/>
      <c r="H28" s="44"/>
      <c r="I28" s="44"/>
      <c r="J28" s="44"/>
      <c r="K28" s="44"/>
      <c r="L28" s="44"/>
      <c r="M28" s="41"/>
      <c r="N28" s="41"/>
    </row>
    <row r="29" spans="1:14" ht="15.75" customHeight="1">
      <c r="A29" s="44"/>
      <c r="B29" s="44"/>
      <c r="C29" s="63" t="s">
        <v>36</v>
      </c>
      <c r="F29" s="64"/>
      <c r="G29" s="64"/>
      <c r="K29" s="65" t="str">
        <f>Sheet1!X266</f>
        <v/>
      </c>
      <c r="L29" s="66" t="s">
        <v>37</v>
      </c>
      <c r="M29" s="67"/>
      <c r="N29" s="67"/>
    </row>
    <row r="30" spans="1:14" ht="15.75" customHeight="1">
      <c r="A30" s="44" t="s">
        <v>38</v>
      </c>
      <c r="B30" s="44"/>
      <c r="C30" s="44"/>
      <c r="D30" s="44"/>
      <c r="E30" s="44"/>
      <c r="F30" s="62"/>
      <c r="G30" s="62"/>
      <c r="H30" s="44"/>
      <c r="I30" s="44"/>
      <c r="J30" s="44"/>
      <c r="K30" s="44"/>
      <c r="L30" s="44"/>
      <c r="M30" s="41"/>
      <c r="N30" s="41"/>
    </row>
    <row r="31" spans="1:14" ht="15.75" customHeight="1">
      <c r="A31" s="44" t="s">
        <v>39</v>
      </c>
      <c r="B31" s="44"/>
      <c r="C31" s="44"/>
      <c r="D31" s="44"/>
      <c r="E31" s="44"/>
      <c r="F31" s="44"/>
      <c r="G31" s="44"/>
      <c r="H31" s="44"/>
      <c r="I31" s="44"/>
      <c r="J31" s="44"/>
      <c r="K31" s="44"/>
      <c r="L31" s="44"/>
      <c r="M31" s="40"/>
      <c r="N31" s="40"/>
    </row>
    <row r="32" spans="1:14" ht="15.75" customHeight="1">
      <c r="C32" s="63" t="s">
        <v>40</v>
      </c>
      <c r="D32" s="53"/>
      <c r="E32" s="53"/>
      <c r="F32" s="68" t="s">
        <v>41</v>
      </c>
      <c r="G32" s="69">
        <f>Sheet1!P429</f>
        <v>0</v>
      </c>
      <c r="H32" s="68" t="s">
        <v>42</v>
      </c>
      <c r="I32" s="69">
        <f>Sheet1!P430</f>
        <v>0</v>
      </c>
      <c r="J32" s="68" t="s">
        <v>43</v>
      </c>
      <c r="K32" s="69">
        <f>Sheet1!P431</f>
        <v>0</v>
      </c>
      <c r="L32" s="70"/>
      <c r="M32" s="71"/>
      <c r="N32" s="53"/>
    </row>
    <row r="33" spans="1:14" ht="15.75" customHeight="1">
      <c r="A33" s="44" t="s">
        <v>44</v>
      </c>
      <c r="B33" s="44"/>
      <c r="C33" s="44"/>
      <c r="D33" s="44"/>
      <c r="E33" s="44"/>
      <c r="F33" s="62"/>
      <c r="G33" s="62"/>
      <c r="H33" s="44"/>
      <c r="I33" s="44"/>
      <c r="J33" s="44"/>
      <c r="K33" s="44"/>
      <c r="L33" s="45"/>
      <c r="M33" s="50"/>
      <c r="N33" s="50"/>
    </row>
    <row r="34" spans="1:14" ht="15.75" customHeight="1">
      <c r="A34" s="44"/>
      <c r="B34" s="44"/>
      <c r="C34" s="53" t="s">
        <v>45</v>
      </c>
      <c r="D34" s="72" t="str">
        <f>Sheet1!T441</f>
        <v/>
      </c>
      <c r="E34" s="44"/>
      <c r="F34" s="62"/>
      <c r="G34" s="62"/>
      <c r="H34" s="44"/>
      <c r="I34" s="44"/>
      <c r="J34" s="68"/>
      <c r="K34" s="73"/>
      <c r="L34" s="73"/>
      <c r="M34" s="41"/>
      <c r="N34" s="41"/>
    </row>
    <row r="35" spans="1:14" ht="15.75" customHeight="1">
      <c r="A35" s="44"/>
      <c r="B35" s="44"/>
      <c r="C35" s="53" t="s">
        <v>46</v>
      </c>
      <c r="D35" s="72" t="str">
        <f>Sheet1!T442</f>
        <v/>
      </c>
      <c r="E35" s="74" t="s">
        <v>47</v>
      </c>
      <c r="F35" s="62"/>
      <c r="G35" s="62"/>
      <c r="H35" s="44"/>
      <c r="I35" s="44"/>
      <c r="J35" s="75"/>
      <c r="K35" s="73"/>
      <c r="L35" s="73"/>
      <c r="M35" s="53"/>
      <c r="N35" s="53"/>
    </row>
    <row r="36" spans="1:14" ht="15.75" customHeight="1">
      <c r="A36" s="44"/>
      <c r="B36" s="44"/>
      <c r="C36" s="53" t="s">
        <v>48</v>
      </c>
      <c r="D36" s="44"/>
      <c r="E36" s="44"/>
      <c r="F36" s="62"/>
      <c r="G36" s="62"/>
      <c r="H36" s="44"/>
      <c r="I36" s="44"/>
      <c r="J36" s="68"/>
      <c r="K36" s="73"/>
      <c r="L36" s="73"/>
      <c r="M36" s="41"/>
      <c r="N36" s="41"/>
    </row>
    <row r="37" spans="1:14" ht="15.75" customHeight="1">
      <c r="A37" s="44" t="s">
        <v>49</v>
      </c>
      <c r="B37" s="44"/>
      <c r="C37" s="44"/>
      <c r="D37" s="44"/>
      <c r="E37" s="44"/>
      <c r="F37" s="44"/>
      <c r="G37" s="44"/>
      <c r="H37" s="44"/>
      <c r="I37" s="44"/>
      <c r="J37" s="44"/>
      <c r="K37" s="44"/>
      <c r="L37" s="44"/>
      <c r="M37" s="41"/>
      <c r="N37" s="41"/>
    </row>
    <row r="38" spans="1:14" ht="15.75" customHeight="1">
      <c r="A38" s="44" t="s">
        <v>50</v>
      </c>
      <c r="B38" s="44"/>
      <c r="C38" s="44"/>
      <c r="D38" s="44"/>
      <c r="E38" s="44"/>
      <c r="F38" s="44"/>
      <c r="G38" s="44"/>
      <c r="H38" s="44"/>
      <c r="I38" s="44"/>
      <c r="J38" s="44"/>
      <c r="K38" s="44"/>
      <c r="L38" s="44"/>
      <c r="M38" s="41"/>
      <c r="N38" s="41"/>
    </row>
    <row r="39" spans="1:14" ht="15.75" customHeight="1">
      <c r="A39" s="44" t="s">
        <v>51</v>
      </c>
      <c r="B39" s="44"/>
      <c r="C39" s="44"/>
      <c r="D39" s="44"/>
      <c r="E39" s="44"/>
      <c r="F39" s="44"/>
      <c r="G39" s="44"/>
      <c r="H39" s="44"/>
      <c r="I39" s="44"/>
      <c r="J39" s="44"/>
      <c r="K39" s="44"/>
      <c r="L39" s="44"/>
      <c r="M39" s="41"/>
      <c r="N39" s="41"/>
    </row>
    <row r="40" spans="1:14" ht="15.75" customHeight="1">
      <c r="A40" s="44" t="s">
        <v>52</v>
      </c>
      <c r="B40" s="44"/>
      <c r="C40" s="44"/>
      <c r="D40" s="44"/>
      <c r="E40" s="44"/>
      <c r="F40" s="44"/>
      <c r="G40" s="44"/>
      <c r="H40" s="44"/>
      <c r="I40" s="44"/>
      <c r="J40" s="44"/>
      <c r="K40" s="44"/>
      <c r="L40" s="44"/>
      <c r="M40" s="41"/>
      <c r="N40" s="41"/>
    </row>
    <row r="41" spans="1:14" ht="15.75" customHeight="1">
      <c r="A41" s="44" t="s">
        <v>53</v>
      </c>
      <c r="B41" s="44"/>
      <c r="C41" s="44"/>
      <c r="D41" s="44"/>
      <c r="E41" s="44"/>
      <c r="F41" s="44"/>
      <c r="G41" s="44"/>
      <c r="H41" s="44"/>
      <c r="I41" s="44"/>
      <c r="J41" s="44"/>
      <c r="K41" s="44"/>
      <c r="L41" s="44"/>
      <c r="M41" s="41"/>
      <c r="N41" s="41"/>
    </row>
    <row r="42" spans="1:14" ht="15.75" customHeight="1">
      <c r="A42" s="44"/>
      <c r="B42" s="44"/>
      <c r="C42" s="44"/>
      <c r="D42" s="44"/>
      <c r="E42" s="44"/>
      <c r="F42" s="44"/>
      <c r="G42" s="44"/>
      <c r="H42" s="44"/>
      <c r="I42" s="44"/>
      <c r="J42" s="44"/>
      <c r="K42" s="44"/>
      <c r="L42" s="44"/>
      <c r="M42" s="73"/>
      <c r="N42" s="73"/>
    </row>
    <row r="43" spans="1:14" ht="15.75" customHeight="1">
      <c r="A43" s="44"/>
      <c r="B43" s="44"/>
      <c r="C43" s="44"/>
      <c r="D43" s="44"/>
      <c r="E43" s="44"/>
      <c r="F43" s="44"/>
      <c r="G43" s="44"/>
      <c r="H43" s="44"/>
      <c r="I43" s="44"/>
      <c r="J43" s="44"/>
      <c r="K43" s="44"/>
      <c r="L43" s="44"/>
      <c r="M43" s="73"/>
      <c r="N43" s="73"/>
    </row>
    <row r="44" spans="1:14" ht="15.75" customHeight="1">
      <c r="A44" s="44"/>
      <c r="B44" s="44"/>
      <c r="C44" s="44"/>
      <c r="D44" s="44"/>
      <c r="E44" s="44"/>
      <c r="F44" s="44"/>
      <c r="G44" s="44"/>
      <c r="H44" s="44"/>
      <c r="I44" s="44"/>
      <c r="J44" s="44"/>
      <c r="K44" s="44"/>
      <c r="L44" s="44"/>
      <c r="M44" s="73"/>
      <c r="N44" s="73"/>
    </row>
    <row r="45" spans="1:14" ht="15.75" customHeight="1">
      <c r="A45" s="44"/>
      <c r="B45" s="44"/>
      <c r="C45" s="44"/>
      <c r="D45" s="44"/>
      <c r="E45" s="44"/>
      <c r="F45" s="44"/>
      <c r="G45" s="44"/>
      <c r="H45" s="44"/>
      <c r="I45" s="44"/>
      <c r="J45" s="44"/>
      <c r="K45" s="44"/>
      <c r="L45" s="44"/>
      <c r="M45" s="73"/>
      <c r="N45" s="73"/>
    </row>
    <row r="46" spans="1:14" ht="15.75" customHeight="1">
      <c r="A46" s="44"/>
      <c r="B46" s="44"/>
      <c r="C46" s="44"/>
      <c r="D46" s="44"/>
      <c r="E46" s="44"/>
      <c r="F46" s="44"/>
      <c r="G46" s="44"/>
      <c r="H46" s="44"/>
      <c r="I46" s="44"/>
      <c r="J46" s="44"/>
      <c r="K46" s="44"/>
      <c r="L46" s="44"/>
      <c r="M46" s="73"/>
      <c r="N46" s="73"/>
    </row>
    <row r="47" spans="1:14" ht="15.75" customHeight="1">
      <c r="A47" s="44"/>
      <c r="B47" s="44"/>
      <c r="C47" s="44"/>
      <c r="D47" s="44"/>
      <c r="E47" s="44"/>
      <c r="F47" s="44"/>
      <c r="G47" s="44"/>
      <c r="H47" s="44"/>
      <c r="I47" s="44"/>
      <c r="J47" s="44"/>
      <c r="K47" s="44"/>
      <c r="L47" s="44"/>
      <c r="M47" s="73"/>
      <c r="N47" s="73"/>
    </row>
    <row r="48" spans="1:14" ht="15.75" customHeight="1">
      <c r="A48" s="44"/>
      <c r="B48" s="44"/>
      <c r="C48" s="44"/>
      <c r="D48" s="44"/>
      <c r="E48" s="44"/>
      <c r="F48" s="44"/>
      <c r="G48" s="44"/>
      <c r="H48" s="44"/>
      <c r="I48" s="44"/>
      <c r="J48" s="44"/>
      <c r="K48" s="44"/>
      <c r="L48" s="44"/>
      <c r="M48" s="73"/>
      <c r="N48" s="73"/>
    </row>
    <row r="49" spans="1:14" ht="15.75" customHeight="1">
      <c r="A49" s="44"/>
      <c r="B49" s="44"/>
      <c r="C49" s="44"/>
      <c r="D49" s="44"/>
      <c r="E49" s="44"/>
      <c r="F49" s="44"/>
      <c r="G49" s="44"/>
      <c r="H49" s="44"/>
      <c r="I49" s="44"/>
      <c r="J49" s="44"/>
      <c r="K49" s="44"/>
      <c r="L49" s="44"/>
      <c r="M49" s="73"/>
      <c r="N49" s="73"/>
    </row>
    <row r="50" spans="1:14" ht="15.75" customHeight="1">
      <c r="A50" s="44"/>
      <c r="B50" s="44"/>
      <c r="C50" s="44"/>
      <c r="D50" s="44"/>
      <c r="E50" s="44"/>
      <c r="F50" s="44"/>
      <c r="G50" s="44"/>
      <c r="H50" s="44"/>
      <c r="I50" s="44"/>
      <c r="J50" s="44"/>
      <c r="K50" s="44"/>
      <c r="L50" s="44"/>
      <c r="M50" s="73"/>
      <c r="N50" s="73"/>
    </row>
    <row r="51" spans="1:14" ht="15.75" customHeight="1">
      <c r="A51" s="44"/>
      <c r="B51" s="44"/>
      <c r="C51" s="44"/>
      <c r="D51" s="44"/>
      <c r="E51" s="44"/>
      <c r="F51" s="44"/>
      <c r="G51" s="44"/>
      <c r="H51" s="44"/>
      <c r="I51" s="44"/>
      <c r="J51" s="44"/>
      <c r="K51" s="44"/>
      <c r="L51" s="44"/>
      <c r="M51" s="73"/>
      <c r="N51" s="73"/>
    </row>
    <row r="52" spans="1:14" ht="15.75" customHeight="1">
      <c r="A52" s="44"/>
      <c r="B52" s="44"/>
      <c r="C52" s="44"/>
      <c r="D52" s="44"/>
      <c r="E52" s="44"/>
      <c r="F52" s="44"/>
      <c r="G52" s="44"/>
      <c r="H52" s="44"/>
      <c r="I52" s="44"/>
      <c r="J52" s="44"/>
      <c r="K52" s="44"/>
      <c r="L52" s="44"/>
      <c r="M52" s="73"/>
      <c r="N52" s="73"/>
    </row>
    <row r="53" spans="1:14" ht="15.75" customHeight="1">
      <c r="A53" s="44"/>
      <c r="B53" s="44"/>
      <c r="C53" s="44"/>
      <c r="D53" s="44"/>
      <c r="E53" s="44"/>
      <c r="F53" s="44"/>
      <c r="G53" s="44"/>
      <c r="H53" s="44"/>
      <c r="I53" s="44"/>
      <c r="J53" s="44"/>
      <c r="K53" s="44"/>
      <c r="L53" s="44"/>
      <c r="M53" s="73"/>
      <c r="N53" s="73"/>
    </row>
    <row r="54" spans="1:14" ht="15.75" customHeight="1">
      <c r="A54" s="44"/>
      <c r="B54" s="44"/>
      <c r="C54" s="44"/>
      <c r="D54" s="44"/>
      <c r="E54" s="44"/>
      <c r="F54" s="44"/>
      <c r="G54" s="44"/>
      <c r="H54" s="44"/>
      <c r="I54" s="44"/>
      <c r="J54" s="44"/>
      <c r="K54" s="44"/>
      <c r="L54" s="44"/>
      <c r="M54" s="73"/>
      <c r="N54" s="73"/>
    </row>
    <row r="55" spans="1:14" ht="15.75" customHeight="1">
      <c r="A55" s="39" t="s">
        <v>54</v>
      </c>
      <c r="B55" s="39"/>
      <c r="C55" s="39"/>
      <c r="D55" s="39"/>
      <c r="E55" s="39"/>
      <c r="F55" s="39"/>
      <c r="G55" s="39"/>
      <c r="H55" s="39"/>
      <c r="I55" s="39"/>
      <c r="J55" s="39"/>
      <c r="K55" s="39"/>
      <c r="L55" s="39"/>
      <c r="M55" s="39"/>
      <c r="N55" s="39"/>
    </row>
  </sheetData>
  <mergeCells count="47">
    <mergeCell ref="M41:N41"/>
    <mergeCell ref="A55:N55"/>
    <mergeCell ref="M36:N36"/>
    <mergeCell ref="M37:N37"/>
    <mergeCell ref="M38:N38"/>
    <mergeCell ref="M39:N39"/>
    <mergeCell ref="M40:N40"/>
    <mergeCell ref="M27:N27"/>
    <mergeCell ref="M28:N28"/>
    <mergeCell ref="M30:N30"/>
    <mergeCell ref="M31:N31"/>
    <mergeCell ref="M34:N34"/>
    <mergeCell ref="M22:N22"/>
    <mergeCell ref="M23:N23"/>
    <mergeCell ref="M24:N24"/>
    <mergeCell ref="M25:N25"/>
    <mergeCell ref="M26:N26"/>
    <mergeCell ref="A15:N15"/>
    <mergeCell ref="A18:N18"/>
    <mergeCell ref="A19:N19"/>
    <mergeCell ref="M20:N20"/>
    <mergeCell ref="M21:N21"/>
    <mergeCell ref="D13:F13"/>
    <mergeCell ref="G13:H13"/>
    <mergeCell ref="I13:J13"/>
    <mergeCell ref="K13:N13"/>
    <mergeCell ref="D14:F14"/>
    <mergeCell ref="G14:H14"/>
    <mergeCell ref="I14:J14"/>
    <mergeCell ref="K14:N14"/>
    <mergeCell ref="D10:H10"/>
    <mergeCell ref="D12:F12"/>
    <mergeCell ref="G12:H12"/>
    <mergeCell ref="I12:J12"/>
    <mergeCell ref="K12:N12"/>
    <mergeCell ref="D6:H6"/>
    <mergeCell ref="K6:N6"/>
    <mergeCell ref="D7:H7"/>
    <mergeCell ref="K7:N7"/>
    <mergeCell ref="D8:H8"/>
    <mergeCell ref="K8:N8"/>
    <mergeCell ref="A1:N1"/>
    <mergeCell ref="A2:N2"/>
    <mergeCell ref="C4:H4"/>
    <mergeCell ref="K4:N4"/>
    <mergeCell ref="C5:H5"/>
    <mergeCell ref="K5:N5"/>
  </mergeCells>
  <conditionalFormatting sqref="M21:N28 M30:N31 M34:N34 M36:N37 M39:N41">
    <cfRule type="cellIs" dxfId="23" priority="2" operator="equal">
      <formula>"Fail"</formula>
    </cfRule>
  </conditionalFormatting>
  <conditionalFormatting sqref="M38:N38">
    <cfRule type="cellIs" dxfId="22" priority="3" operator="equal">
      <formula>"Fail"</formula>
    </cfRule>
  </conditionalFormatting>
  <dataValidations count="6">
    <dataValidation type="list" operator="equal" allowBlank="1" showErrorMessage="1" sqref="M21:N26">
      <formula1>PF</formula1>
      <formula2>0</formula2>
    </dataValidation>
    <dataValidation type="list" operator="equal" allowBlank="1" showErrorMessage="1" sqref="M27:N27 M36:N54">
      <formula1>NA</formula1>
      <formula2>0</formula2>
    </dataValidation>
    <dataValidation type="list" operator="equal" allowBlank="1" showErrorMessage="1" sqref="M28 M30:M31 M34">
      <formula1>PF</formula1>
      <formula2>0</formula2>
    </dataValidation>
    <dataValidation type="list" operator="equal" allowBlank="1" showErrorMessage="1" sqref="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I32 K32">
      <formula1>SpeckMassList</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zoomScale="75" zoomScaleNormal="75" workbookViewId="0">
      <selection activeCell="E16" sqref="E16"/>
    </sheetView>
  </sheetViews>
  <sheetFormatPr defaultRowHeight="14.25"/>
  <cols>
    <col min="1" max="1" width="9.5" style="97" customWidth="1"/>
    <col min="2" max="1025" width="8.25" style="97" customWidth="1"/>
  </cols>
  <sheetData>
    <row r="1" spans="1:1">
      <c r="A1" s="662" t="s">
        <v>681</v>
      </c>
    </row>
    <row r="2" spans="1:1">
      <c r="A2" s="97" t="s">
        <v>682</v>
      </c>
    </row>
    <row r="3" spans="1:1">
      <c r="A3" s="97" t="s">
        <v>683</v>
      </c>
    </row>
    <row r="5" spans="1:1">
      <c r="A5" s="662" t="s">
        <v>684</v>
      </c>
    </row>
    <row r="6" spans="1:1">
      <c r="A6" s="97" t="s">
        <v>682</v>
      </c>
    </row>
    <row r="7" spans="1:1">
      <c r="A7" s="97" t="s">
        <v>683</v>
      </c>
    </row>
    <row r="8" spans="1:1">
      <c r="A8" s="97" t="s">
        <v>685</v>
      </c>
    </row>
    <row r="10" spans="1:1">
      <c r="A10" s="665" t="s">
        <v>686</v>
      </c>
    </row>
    <row r="11" spans="1:1">
      <c r="A11" s="666">
        <v>6</v>
      </c>
    </row>
    <row r="12" spans="1:1">
      <c r="A12" s="666">
        <v>5.5</v>
      </c>
    </row>
    <row r="13" spans="1:1">
      <c r="A13" s="666">
        <v>5</v>
      </c>
    </row>
    <row r="14" spans="1:1">
      <c r="A14" s="666">
        <v>4.5</v>
      </c>
    </row>
    <row r="15" spans="1:1">
      <c r="A15" s="666">
        <v>4</v>
      </c>
    </row>
    <row r="16" spans="1:1">
      <c r="A16" s="666">
        <v>3.5</v>
      </c>
    </row>
    <row r="17" spans="1:1">
      <c r="A17" s="666">
        <v>3</v>
      </c>
    </row>
    <row r="18" spans="1:1">
      <c r="A18" s="666">
        <v>2.5</v>
      </c>
    </row>
    <row r="19" spans="1:1">
      <c r="A19" s="666">
        <v>2</v>
      </c>
    </row>
    <row r="20" spans="1:1">
      <c r="A20" s="666">
        <v>1.5</v>
      </c>
    </row>
    <row r="21" spans="1:1">
      <c r="A21" s="666">
        <v>1</v>
      </c>
    </row>
    <row r="22" spans="1:1">
      <c r="A22" s="666">
        <v>0.5</v>
      </c>
    </row>
    <row r="23" spans="1:1">
      <c r="A23" s="667">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3"/>
  <sheetViews>
    <sheetView zoomScale="75" zoomScaleNormal="75" workbookViewId="0">
      <selection activeCell="K5" sqref="K5:N5"/>
    </sheetView>
  </sheetViews>
  <sheetFormatPr defaultRowHeight="14.25"/>
  <cols>
    <col min="1" max="1" width="5.25" customWidth="1"/>
    <col min="2" max="2" width="5.75" customWidth="1"/>
    <col min="3" max="3" width="15.75" customWidth="1"/>
    <col min="4" max="4" width="12.5" customWidth="1"/>
    <col min="5" max="5" width="6" customWidth="1"/>
    <col min="6" max="6" width="4.25" customWidth="1"/>
    <col min="7" max="10" width="7.875" customWidth="1"/>
    <col min="11" max="11" width="8.875" customWidth="1"/>
    <col min="12" max="12" width="7.875" customWidth="1"/>
    <col min="13" max="14" width="6" customWidth="1"/>
    <col min="15" max="1025" width="8.25" customWidth="1"/>
  </cols>
  <sheetData>
    <row r="1" spans="1:15" ht="26.25">
      <c r="A1" s="14" t="s">
        <v>0</v>
      </c>
      <c r="B1" s="14"/>
      <c r="C1" s="14"/>
      <c r="D1" s="14"/>
      <c r="E1" s="14"/>
      <c r="F1" s="14"/>
      <c r="G1" s="14"/>
      <c r="H1" s="14"/>
      <c r="I1" s="14"/>
      <c r="J1" s="14"/>
      <c r="K1" s="14"/>
      <c r="L1" s="14"/>
      <c r="M1" s="14"/>
      <c r="N1" s="14"/>
    </row>
    <row r="2" spans="1:15" ht="26.25">
      <c r="A2" s="14" t="s">
        <v>55</v>
      </c>
      <c r="B2" s="14"/>
      <c r="C2" s="14"/>
      <c r="D2" s="14"/>
      <c r="E2" s="14"/>
      <c r="F2" s="14"/>
      <c r="G2" s="14"/>
      <c r="H2" s="14"/>
      <c r="I2" s="14"/>
      <c r="J2" s="14"/>
      <c r="K2" s="14"/>
      <c r="L2" s="14"/>
      <c r="M2" s="14"/>
      <c r="N2" s="14"/>
    </row>
    <row r="3" spans="1:15" ht="16.5" customHeight="1">
      <c r="A3" s="43"/>
      <c r="B3" s="43"/>
      <c r="C3" s="43"/>
      <c r="D3" s="43"/>
      <c r="E3" s="43"/>
      <c r="F3" s="43"/>
      <c r="G3" s="43"/>
      <c r="H3" s="43"/>
      <c r="I3" s="43"/>
      <c r="J3" s="43"/>
      <c r="K3" s="43"/>
      <c r="L3" s="43"/>
      <c r="M3" s="43"/>
      <c r="N3" s="43"/>
    </row>
    <row r="4" spans="1:15" ht="16.5" customHeight="1">
      <c r="A4" s="44" t="s">
        <v>2</v>
      </c>
      <c r="B4" s="44"/>
      <c r="C4" s="11">
        <f>'QC Test Summary-Lorad'!C4</f>
        <v>0</v>
      </c>
      <c r="D4" s="11"/>
      <c r="E4" s="11"/>
      <c r="F4" s="11"/>
      <c r="G4" s="11"/>
      <c r="H4" s="11"/>
      <c r="I4" s="45"/>
      <c r="J4" s="46" t="s">
        <v>3</v>
      </c>
      <c r="K4" s="12">
        <f>'QC Test Summary-Lorad'!K4</f>
        <v>0</v>
      </c>
      <c r="L4" s="12"/>
      <c r="M4" s="12"/>
      <c r="N4" s="12"/>
    </row>
    <row r="5" spans="1:15" ht="16.5" customHeight="1">
      <c r="A5" s="44" t="s">
        <v>4</v>
      </c>
      <c r="B5" s="44"/>
      <c r="C5" s="11">
        <f>'QC Test Summary-Lorad'!C5</f>
        <v>0</v>
      </c>
      <c r="D5" s="11"/>
      <c r="E5" s="11"/>
      <c r="F5" s="11"/>
      <c r="G5" s="11"/>
      <c r="H5" s="11"/>
      <c r="I5" s="45"/>
      <c r="J5" s="46" t="s">
        <v>5</v>
      </c>
      <c r="K5" s="12">
        <f>Sheet1!P7</f>
        <v>0</v>
      </c>
      <c r="L5" s="12"/>
      <c r="M5" s="12"/>
      <c r="N5" s="12"/>
    </row>
    <row r="6" spans="1:15" ht="16.5" customHeight="1">
      <c r="A6" s="44" t="s">
        <v>6</v>
      </c>
      <c r="B6" s="44"/>
      <c r="C6" s="44"/>
      <c r="D6" s="11" t="str">
        <f>Sheet1!X7</f>
        <v>Eugene Mah</v>
      </c>
      <c r="E6" s="11"/>
      <c r="F6" s="11"/>
      <c r="G6" s="11"/>
      <c r="H6" s="11"/>
      <c r="I6" s="45"/>
      <c r="J6" s="46" t="s">
        <v>7</v>
      </c>
      <c r="K6" s="11"/>
      <c r="L6" s="11"/>
      <c r="M6" s="11"/>
      <c r="N6" s="11"/>
    </row>
    <row r="7" spans="1:15" ht="16.5" customHeight="1">
      <c r="A7" s="44" t="s">
        <v>8</v>
      </c>
      <c r="B7" s="44"/>
      <c r="C7" s="44"/>
      <c r="D7" s="11" t="s">
        <v>9</v>
      </c>
      <c r="E7" s="11"/>
      <c r="F7" s="11"/>
      <c r="G7" s="11"/>
      <c r="H7" s="11"/>
      <c r="I7" s="45"/>
      <c r="J7" s="46" t="s">
        <v>10</v>
      </c>
      <c r="K7" s="11" t="str">
        <f>Sheet1!R18</f>
        <v/>
      </c>
      <c r="L7" s="11"/>
      <c r="M7" s="11"/>
      <c r="N7" s="11"/>
    </row>
    <row r="8" spans="1:15" ht="16.5" customHeight="1">
      <c r="A8" s="44" t="s">
        <v>11</v>
      </c>
      <c r="B8" s="44"/>
      <c r="C8" s="44"/>
      <c r="D8" s="10" t="str">
        <f>Sheet1!V12</f>
        <v/>
      </c>
      <c r="E8" s="10"/>
      <c r="F8" s="10"/>
      <c r="G8" s="10"/>
      <c r="H8" s="10"/>
      <c r="I8" s="45"/>
      <c r="J8" s="46" t="s">
        <v>12</v>
      </c>
      <c r="K8" s="11" t="str">
        <f>Sheet1!R14</f>
        <v/>
      </c>
      <c r="L8" s="11"/>
      <c r="M8" s="11"/>
      <c r="N8" s="11"/>
    </row>
    <row r="9" spans="1:15" ht="11.25" customHeight="1">
      <c r="A9" s="47"/>
      <c r="K9" s="48"/>
      <c r="L9" s="48"/>
      <c r="M9" s="48"/>
      <c r="N9" s="48"/>
      <c r="O9" s="48"/>
    </row>
    <row r="10" spans="1:15" s="44" customFormat="1" ht="16.5" customHeight="1">
      <c r="A10" s="47" t="s">
        <v>13</v>
      </c>
      <c r="D10" s="38" t="str">
        <f>'QC Test Summary-Lorad'!D10</f>
        <v>MAN-00093 (2007)</v>
      </c>
      <c r="E10" s="38"/>
      <c r="F10" s="38"/>
      <c r="G10" s="38"/>
      <c r="H10" s="38"/>
      <c r="I10" s="49" t="s">
        <v>15</v>
      </c>
    </row>
    <row r="11" spans="1:15" ht="11.25" customHeight="1">
      <c r="C11" s="44"/>
      <c r="D11" s="44"/>
      <c r="E11" s="44"/>
      <c r="F11" s="44"/>
      <c r="G11" s="50"/>
      <c r="H11" s="50"/>
      <c r="I11" s="50"/>
      <c r="J11" s="50"/>
      <c r="K11" s="50"/>
      <c r="L11" s="50"/>
      <c r="M11" s="50"/>
      <c r="N11" s="50"/>
      <c r="O11" s="48"/>
    </row>
    <row r="12" spans="1:15" ht="16.5" customHeight="1">
      <c r="A12" s="44" t="s">
        <v>16</v>
      </c>
      <c r="B12" s="44"/>
      <c r="C12" s="44"/>
      <c r="D12" s="8" t="s">
        <v>17</v>
      </c>
      <c r="E12" s="8"/>
      <c r="F12" s="8"/>
      <c r="G12" s="8" t="s">
        <v>10</v>
      </c>
      <c r="H12" s="8"/>
      <c r="I12" s="8" t="s">
        <v>18</v>
      </c>
      <c r="J12" s="8"/>
      <c r="K12" s="8" t="s">
        <v>13</v>
      </c>
      <c r="L12" s="8"/>
      <c r="M12" s="8"/>
      <c r="N12" s="8"/>
    </row>
    <row r="13" spans="1:15" ht="16.5" customHeight="1">
      <c r="A13" s="44"/>
      <c r="B13" s="44"/>
      <c r="C13" s="51" t="s">
        <v>19</v>
      </c>
      <c r="D13" s="37">
        <f>'QC Test Summary-Lorad'!D13</f>
        <v>0</v>
      </c>
      <c r="E13" s="37"/>
      <c r="F13" s="37"/>
      <c r="G13" s="37">
        <f>'QC Test Summary-Lorad'!G13</f>
        <v>0</v>
      </c>
      <c r="H13" s="37"/>
      <c r="I13" s="6"/>
      <c r="J13" s="6"/>
      <c r="K13" s="37">
        <f>'QC Test Summary-Lorad'!K13</f>
        <v>0</v>
      </c>
      <c r="L13" s="37"/>
      <c r="M13" s="37"/>
      <c r="N13" s="37"/>
    </row>
    <row r="14" spans="1:15" ht="16.5" customHeight="1">
      <c r="C14" s="51" t="s">
        <v>20</v>
      </c>
      <c r="D14" s="4">
        <f>'QC Test Summary-Lorad'!D14</f>
        <v>0</v>
      </c>
      <c r="E14" s="4"/>
      <c r="F14" s="4"/>
      <c r="G14" s="4">
        <f>'QC Test Summary-Lorad'!G14</f>
        <v>0</v>
      </c>
      <c r="H14" s="4"/>
      <c r="I14" s="4"/>
      <c r="J14" s="4"/>
      <c r="K14" s="4">
        <f>'QC Test Summary-Lorad'!K14</f>
        <v>0</v>
      </c>
      <c r="L14" s="4"/>
      <c r="M14" s="4"/>
      <c r="N14" s="4"/>
    </row>
    <row r="15" spans="1:15" s="52" customFormat="1" ht="36" customHeight="1">
      <c r="A15" s="3" t="s">
        <v>21</v>
      </c>
      <c r="B15" s="3"/>
      <c r="C15" s="3"/>
      <c r="D15" s="3"/>
      <c r="E15" s="3"/>
      <c r="F15" s="3"/>
      <c r="G15" s="3"/>
      <c r="H15" s="3"/>
      <c r="I15" s="3"/>
      <c r="J15" s="3"/>
      <c r="K15" s="3"/>
      <c r="L15" s="3"/>
      <c r="M15" s="3"/>
      <c r="N15" s="3"/>
    </row>
    <row r="16" spans="1:15" ht="16.5" customHeight="1">
      <c r="A16" s="47" t="s">
        <v>22</v>
      </c>
      <c r="B16" s="47"/>
      <c r="C16" s="53"/>
      <c r="D16" s="54" t="s">
        <v>23</v>
      </c>
      <c r="E16" s="53"/>
      <c r="F16" s="53"/>
      <c r="G16" s="46"/>
      <c r="H16" s="55"/>
      <c r="I16" s="56"/>
      <c r="J16" s="46"/>
      <c r="K16" s="53"/>
      <c r="L16" s="53"/>
      <c r="M16" s="57"/>
      <c r="N16" s="51" t="s">
        <v>24</v>
      </c>
    </row>
    <row r="17" spans="1:14" ht="13.5" customHeight="1">
      <c r="A17" s="58"/>
      <c r="B17" s="58"/>
      <c r="C17" s="59"/>
      <c r="D17" s="60"/>
      <c r="E17" s="59"/>
      <c r="F17" s="59"/>
      <c r="G17" s="60"/>
      <c r="H17" s="57"/>
      <c r="I17" s="61"/>
      <c r="J17" s="61"/>
      <c r="K17" s="61"/>
      <c r="L17" s="61"/>
    </row>
    <row r="18" spans="1:14" ht="21" customHeight="1">
      <c r="A18" s="2" t="s">
        <v>25</v>
      </c>
      <c r="B18" s="2"/>
      <c r="C18" s="2"/>
      <c r="D18" s="2"/>
      <c r="E18" s="2"/>
      <c r="F18" s="2"/>
      <c r="G18" s="2"/>
      <c r="H18" s="2"/>
      <c r="I18" s="2"/>
      <c r="J18" s="2"/>
      <c r="K18" s="2"/>
      <c r="L18" s="2"/>
      <c r="M18" s="2"/>
      <c r="N18" s="2"/>
    </row>
    <row r="19" spans="1:14" ht="15" customHeight="1">
      <c r="A19" s="1" t="s">
        <v>26</v>
      </c>
      <c r="B19" s="1"/>
      <c r="C19" s="1"/>
      <c r="D19" s="1"/>
      <c r="E19" s="1"/>
      <c r="F19" s="1"/>
      <c r="G19" s="1"/>
      <c r="H19" s="1"/>
      <c r="I19" s="1"/>
      <c r="J19" s="1"/>
      <c r="K19" s="1"/>
      <c r="L19" s="1"/>
      <c r="M19" s="1"/>
      <c r="N19" s="1"/>
    </row>
    <row r="20" spans="1:14" ht="15" customHeight="1">
      <c r="M20" s="42" t="s">
        <v>27</v>
      </c>
      <c r="N20" s="42"/>
    </row>
    <row r="21" spans="1:14" ht="15.75" customHeight="1">
      <c r="A21" s="44" t="s">
        <v>28</v>
      </c>
      <c r="B21" s="44"/>
      <c r="C21" s="44"/>
      <c r="D21" s="44"/>
      <c r="E21" s="44"/>
      <c r="F21" s="62"/>
      <c r="G21" s="62"/>
      <c r="H21" s="44"/>
      <c r="I21" s="44"/>
      <c r="J21" s="44"/>
      <c r="K21" s="44"/>
      <c r="L21" s="44"/>
      <c r="M21" s="41"/>
      <c r="N21" s="41"/>
    </row>
    <row r="22" spans="1:14" ht="15.75" customHeight="1">
      <c r="A22" s="44"/>
      <c r="B22" s="53" t="s">
        <v>56</v>
      </c>
      <c r="C22" s="44"/>
      <c r="D22" s="44"/>
      <c r="E22" s="44"/>
      <c r="F22" s="62"/>
      <c r="G22" s="62"/>
      <c r="H22" s="44"/>
      <c r="I22" s="44"/>
      <c r="J22" s="44"/>
      <c r="K22" s="44"/>
      <c r="L22" s="44"/>
      <c r="M22" s="36"/>
      <c r="N22" s="36"/>
    </row>
    <row r="23" spans="1:14" ht="15.75" customHeight="1">
      <c r="A23" s="44"/>
      <c r="B23" s="53" t="s">
        <v>57</v>
      </c>
      <c r="C23" s="44"/>
      <c r="D23" s="44"/>
      <c r="E23" s="44"/>
      <c r="F23" s="62"/>
      <c r="G23" s="62"/>
      <c r="H23" s="44"/>
      <c r="I23" s="44"/>
      <c r="J23" s="44"/>
      <c r="K23" s="44"/>
      <c r="L23" s="44"/>
      <c r="M23" s="36"/>
      <c r="N23" s="36"/>
    </row>
    <row r="24" spans="1:14" ht="15.75" customHeight="1">
      <c r="A24" s="44" t="s">
        <v>29</v>
      </c>
      <c r="B24" s="44"/>
      <c r="C24" s="44"/>
      <c r="D24" s="44"/>
      <c r="E24" s="44"/>
      <c r="F24" s="62"/>
      <c r="G24" s="62"/>
      <c r="H24" s="44"/>
      <c r="I24" s="44"/>
      <c r="J24" s="44"/>
      <c r="K24" s="44"/>
      <c r="L24" s="44"/>
      <c r="M24" s="76"/>
      <c r="N24" s="76"/>
    </row>
    <row r="25" spans="1:14" ht="15.75" customHeight="1">
      <c r="A25" s="44"/>
      <c r="B25" s="53" t="s">
        <v>58</v>
      </c>
      <c r="C25" s="44"/>
      <c r="D25" s="44"/>
      <c r="E25" s="44"/>
      <c r="F25" s="62"/>
      <c r="G25" s="62"/>
      <c r="H25" s="44"/>
      <c r="I25" s="44"/>
      <c r="J25" s="44"/>
      <c r="K25" s="44"/>
      <c r="L25" s="44"/>
      <c r="M25" s="36"/>
      <c r="N25" s="36"/>
    </row>
    <row r="26" spans="1:14" ht="15.75" customHeight="1">
      <c r="A26" s="44"/>
      <c r="B26" s="53" t="s">
        <v>59</v>
      </c>
      <c r="C26" s="44"/>
      <c r="D26" s="44"/>
      <c r="E26" s="44"/>
      <c r="F26" s="62"/>
      <c r="G26" s="62"/>
      <c r="H26" s="44"/>
      <c r="I26" s="44"/>
      <c r="J26" s="44"/>
      <c r="K26" s="44"/>
      <c r="L26" s="44"/>
      <c r="M26" s="41"/>
      <c r="N26" s="41"/>
    </row>
    <row r="27" spans="1:14" ht="15.75" customHeight="1">
      <c r="A27" s="44" t="s">
        <v>30</v>
      </c>
      <c r="B27" s="44"/>
      <c r="C27" s="44"/>
      <c r="D27" s="44"/>
      <c r="E27" s="44"/>
      <c r="F27" s="62"/>
      <c r="G27" s="62"/>
      <c r="H27" s="44"/>
      <c r="I27" s="44"/>
      <c r="J27" s="45"/>
      <c r="K27" s="45"/>
      <c r="L27" s="45"/>
      <c r="M27" s="76"/>
      <c r="N27" s="76"/>
    </row>
    <row r="28" spans="1:14" ht="15.75" customHeight="1">
      <c r="A28" s="44"/>
      <c r="B28" s="53" t="s">
        <v>60</v>
      </c>
      <c r="C28" s="44"/>
      <c r="D28" s="44"/>
      <c r="E28" s="44"/>
      <c r="F28" s="62"/>
      <c r="G28" s="62"/>
      <c r="H28" s="44"/>
      <c r="I28" s="44"/>
      <c r="J28" s="45"/>
      <c r="K28" s="45"/>
      <c r="L28" s="45"/>
      <c r="M28" s="41"/>
      <c r="N28" s="41"/>
    </row>
    <row r="29" spans="1:14" ht="15.75" customHeight="1">
      <c r="A29" s="44" t="s">
        <v>31</v>
      </c>
      <c r="B29" s="44"/>
      <c r="C29" s="44"/>
      <c r="D29" s="44"/>
      <c r="E29" s="44"/>
      <c r="F29" s="62"/>
      <c r="G29" s="62"/>
      <c r="H29" s="44"/>
      <c r="I29" s="44"/>
      <c r="J29" s="44"/>
      <c r="K29" s="44"/>
      <c r="L29" s="44"/>
      <c r="M29" s="76"/>
      <c r="N29" s="76"/>
    </row>
    <row r="30" spans="1:14" ht="15.75" customHeight="1">
      <c r="A30" s="44"/>
      <c r="B30" s="53" t="s">
        <v>61</v>
      </c>
      <c r="C30" s="44"/>
      <c r="D30" s="44"/>
      <c r="E30" s="44"/>
      <c r="F30" s="62"/>
      <c r="G30" s="62"/>
      <c r="H30" s="44"/>
      <c r="I30" s="44"/>
      <c r="J30" s="44"/>
      <c r="K30" s="44"/>
      <c r="L30" s="44"/>
      <c r="M30" s="41"/>
      <c r="N30" s="41"/>
    </row>
    <row r="31" spans="1:14" ht="15.75" customHeight="1">
      <c r="A31" s="44"/>
      <c r="B31" s="53" t="s">
        <v>62</v>
      </c>
      <c r="C31" s="44"/>
      <c r="D31" s="44"/>
      <c r="E31" s="44"/>
      <c r="F31" s="62"/>
      <c r="G31" s="62"/>
      <c r="H31" s="44"/>
      <c r="I31" s="44"/>
      <c r="J31" s="44"/>
      <c r="K31" s="44"/>
      <c r="L31" s="44"/>
      <c r="M31" s="41"/>
      <c r="N31" s="41"/>
    </row>
    <row r="32" spans="1:14" ht="15.75" customHeight="1">
      <c r="A32" s="44" t="s">
        <v>32</v>
      </c>
      <c r="B32" s="44"/>
      <c r="C32" s="44"/>
      <c r="D32" s="44"/>
      <c r="E32" s="44"/>
      <c r="F32" s="62"/>
      <c r="G32" s="62"/>
      <c r="H32" s="44"/>
      <c r="I32" s="44"/>
      <c r="J32" s="44"/>
      <c r="K32" s="44"/>
      <c r="L32" s="44"/>
      <c r="M32" s="76"/>
      <c r="N32" s="76"/>
    </row>
    <row r="33" spans="1:14" ht="15.75" customHeight="1">
      <c r="A33" s="44"/>
      <c r="B33" s="53" t="s">
        <v>63</v>
      </c>
      <c r="C33" s="44"/>
      <c r="D33" s="44"/>
      <c r="E33" s="44"/>
      <c r="F33" s="62"/>
      <c r="G33" s="62"/>
      <c r="H33" s="44"/>
      <c r="I33" s="44"/>
      <c r="J33" s="44"/>
      <c r="K33" s="44"/>
      <c r="L33" s="44"/>
      <c r="M33" s="41"/>
      <c r="N33" s="41"/>
    </row>
    <row r="34" spans="1:14" ht="15.75" customHeight="1">
      <c r="A34" s="44" t="s">
        <v>33</v>
      </c>
      <c r="B34" s="44"/>
      <c r="C34" s="44"/>
      <c r="D34" s="44"/>
      <c r="E34" s="44"/>
      <c r="F34" s="62"/>
      <c r="G34" s="62"/>
      <c r="H34" s="44"/>
      <c r="I34" s="44"/>
      <c r="J34" s="44"/>
      <c r="K34" s="44"/>
      <c r="L34" s="44"/>
      <c r="M34" s="76"/>
      <c r="N34" s="76"/>
    </row>
    <row r="35" spans="1:14" ht="15.75" customHeight="1">
      <c r="A35" s="44"/>
      <c r="B35" s="53" t="s">
        <v>64</v>
      </c>
      <c r="C35" s="44"/>
      <c r="D35" s="44"/>
      <c r="E35" s="44"/>
      <c r="F35" s="62"/>
      <c r="G35" s="62"/>
      <c r="H35" s="44"/>
      <c r="I35" s="44"/>
      <c r="J35" s="44"/>
      <c r="K35" s="44"/>
      <c r="L35" s="44"/>
      <c r="M35" s="41"/>
      <c r="N35" s="41"/>
    </row>
    <row r="36" spans="1:14" ht="15.75" customHeight="1">
      <c r="A36" s="44" t="s">
        <v>34</v>
      </c>
      <c r="B36" s="44"/>
      <c r="C36" s="44"/>
      <c r="D36" s="44"/>
      <c r="E36" s="44"/>
      <c r="F36" s="62"/>
      <c r="G36" s="62"/>
      <c r="H36" s="44"/>
      <c r="I36" s="44"/>
      <c r="J36" s="44"/>
      <c r="K36" s="44"/>
      <c r="L36" s="44"/>
      <c r="M36" s="76"/>
      <c r="N36" s="76"/>
    </row>
    <row r="37" spans="1:14" ht="15.75" customHeight="1">
      <c r="A37" s="44"/>
      <c r="B37" s="53" t="s">
        <v>64</v>
      </c>
      <c r="C37" s="44"/>
      <c r="D37" s="44"/>
      <c r="E37" s="44"/>
      <c r="F37" s="62"/>
      <c r="G37" s="62"/>
      <c r="H37" s="44"/>
      <c r="I37" s="44"/>
      <c r="J37" s="44"/>
      <c r="K37" s="44"/>
      <c r="L37" s="44"/>
      <c r="M37" s="41"/>
      <c r="N37" s="41"/>
    </row>
    <row r="38" spans="1:14" ht="15.75" customHeight="1">
      <c r="A38" s="44" t="s">
        <v>35</v>
      </c>
      <c r="B38" s="44"/>
      <c r="C38" s="44"/>
      <c r="D38" s="44"/>
      <c r="E38" s="44"/>
      <c r="F38" s="62"/>
      <c r="G38" s="62"/>
      <c r="H38" s="44"/>
      <c r="I38" s="44"/>
      <c r="J38" s="44"/>
      <c r="K38" s="44"/>
      <c r="L38" s="44"/>
      <c r="M38" s="41"/>
      <c r="N38" s="41"/>
    </row>
    <row r="39" spans="1:14" ht="15.75" customHeight="1">
      <c r="A39" s="44"/>
      <c r="B39" s="44"/>
      <c r="C39" s="63" t="s">
        <v>36</v>
      </c>
      <c r="F39" s="64"/>
      <c r="G39" s="64"/>
      <c r="K39" s="77"/>
      <c r="L39" s="66"/>
      <c r="M39" s="67"/>
      <c r="N39" s="67"/>
    </row>
    <row r="40" spans="1:14" ht="15.75" customHeight="1">
      <c r="A40" s="44"/>
      <c r="B40" s="44"/>
      <c r="C40" s="63" t="s">
        <v>65</v>
      </c>
      <c r="F40" s="64"/>
      <c r="G40" s="64"/>
      <c r="J40" s="78" t="s">
        <v>66</v>
      </c>
      <c r="K40" s="65" t="str">
        <f>Sheet1!X266</f>
        <v/>
      </c>
      <c r="L40" s="66" t="s">
        <v>37</v>
      </c>
      <c r="M40" s="79"/>
      <c r="N40" s="79"/>
    </row>
    <row r="41" spans="1:14" ht="15.75" customHeight="1">
      <c r="A41" s="44"/>
      <c r="B41" s="44"/>
      <c r="C41" s="63"/>
      <c r="F41" s="64"/>
      <c r="G41" s="64"/>
      <c r="J41" s="78" t="s">
        <v>67</v>
      </c>
      <c r="K41" s="65" t="str">
        <f>Sheet1!X281</f>
        <v/>
      </c>
      <c r="L41" s="66" t="s">
        <v>37</v>
      </c>
      <c r="M41" s="79"/>
      <c r="N41" s="79"/>
    </row>
    <row r="42" spans="1:14" ht="15.75" customHeight="1">
      <c r="J42" s="78" t="s">
        <v>68</v>
      </c>
      <c r="K42" s="65" t="str">
        <f>Sheet1!X318</f>
        <v/>
      </c>
      <c r="L42" s="66" t="s">
        <v>37</v>
      </c>
    </row>
    <row r="43" spans="1:14" ht="15.75" customHeight="1">
      <c r="A43" s="44" t="s">
        <v>38</v>
      </c>
      <c r="B43" s="44"/>
      <c r="C43" s="44"/>
      <c r="D43" s="44"/>
      <c r="E43" s="44"/>
      <c r="F43" s="62"/>
      <c r="G43" s="62"/>
      <c r="H43" s="44"/>
      <c r="I43" s="44"/>
      <c r="J43" s="44"/>
      <c r="K43" s="44"/>
      <c r="L43" s="44"/>
      <c r="M43" s="76"/>
      <c r="N43" s="76"/>
    </row>
    <row r="44" spans="1:14" ht="15.75" customHeight="1">
      <c r="A44" s="44"/>
      <c r="B44" s="53" t="s">
        <v>69</v>
      </c>
      <c r="C44" s="44"/>
      <c r="D44" s="44"/>
      <c r="E44" s="44"/>
      <c r="F44" s="62"/>
      <c r="G44" s="62"/>
      <c r="H44" s="44"/>
      <c r="I44" s="44"/>
      <c r="J44" s="44"/>
      <c r="K44" s="65" t="str">
        <f>Sheet1!X362</f>
        <v/>
      </c>
      <c r="L44" s="53" t="s">
        <v>70</v>
      </c>
      <c r="M44" s="41"/>
      <c r="N44" s="41"/>
    </row>
    <row r="45" spans="1:14" ht="15.75" customHeight="1">
      <c r="A45" s="44" t="s">
        <v>39</v>
      </c>
      <c r="B45" s="44"/>
      <c r="C45" s="44"/>
      <c r="D45" s="44"/>
      <c r="E45" s="44"/>
      <c r="F45" s="44"/>
      <c r="G45" s="44"/>
      <c r="H45" s="68" t="s">
        <v>41</v>
      </c>
      <c r="I45" s="44"/>
      <c r="J45" s="68" t="s">
        <v>42</v>
      </c>
      <c r="L45" s="68" t="s">
        <v>43</v>
      </c>
      <c r="M45" s="41"/>
      <c r="N45" s="41"/>
    </row>
    <row r="46" spans="1:14" ht="15.75" customHeight="1">
      <c r="C46" s="63" t="s">
        <v>71</v>
      </c>
      <c r="D46" s="53"/>
      <c r="E46" s="53"/>
      <c r="H46" s="69">
        <f>Sheet1!P429</f>
        <v>0</v>
      </c>
      <c r="J46" s="69">
        <f>Sheet1!P430</f>
        <v>0</v>
      </c>
      <c r="L46" s="69">
        <f>Sheet1!P431</f>
        <v>0</v>
      </c>
      <c r="M46" s="71"/>
      <c r="N46" s="53"/>
    </row>
    <row r="47" spans="1:14" ht="15.75" customHeight="1">
      <c r="C47" s="63" t="s">
        <v>72</v>
      </c>
      <c r="D47" s="53"/>
      <c r="E47" s="53"/>
      <c r="G47" s="68"/>
      <c r="H47" s="69">
        <f>Sheet1!T429</f>
        <v>0</v>
      </c>
      <c r="I47" s="68"/>
      <c r="J47" s="69">
        <f>Sheet1!T430</f>
        <v>0</v>
      </c>
      <c r="K47" s="68"/>
      <c r="L47" s="69">
        <f>Sheet1!T431</f>
        <v>0</v>
      </c>
      <c r="M47" s="71"/>
      <c r="N47" s="53"/>
    </row>
    <row r="48" spans="1:14" ht="15.75" customHeight="1">
      <c r="A48" s="44" t="s">
        <v>44</v>
      </c>
      <c r="B48" s="44"/>
      <c r="C48" s="44"/>
      <c r="D48" s="44"/>
      <c r="E48" s="44"/>
      <c r="F48" s="62"/>
      <c r="G48" s="62"/>
      <c r="H48" s="44"/>
      <c r="I48" s="44"/>
      <c r="J48" s="44"/>
      <c r="K48" s="44"/>
      <c r="L48" s="45"/>
      <c r="M48" s="50"/>
      <c r="N48" s="50"/>
    </row>
    <row r="49" spans="1:14" ht="15.75" customHeight="1">
      <c r="A49" s="44"/>
      <c r="B49" s="44"/>
      <c r="C49" s="53" t="s">
        <v>45</v>
      </c>
      <c r="D49" s="69" t="str">
        <f>Sheet1!T441</f>
        <v/>
      </c>
      <c r="E49" s="53" t="s">
        <v>73</v>
      </c>
      <c r="F49" s="62"/>
      <c r="G49" s="62"/>
      <c r="H49" s="44"/>
      <c r="I49" s="44"/>
      <c r="J49" s="68"/>
      <c r="K49" s="73"/>
      <c r="L49" s="73"/>
      <c r="M49" s="41"/>
      <c r="N49" s="41"/>
    </row>
    <row r="50" spans="1:14" ht="15.75" customHeight="1">
      <c r="A50" s="44"/>
      <c r="B50" s="44"/>
      <c r="C50" s="53" t="s">
        <v>46</v>
      </c>
      <c r="D50" s="69" t="str">
        <f>Sheet1!T442</f>
        <v/>
      </c>
      <c r="E50" s="74" t="s">
        <v>47</v>
      </c>
      <c r="F50" s="62"/>
      <c r="G50" s="62"/>
      <c r="H50" s="44"/>
      <c r="I50" s="44"/>
      <c r="J50" s="75"/>
      <c r="K50" s="73"/>
      <c r="L50" s="73"/>
      <c r="M50" s="53"/>
      <c r="N50" s="53"/>
    </row>
    <row r="51" spans="1:14" ht="15.75" customHeight="1">
      <c r="A51" s="44"/>
      <c r="B51" s="44"/>
      <c r="C51" s="53" t="s">
        <v>48</v>
      </c>
      <c r="D51" s="44"/>
      <c r="E51" s="44"/>
      <c r="F51" s="62"/>
      <c r="G51" s="62"/>
      <c r="H51" s="44"/>
      <c r="I51" s="44"/>
      <c r="J51" s="68"/>
      <c r="K51" s="73"/>
      <c r="L51" s="73"/>
      <c r="M51" s="41"/>
      <c r="N51" s="41"/>
    </row>
    <row r="52" spans="1:14" ht="15.75" customHeight="1">
      <c r="A52" s="44" t="s">
        <v>49</v>
      </c>
      <c r="B52" s="44"/>
      <c r="C52" s="44"/>
      <c r="D52" s="44"/>
      <c r="E52" s="44"/>
      <c r="F52" s="44"/>
      <c r="G52" s="44"/>
      <c r="H52" s="44"/>
      <c r="I52" s="44"/>
      <c r="J52" s="44"/>
      <c r="K52" s="44"/>
      <c r="L52" s="44"/>
      <c r="M52" s="76"/>
      <c r="N52" s="76"/>
    </row>
    <row r="53" spans="1:14" ht="15.75" customHeight="1">
      <c r="A53" s="44"/>
      <c r="B53" s="53" t="s">
        <v>74</v>
      </c>
      <c r="C53" s="44"/>
      <c r="D53" s="44"/>
      <c r="E53" s="44"/>
      <c r="F53" s="44"/>
      <c r="G53" s="44"/>
      <c r="H53" s="44"/>
      <c r="I53" s="44"/>
      <c r="J53" s="44"/>
      <c r="K53" s="44"/>
      <c r="L53" s="44"/>
      <c r="M53" s="41"/>
      <c r="N53" s="41"/>
    </row>
    <row r="54" spans="1:14" ht="15.75" customHeight="1">
      <c r="A54" s="44"/>
      <c r="B54" s="53" t="s">
        <v>75</v>
      </c>
      <c r="C54" s="44"/>
      <c r="D54" s="44"/>
      <c r="E54" s="44"/>
      <c r="F54" s="44"/>
      <c r="G54" s="44"/>
      <c r="H54" s="44"/>
      <c r="I54" s="44"/>
      <c r="J54" s="44"/>
      <c r="K54" s="44"/>
      <c r="L54" s="44"/>
      <c r="M54" s="41"/>
      <c r="N54" s="41"/>
    </row>
    <row r="55" spans="1:14" ht="15.75" customHeight="1">
      <c r="A55" s="44"/>
      <c r="B55" s="53" t="s">
        <v>76</v>
      </c>
      <c r="C55" s="44"/>
      <c r="D55" s="44"/>
      <c r="E55" s="44"/>
      <c r="F55" s="44"/>
      <c r="G55" s="44"/>
      <c r="H55" s="44"/>
      <c r="I55" s="44"/>
      <c r="J55" s="44"/>
      <c r="K55" s="44"/>
      <c r="L55" s="44"/>
      <c r="M55" s="41"/>
      <c r="N55" s="41"/>
    </row>
    <row r="56" spans="1:14" ht="15.75" customHeight="1">
      <c r="A56" s="44"/>
      <c r="B56" s="53" t="s">
        <v>77</v>
      </c>
      <c r="C56" s="44"/>
      <c r="D56" s="44"/>
      <c r="E56" s="44"/>
      <c r="F56" s="44"/>
      <c r="G56" s="44"/>
      <c r="H56" s="44"/>
      <c r="I56" s="44"/>
      <c r="J56" s="44"/>
      <c r="K56" s="44"/>
      <c r="L56" s="44"/>
      <c r="M56" s="41"/>
      <c r="N56" s="41"/>
    </row>
    <row r="57" spans="1:14" ht="15.75" customHeight="1">
      <c r="A57" s="44" t="s">
        <v>50</v>
      </c>
      <c r="B57" s="44"/>
      <c r="C57" s="44"/>
      <c r="D57" s="44"/>
      <c r="E57" s="44"/>
      <c r="F57" s="44"/>
      <c r="G57" s="44"/>
      <c r="H57" s="44"/>
      <c r="I57" s="44"/>
      <c r="J57" s="44"/>
      <c r="K57" s="44"/>
      <c r="L57" s="44"/>
      <c r="M57" s="41"/>
      <c r="N57" s="41"/>
    </row>
    <row r="58" spans="1:14" ht="15.75" customHeight="1">
      <c r="A58" s="44" t="s">
        <v>51</v>
      </c>
      <c r="B58" s="44"/>
      <c r="C58" s="44"/>
      <c r="D58" s="44"/>
      <c r="E58" s="44"/>
      <c r="F58" s="44"/>
      <c r="G58" s="44"/>
      <c r="H58" s="44"/>
      <c r="I58" s="44"/>
      <c r="J58" s="44"/>
      <c r="K58" s="44"/>
      <c r="L58" s="44"/>
      <c r="M58" s="41"/>
      <c r="N58" s="41"/>
    </row>
    <row r="59" spans="1:14" ht="15.75" customHeight="1">
      <c r="A59" s="44" t="s">
        <v>52</v>
      </c>
      <c r="B59" s="44"/>
      <c r="C59" s="44"/>
      <c r="D59" s="44"/>
      <c r="E59" s="44"/>
      <c r="F59" s="44"/>
      <c r="G59" s="44"/>
      <c r="H59" s="44"/>
      <c r="I59" s="44"/>
      <c r="J59" s="44"/>
      <c r="K59" s="44"/>
      <c r="L59" s="44"/>
      <c r="M59" s="41"/>
      <c r="N59" s="41"/>
    </row>
    <row r="60" spans="1:14" ht="15.75" customHeight="1">
      <c r="A60" s="44" t="s">
        <v>53</v>
      </c>
      <c r="B60" s="44"/>
      <c r="C60" s="44"/>
      <c r="D60" s="44"/>
      <c r="E60" s="44"/>
      <c r="F60" s="44"/>
      <c r="G60" s="44"/>
      <c r="H60" s="44"/>
      <c r="I60" s="44"/>
      <c r="J60" s="44"/>
      <c r="K60" s="44"/>
      <c r="L60" s="44"/>
      <c r="M60" s="41"/>
      <c r="N60" s="41"/>
    </row>
    <row r="61" spans="1:14" ht="15.75" customHeight="1">
      <c r="A61" s="44"/>
      <c r="B61" s="44"/>
      <c r="C61" s="44"/>
      <c r="D61" s="44"/>
      <c r="E61" s="44"/>
      <c r="F61" s="44"/>
      <c r="G61" s="44"/>
      <c r="H61" s="44"/>
      <c r="I61" s="44"/>
      <c r="J61" s="44"/>
      <c r="K61" s="44"/>
      <c r="L61" s="44"/>
      <c r="M61" s="76"/>
      <c r="N61" s="76"/>
    </row>
    <row r="62" spans="1:14" ht="15.75" customHeight="1">
      <c r="A62" s="44"/>
      <c r="B62" s="44"/>
      <c r="C62" s="44"/>
      <c r="D62" s="44"/>
      <c r="E62" s="44"/>
      <c r="F62" s="44"/>
      <c r="G62" s="44"/>
      <c r="H62" s="44"/>
      <c r="I62" s="44"/>
      <c r="J62" s="44"/>
      <c r="K62" s="44"/>
      <c r="L62" s="44"/>
      <c r="M62" s="76"/>
      <c r="N62" s="76"/>
    </row>
    <row r="63" spans="1:14" ht="15.75" customHeight="1">
      <c r="A63" s="44"/>
      <c r="B63" s="44"/>
      <c r="C63" s="44"/>
      <c r="D63" s="44"/>
      <c r="E63" s="44"/>
      <c r="F63" s="44"/>
      <c r="G63" s="44"/>
      <c r="H63" s="44"/>
      <c r="I63" s="44"/>
      <c r="J63" s="44"/>
      <c r="K63" s="44"/>
      <c r="L63" s="44"/>
      <c r="M63" s="76"/>
      <c r="N63" s="76"/>
    </row>
    <row r="64" spans="1:14" ht="15.75" customHeight="1">
      <c r="A64" s="44"/>
      <c r="B64" s="44"/>
      <c r="C64" s="44"/>
      <c r="D64" s="44"/>
      <c r="E64" s="44"/>
      <c r="F64" s="44"/>
      <c r="G64" s="44"/>
      <c r="H64" s="44"/>
      <c r="I64" s="44"/>
      <c r="J64" s="44"/>
      <c r="K64" s="44"/>
      <c r="L64" s="44"/>
      <c r="M64" s="76"/>
      <c r="N64" s="76"/>
    </row>
    <row r="65" spans="1:14" ht="15.75" customHeight="1">
      <c r="A65" s="44"/>
      <c r="B65" s="44"/>
      <c r="C65" s="44"/>
      <c r="D65" s="44"/>
      <c r="E65" s="44"/>
      <c r="F65" s="44"/>
      <c r="G65" s="44"/>
      <c r="H65" s="44"/>
      <c r="I65" s="44"/>
      <c r="J65" s="44"/>
      <c r="K65" s="44"/>
      <c r="L65" s="44"/>
      <c r="M65" s="76"/>
      <c r="N65" s="76"/>
    </row>
    <row r="66" spans="1:14" ht="15.75" customHeight="1">
      <c r="A66" s="44"/>
      <c r="B66" s="44"/>
      <c r="C66" s="44"/>
      <c r="D66" s="44"/>
      <c r="E66" s="44"/>
      <c r="F66" s="44"/>
      <c r="G66" s="44"/>
      <c r="H66" s="44"/>
      <c r="I66" s="44"/>
      <c r="J66" s="44"/>
      <c r="K66" s="44"/>
      <c r="L66" s="44"/>
      <c r="M66" s="76"/>
      <c r="N66" s="76"/>
    </row>
    <row r="67" spans="1:14" ht="15.75" customHeight="1">
      <c r="A67" s="44"/>
      <c r="B67" s="44"/>
      <c r="C67" s="44"/>
      <c r="D67" s="44"/>
      <c r="E67" s="44"/>
      <c r="F67" s="44"/>
      <c r="G67" s="44"/>
      <c r="H67" s="44"/>
      <c r="I67" s="44"/>
      <c r="J67" s="44"/>
      <c r="K67" s="44"/>
      <c r="L67" s="44"/>
      <c r="M67" s="76"/>
      <c r="N67" s="76"/>
    </row>
    <row r="68" spans="1:14" ht="15.75" customHeight="1">
      <c r="A68" s="44"/>
      <c r="B68" s="44"/>
      <c r="C68" s="44"/>
      <c r="D68" s="44"/>
      <c r="E68" s="44"/>
      <c r="F68" s="44"/>
      <c r="G68" s="44"/>
      <c r="H68" s="44"/>
      <c r="I68" s="44"/>
      <c r="J68" s="44"/>
      <c r="K68" s="44"/>
      <c r="L68" s="44"/>
      <c r="M68" s="76"/>
      <c r="N68" s="76"/>
    </row>
    <row r="69" spans="1:14" ht="15.75" customHeight="1">
      <c r="A69" s="44"/>
      <c r="B69" s="44"/>
      <c r="C69" s="44"/>
      <c r="D69" s="44"/>
      <c r="E69" s="44"/>
      <c r="F69" s="44"/>
      <c r="G69" s="44"/>
      <c r="H69" s="44"/>
      <c r="I69" s="44"/>
      <c r="J69" s="44"/>
      <c r="K69" s="44"/>
      <c r="L69" s="44"/>
      <c r="M69" s="76"/>
      <c r="N69" s="76"/>
    </row>
    <row r="70" spans="1:14" ht="15.75" customHeight="1">
      <c r="A70" s="44"/>
      <c r="B70" s="44"/>
      <c r="C70" s="44"/>
      <c r="D70" s="44"/>
      <c r="E70" s="44"/>
      <c r="F70" s="44"/>
      <c r="G70" s="44"/>
      <c r="H70" s="44"/>
      <c r="I70" s="44"/>
      <c r="J70" s="44"/>
      <c r="K70" s="44"/>
      <c r="L70" s="44"/>
      <c r="M70" s="76"/>
      <c r="N70" s="76"/>
    </row>
    <row r="71" spans="1:14" ht="15.75" customHeight="1">
      <c r="A71" s="44"/>
      <c r="B71" s="44"/>
      <c r="C71" s="44"/>
      <c r="D71" s="44"/>
      <c r="E71" s="44"/>
      <c r="F71" s="44"/>
      <c r="G71" s="44"/>
      <c r="H71" s="44"/>
      <c r="I71" s="44"/>
      <c r="J71" s="44"/>
      <c r="K71" s="44"/>
      <c r="L71" s="44"/>
      <c r="M71" s="76"/>
      <c r="N71" s="76"/>
    </row>
    <row r="72" spans="1:14" ht="15.75" customHeight="1">
      <c r="A72" s="44"/>
      <c r="B72" s="44"/>
      <c r="C72" s="44"/>
      <c r="D72" s="44"/>
      <c r="E72" s="44"/>
      <c r="F72" s="44"/>
      <c r="G72" s="44"/>
      <c r="H72" s="44"/>
      <c r="I72" s="44"/>
      <c r="J72" s="44"/>
      <c r="K72" s="44"/>
      <c r="L72" s="44"/>
      <c r="M72" s="76"/>
      <c r="N72" s="76"/>
    </row>
    <row r="73" spans="1:14" ht="15.75" customHeight="1">
      <c r="A73" s="39" t="s">
        <v>54</v>
      </c>
      <c r="B73" s="39"/>
      <c r="C73" s="39"/>
      <c r="D73" s="39"/>
      <c r="E73" s="39"/>
      <c r="F73" s="39"/>
      <c r="G73" s="39"/>
      <c r="H73" s="39"/>
      <c r="I73" s="39"/>
      <c r="J73" s="39"/>
      <c r="K73" s="39"/>
      <c r="L73" s="39"/>
      <c r="M73" s="39"/>
      <c r="N73" s="39"/>
    </row>
  </sheetData>
  <mergeCells count="54">
    <mergeCell ref="M58:N58"/>
    <mergeCell ref="M59:N59"/>
    <mergeCell ref="M60:N60"/>
    <mergeCell ref="A73:N73"/>
    <mergeCell ref="M53:N53"/>
    <mergeCell ref="M54:N54"/>
    <mergeCell ref="M55:N55"/>
    <mergeCell ref="M56:N56"/>
    <mergeCell ref="M57:N57"/>
    <mergeCell ref="M38:N38"/>
    <mergeCell ref="M44:N44"/>
    <mergeCell ref="M45:N45"/>
    <mergeCell ref="M49:N49"/>
    <mergeCell ref="M51:N51"/>
    <mergeCell ref="M30:N30"/>
    <mergeCell ref="M31:N31"/>
    <mergeCell ref="M33:N33"/>
    <mergeCell ref="M35:N35"/>
    <mergeCell ref="M37:N37"/>
    <mergeCell ref="M22:N22"/>
    <mergeCell ref="M23:N23"/>
    <mergeCell ref="M25:N25"/>
    <mergeCell ref="M26:N26"/>
    <mergeCell ref="M28:N28"/>
    <mergeCell ref="A15:N15"/>
    <mergeCell ref="A18:N18"/>
    <mergeCell ref="A19:N19"/>
    <mergeCell ref="M20:N20"/>
    <mergeCell ref="M21:N21"/>
    <mergeCell ref="D13:F13"/>
    <mergeCell ref="G13:H13"/>
    <mergeCell ref="I13:J13"/>
    <mergeCell ref="K13:N13"/>
    <mergeCell ref="D14:F14"/>
    <mergeCell ref="G14:H14"/>
    <mergeCell ref="I14:J14"/>
    <mergeCell ref="K14:N14"/>
    <mergeCell ref="D10:H10"/>
    <mergeCell ref="D12:F12"/>
    <mergeCell ref="G12:H12"/>
    <mergeCell ref="I12:J12"/>
    <mergeCell ref="K12:N12"/>
    <mergeCell ref="D6:H6"/>
    <mergeCell ref="K6:N6"/>
    <mergeCell ref="D7:H7"/>
    <mergeCell ref="K7:N7"/>
    <mergeCell ref="D8:H8"/>
    <mergeCell ref="K8:N8"/>
    <mergeCell ref="A1:N1"/>
    <mergeCell ref="A2:N2"/>
    <mergeCell ref="C4:H4"/>
    <mergeCell ref="K4:N4"/>
    <mergeCell ref="C5:H5"/>
    <mergeCell ref="K5:N5"/>
  </mergeCells>
  <conditionalFormatting sqref="M37:N38 M21:N26 M28:N28 M30:N31 M33:N33 M35:N35">
    <cfRule type="cellIs" dxfId="21" priority="2" operator="equal">
      <formula>"Fail"</formula>
    </cfRule>
  </conditionalFormatting>
  <conditionalFormatting sqref="M44:N46 M50:N50 M53:N57 M58:N60">
    <cfRule type="cellIs" dxfId="20" priority="3" operator="equal">
      <formula>"Fail"</formula>
    </cfRule>
  </conditionalFormatting>
  <conditionalFormatting sqref="M58:N58">
    <cfRule type="cellIs" dxfId="19" priority="4" operator="equal">
      <formula>"Fail"</formula>
    </cfRule>
  </conditionalFormatting>
  <conditionalFormatting sqref="M27:N27">
    <cfRule type="cellIs" dxfId="18" priority="5" operator="equal">
      <formula>"Fail"</formula>
    </cfRule>
  </conditionalFormatting>
  <conditionalFormatting sqref="M29:N29">
    <cfRule type="cellIs" dxfId="17" priority="6" operator="equal">
      <formula>"Fail"</formula>
    </cfRule>
  </conditionalFormatting>
  <conditionalFormatting sqref="M32:N32">
    <cfRule type="cellIs" dxfId="16" priority="7" operator="equal">
      <formula>"Fail"</formula>
    </cfRule>
  </conditionalFormatting>
  <conditionalFormatting sqref="M34:N34">
    <cfRule type="cellIs" dxfId="15" priority="8" operator="equal">
      <formula>"Fail"</formula>
    </cfRule>
  </conditionalFormatting>
  <conditionalFormatting sqref="M36:N36">
    <cfRule type="cellIs" dxfId="14" priority="9" operator="equal">
      <formula>"Fail"</formula>
    </cfRule>
  </conditionalFormatting>
  <conditionalFormatting sqref="M52:N52">
    <cfRule type="cellIs" dxfId="13" priority="10" operator="equal">
      <formula>"Fail"</formula>
    </cfRule>
  </conditionalFormatting>
  <dataValidations count="6">
    <dataValidation type="list" operator="equal" allowBlank="1" showErrorMessage="1" sqref="M21:N23 M25:N26 M28:N28 M30:N31 M33:N33 M35:N35">
      <formula1>PF</formula1>
      <formula2>0</formula2>
    </dataValidation>
    <dataValidation type="list" operator="equal" allowBlank="1" showErrorMessage="1" sqref="M37:N37 M51:N51 M53:N60 M61:M72">
      <formula1>NA</formula1>
      <formula2>0</formula2>
    </dataValidation>
    <dataValidation type="list" operator="equal" allowBlank="1" showErrorMessage="1" sqref="M38 M44:M45 M49">
      <formula1>PF</formula1>
      <formula2>0</formula2>
    </dataValidation>
    <dataValidation type="list" operator="equal" allowBlank="1" showErrorMessage="1" sqref="N38 N44:N45 N49">
      <formula1>SpeckMassList</formula1>
      <formula2>0</formula2>
    </dataValidation>
    <dataValidation operator="equal" allowBlank="1" showErrorMessage="1" sqref="N24 N27 N29 N32 N34 N36 M43:N43 N52 N61:N72">
      <formula1>0</formula1>
      <formula2>0</formula2>
    </dataValidation>
    <dataValidation type="list" operator="equal" allowBlank="1" sqref="H46:H47 J46:J47 L46:L47">
      <formula1>SpeckMassList</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55" max="16383" man="1"/>
  </rowBreak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zoomScale="75" zoomScaleNormal="75" workbookViewId="0">
      <selection activeCell="B19" sqref="B19"/>
    </sheetView>
  </sheetViews>
  <sheetFormatPr defaultRowHeight="14.25"/>
  <cols>
    <col min="1" max="1" width="3.5" customWidth="1"/>
    <col min="2" max="2" width="18.875" customWidth="1"/>
    <col min="3" max="4" width="9" customWidth="1"/>
    <col min="5" max="5" width="6" customWidth="1"/>
    <col min="6" max="6" width="3.375" customWidth="1"/>
    <col min="7" max="7" width="14.25" customWidth="1"/>
    <col min="8" max="8" width="11.625" customWidth="1"/>
    <col min="9" max="9" width="9.625" customWidth="1"/>
    <col min="10" max="10" width="8.75" customWidth="1"/>
    <col min="11" max="11" width="8.25" customWidth="1"/>
    <col min="12" max="12" width="4.25" customWidth="1"/>
    <col min="13" max="1025" width="8.25" customWidth="1"/>
  </cols>
  <sheetData>
    <row r="1" spans="1:12" ht="27" customHeight="1">
      <c r="A1" s="14" t="s">
        <v>0</v>
      </c>
      <c r="B1" s="14"/>
      <c r="C1" s="14"/>
      <c r="D1" s="14"/>
      <c r="E1" s="14"/>
      <c r="F1" s="14"/>
      <c r="G1" s="14"/>
      <c r="H1" s="14"/>
      <c r="I1" s="14"/>
      <c r="J1" s="14"/>
      <c r="K1" s="14"/>
      <c r="L1" s="14"/>
    </row>
    <row r="2" spans="1:12" ht="18" customHeight="1">
      <c r="A2" s="35" t="s">
        <v>78</v>
      </c>
      <c r="B2" s="35"/>
      <c r="C2" s="35"/>
      <c r="D2" s="35"/>
      <c r="E2" s="35"/>
      <c r="F2" s="35"/>
      <c r="G2" s="35"/>
      <c r="H2" s="35"/>
      <c r="I2" s="35"/>
      <c r="J2" s="35"/>
      <c r="K2" s="35"/>
      <c r="L2" s="35"/>
    </row>
    <row r="3" spans="1:12" ht="15.75" customHeight="1"/>
    <row r="4" spans="1:12" ht="24" customHeight="1">
      <c r="A4" s="34" t="s">
        <v>79</v>
      </c>
      <c r="B4" s="34"/>
      <c r="C4" s="34"/>
      <c r="D4" s="34"/>
      <c r="E4" s="34"/>
      <c r="F4" s="34"/>
      <c r="G4" s="34"/>
      <c r="H4" s="34"/>
      <c r="I4" s="34"/>
      <c r="J4" s="34"/>
      <c r="K4" s="34"/>
      <c r="L4" s="34"/>
    </row>
    <row r="5" spans="1:12" ht="42" customHeight="1">
      <c r="A5" s="33" t="s">
        <v>80</v>
      </c>
      <c r="B5" s="33"/>
      <c r="C5" s="33"/>
      <c r="D5" s="33"/>
      <c r="E5" s="33"/>
      <c r="F5" s="33"/>
      <c r="G5" s="33"/>
      <c r="H5" s="33"/>
      <c r="I5" s="33"/>
      <c r="J5" s="33"/>
      <c r="K5" s="33"/>
      <c r="L5" s="33"/>
    </row>
    <row r="6" spans="1:12" ht="15" customHeight="1">
      <c r="A6" s="80" t="s">
        <v>81</v>
      </c>
      <c r="B6" s="81"/>
      <c r="C6" s="81"/>
      <c r="D6" s="81"/>
      <c r="E6" s="81"/>
      <c r="F6" s="81"/>
      <c r="G6" s="81"/>
      <c r="H6" s="81"/>
      <c r="I6" s="82"/>
      <c r="J6" s="83"/>
      <c r="K6" s="83"/>
      <c r="L6" s="84"/>
    </row>
    <row r="7" spans="1:12" ht="15" customHeight="1">
      <c r="A7" s="85" t="s">
        <v>82</v>
      </c>
      <c r="B7" s="86"/>
      <c r="C7" s="86"/>
      <c r="D7" s="86"/>
      <c r="E7" s="86"/>
      <c r="F7" s="86"/>
      <c r="G7" s="86"/>
      <c r="H7" s="86"/>
      <c r="I7" s="86"/>
      <c r="J7" s="86"/>
      <c r="K7" s="86"/>
      <c r="L7" s="87"/>
    </row>
    <row r="8" spans="1:12" ht="15" customHeight="1">
      <c r="J8" s="32"/>
      <c r="K8" s="32"/>
      <c r="L8" s="32"/>
    </row>
    <row r="9" spans="1:12" ht="15" customHeight="1">
      <c r="A9" s="48"/>
      <c r="E9" s="48"/>
      <c r="H9" s="88" t="s">
        <v>83</v>
      </c>
      <c r="I9" s="59"/>
      <c r="J9" s="42" t="s">
        <v>27</v>
      </c>
      <c r="K9" s="42"/>
      <c r="L9" s="42"/>
    </row>
    <row r="10" spans="1:12" ht="15.75" customHeight="1">
      <c r="A10" s="89" t="s">
        <v>84</v>
      </c>
      <c r="B10" s="90" t="s">
        <v>85</v>
      </c>
      <c r="H10" s="91" t="s">
        <v>86</v>
      </c>
      <c r="J10" s="41"/>
      <c r="K10" s="41"/>
      <c r="L10" s="41"/>
    </row>
    <row r="11" spans="1:12" ht="15.75" customHeight="1">
      <c r="A11" s="92" t="s">
        <v>87</v>
      </c>
      <c r="B11" s="90" t="s">
        <v>88</v>
      </c>
      <c r="H11" s="91" t="s">
        <v>86</v>
      </c>
      <c r="J11" s="41"/>
      <c r="K11" s="41"/>
      <c r="L11" s="41"/>
    </row>
    <row r="12" spans="1:12" ht="15.75" customHeight="1">
      <c r="A12" s="92" t="s">
        <v>89</v>
      </c>
      <c r="B12" s="90" t="s">
        <v>90</v>
      </c>
      <c r="H12" s="91" t="s">
        <v>86</v>
      </c>
      <c r="J12" s="41"/>
      <c r="K12" s="41"/>
      <c r="L12" s="41"/>
    </row>
    <row r="13" spans="1:12" ht="15.75" customHeight="1">
      <c r="A13" s="92" t="s">
        <v>91</v>
      </c>
      <c r="B13" s="90" t="s">
        <v>92</v>
      </c>
      <c r="H13" s="91" t="s">
        <v>86</v>
      </c>
      <c r="J13" s="41"/>
      <c r="K13" s="41"/>
      <c r="L13" s="41"/>
    </row>
    <row r="14" spans="1:12" ht="15.75" customHeight="1">
      <c r="A14" s="92" t="s">
        <v>93</v>
      </c>
      <c r="B14" s="90" t="s">
        <v>94</v>
      </c>
      <c r="H14" s="91" t="s">
        <v>86</v>
      </c>
      <c r="J14" s="41"/>
      <c r="K14" s="41"/>
      <c r="L14" s="41"/>
    </row>
    <row r="15" spans="1:12" ht="15.75" customHeight="1">
      <c r="A15" s="92" t="s">
        <v>95</v>
      </c>
      <c r="B15" s="90" t="s">
        <v>96</v>
      </c>
      <c r="H15" s="91" t="s">
        <v>86</v>
      </c>
      <c r="J15" s="41"/>
      <c r="K15" s="41"/>
      <c r="L15" s="41"/>
    </row>
    <row r="16" spans="1:12" ht="15.75" customHeight="1">
      <c r="A16" s="92" t="s">
        <v>97</v>
      </c>
      <c r="B16" s="93" t="s">
        <v>98</v>
      </c>
      <c r="H16" s="91" t="s">
        <v>99</v>
      </c>
      <c r="J16" s="41"/>
      <c r="K16" s="41"/>
      <c r="L16" s="41"/>
    </row>
    <row r="17" spans="1:12" ht="15.75" customHeight="1">
      <c r="A17" s="92" t="s">
        <v>100</v>
      </c>
      <c r="B17" s="93" t="s">
        <v>101</v>
      </c>
      <c r="H17" s="91" t="s">
        <v>102</v>
      </c>
      <c r="J17" s="41"/>
      <c r="K17" s="41"/>
      <c r="L17" s="41"/>
    </row>
    <row r="18" spans="1:12" ht="15.75" customHeight="1">
      <c r="A18" s="89" t="s">
        <v>103</v>
      </c>
      <c r="B18" s="90" t="s">
        <v>104</v>
      </c>
      <c r="H18" s="91" t="s">
        <v>105</v>
      </c>
      <c r="J18" s="41"/>
      <c r="K18" s="41"/>
      <c r="L18" s="41"/>
    </row>
    <row r="19" spans="1:12" ht="15.75" customHeight="1">
      <c r="A19" s="89" t="s">
        <v>106</v>
      </c>
      <c r="B19" s="90" t="s">
        <v>107</v>
      </c>
      <c r="H19" s="94" t="s">
        <v>108</v>
      </c>
      <c r="J19" s="41"/>
      <c r="K19" s="41"/>
      <c r="L19" s="41"/>
    </row>
    <row r="20" spans="1:12" ht="15.75" customHeight="1">
      <c r="A20" s="92" t="s">
        <v>109</v>
      </c>
      <c r="B20" s="90" t="s">
        <v>110</v>
      </c>
      <c r="H20" s="94" t="s">
        <v>108</v>
      </c>
      <c r="J20" s="36"/>
      <c r="K20" s="36"/>
      <c r="L20" s="36"/>
    </row>
    <row r="21" spans="1:12" ht="15.75" customHeight="1">
      <c r="A21" s="89" t="s">
        <v>111</v>
      </c>
      <c r="B21" s="95" t="s">
        <v>112</v>
      </c>
      <c r="H21" s="94" t="s">
        <v>113</v>
      </c>
      <c r="I21" s="76"/>
      <c r="J21" s="41"/>
      <c r="K21" s="41"/>
      <c r="L21" s="41"/>
    </row>
    <row r="22" spans="1:12" ht="15.75" customHeight="1">
      <c r="B22" s="96" t="s">
        <v>114</v>
      </c>
    </row>
    <row r="23" spans="1:12" ht="24" customHeight="1">
      <c r="A23" s="34" t="s">
        <v>115</v>
      </c>
      <c r="B23" s="34"/>
      <c r="C23" s="34"/>
      <c r="D23" s="34"/>
      <c r="E23" s="34"/>
      <c r="F23" s="34"/>
      <c r="G23" s="34"/>
      <c r="H23" s="34"/>
      <c r="I23" s="34"/>
      <c r="J23" s="34"/>
      <c r="K23" s="34"/>
      <c r="L23" s="34"/>
    </row>
    <row r="24" spans="1:12" ht="15" customHeight="1"/>
    <row r="25" spans="1:12" ht="241.5" customHeight="1">
      <c r="A25" s="31"/>
      <c r="B25" s="31"/>
      <c r="C25" s="31"/>
      <c r="D25" s="31"/>
      <c r="E25" s="31"/>
      <c r="F25" s="31"/>
      <c r="G25" s="31"/>
      <c r="H25" s="31"/>
      <c r="I25" s="31"/>
      <c r="J25" s="31"/>
      <c r="K25" s="31"/>
      <c r="L25" s="31"/>
    </row>
    <row r="26" spans="1:12" ht="15" customHeight="1"/>
    <row r="27" spans="1:12" ht="204.75" customHeight="1">
      <c r="A27" s="28" t="s">
        <v>116</v>
      </c>
      <c r="B27" s="28"/>
      <c r="C27" s="28"/>
      <c r="D27" s="28"/>
      <c r="E27" s="28"/>
      <c r="F27" s="28"/>
      <c r="G27" s="28"/>
      <c r="H27" s="28"/>
      <c r="I27" s="28"/>
      <c r="J27" s="28"/>
      <c r="K27" s="28"/>
      <c r="L27" s="28"/>
    </row>
    <row r="32" spans="1:12" ht="18" customHeight="1"/>
  </sheetData>
  <mergeCells count="21">
    <mergeCell ref="A27:L27"/>
    <mergeCell ref="J19:L19"/>
    <mergeCell ref="J20:L20"/>
    <mergeCell ref="J21:L21"/>
    <mergeCell ref="A23:L23"/>
    <mergeCell ref="A25:L25"/>
    <mergeCell ref="J14:L14"/>
    <mergeCell ref="J15:L15"/>
    <mergeCell ref="J16:L16"/>
    <mergeCell ref="J17:L17"/>
    <mergeCell ref="J18:L18"/>
    <mergeCell ref="J9:L9"/>
    <mergeCell ref="J10:L10"/>
    <mergeCell ref="J11:L11"/>
    <mergeCell ref="J12:L12"/>
    <mergeCell ref="J13:L13"/>
    <mergeCell ref="A1:L1"/>
    <mergeCell ref="A2:L2"/>
    <mergeCell ref="A4:L4"/>
    <mergeCell ref="A5:L5"/>
    <mergeCell ref="J8:L8"/>
  </mergeCells>
  <conditionalFormatting sqref="J10:L21">
    <cfRule type="cellIs" dxfId="12" priority="2" operator="equal">
      <formula>"Fail"</formula>
    </cfRule>
  </conditionalFormatting>
  <dataValidations count="2">
    <dataValidation type="list" operator="equal" allowBlank="1" showErrorMessage="1" sqref="J10:L10 J18:L20 I21:L21">
      <formula1>NA</formula1>
      <formula2>0</formula2>
    </dataValidation>
    <dataValidation type="list" operator="equal" allowBlank="1" showErrorMessage="1" sqref="J11:L17">
      <formula1>PF</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97" customWidth="1"/>
    <col min="2" max="2" width="6.75" style="97" customWidth="1"/>
    <col min="3" max="3" width="37.75" style="97" customWidth="1"/>
    <col min="4" max="4" width="10.25" style="97" customWidth="1"/>
    <col min="5" max="5" width="16.125" style="97" customWidth="1"/>
    <col min="6" max="7" width="8.25" customWidth="1"/>
    <col min="8" max="8" width="11.25" customWidth="1"/>
    <col min="9" max="1025" width="8.25" customWidth="1"/>
  </cols>
  <sheetData>
    <row r="1" spans="1:5" ht="33" customHeight="1">
      <c r="A1" s="30" t="s">
        <v>117</v>
      </c>
      <c r="B1" s="30"/>
      <c r="C1" s="30"/>
      <c r="D1" s="30"/>
      <c r="E1" s="30"/>
    </row>
    <row r="2" spans="1:5" ht="18" customHeight="1">
      <c r="A2" s="98"/>
      <c r="B2" s="98"/>
      <c r="C2" s="98"/>
      <c r="D2" s="98"/>
      <c r="E2" s="98"/>
    </row>
    <row r="3" spans="1:5" ht="16.5" customHeight="1">
      <c r="A3" s="99" t="s">
        <v>118</v>
      </c>
      <c r="B3" s="29">
        <f>'QC Test Summary-Lorad'!C4</f>
        <v>0</v>
      </c>
      <c r="C3" s="29"/>
      <c r="D3" s="29"/>
      <c r="E3" s="29"/>
    </row>
    <row r="4" spans="1:5" ht="16.5" customHeight="1">
      <c r="A4" s="99" t="s">
        <v>119</v>
      </c>
      <c r="B4" s="27" t="str">
        <f>Sheet1!R17</f>
        <v/>
      </c>
      <c r="C4" s="27"/>
      <c r="D4" s="102" t="s">
        <v>120</v>
      </c>
      <c r="E4" s="101" t="str">
        <f>Sheet1!R18</f>
        <v/>
      </c>
    </row>
    <row r="5" spans="1:5" ht="16.5" customHeight="1">
      <c r="A5" s="99" t="s">
        <v>121</v>
      </c>
      <c r="B5" s="101" t="str">
        <f>Sheet1!V18</f>
        <v/>
      </c>
      <c r="C5" s="101"/>
      <c r="D5" s="102" t="s">
        <v>122</v>
      </c>
      <c r="E5" s="100" t="e">
        <f>YEAR(Sheet1!V17)</f>
        <v>#VALUE!</v>
      </c>
    </row>
    <row r="6" spans="1:5" ht="16.5" customHeight="1">
      <c r="A6" s="99" t="s">
        <v>123</v>
      </c>
      <c r="B6" s="27" t="str">
        <f>Sheet1!X7</f>
        <v>Eugene Mah</v>
      </c>
      <c r="C6" s="27"/>
      <c r="D6" s="102" t="s">
        <v>124</v>
      </c>
      <c r="E6" s="100" t="str">
        <f>Sheet1!R14</f>
        <v/>
      </c>
    </row>
    <row r="7" spans="1:5" ht="16.5" customHeight="1">
      <c r="A7" s="99" t="s">
        <v>125</v>
      </c>
      <c r="B7" s="27"/>
      <c r="C7" s="27"/>
      <c r="D7" s="102" t="s">
        <v>126</v>
      </c>
      <c r="E7" s="103">
        <f>Sheet1!P7</f>
        <v>0</v>
      </c>
    </row>
    <row r="8" spans="1:5" ht="21.75" customHeight="1"/>
    <row r="9" spans="1:5" ht="35.25" customHeight="1">
      <c r="A9" s="104" t="s">
        <v>127</v>
      </c>
      <c r="B9" s="105" t="s">
        <v>128</v>
      </c>
      <c r="C9" s="106" t="s">
        <v>129</v>
      </c>
      <c r="D9" s="105" t="s">
        <v>130</v>
      </c>
      <c r="E9" s="107" t="s">
        <v>131</v>
      </c>
    </row>
    <row r="10" spans="1:5" ht="33" customHeight="1">
      <c r="A10" s="26" t="s">
        <v>132</v>
      </c>
      <c r="B10" s="108" t="s">
        <v>133</v>
      </c>
      <c r="C10" s="109" t="s">
        <v>134</v>
      </c>
      <c r="D10" s="110" t="s">
        <v>135</v>
      </c>
      <c r="E10" s="111"/>
    </row>
    <row r="11" spans="1:5" ht="25.5" customHeight="1">
      <c r="A11" s="26"/>
      <c r="B11" s="112" t="s">
        <v>136</v>
      </c>
      <c r="C11" s="113" t="s">
        <v>137</v>
      </c>
      <c r="D11" s="114" t="s">
        <v>135</v>
      </c>
      <c r="E11" s="115"/>
    </row>
    <row r="12" spans="1:5" ht="33.75" customHeight="1">
      <c r="A12" s="25" t="s">
        <v>138</v>
      </c>
      <c r="B12" s="116" t="s">
        <v>139</v>
      </c>
      <c r="C12" s="117" t="s">
        <v>140</v>
      </c>
      <c r="D12" s="118" t="s">
        <v>141</v>
      </c>
      <c r="E12" s="119"/>
    </row>
    <row r="13" spans="1:5" ht="33.75" customHeight="1">
      <c r="A13" s="25"/>
      <c r="B13" s="120" t="s">
        <v>142</v>
      </c>
      <c r="C13" s="121" t="s">
        <v>143</v>
      </c>
      <c r="D13" s="122" t="s">
        <v>141</v>
      </c>
      <c r="E13" s="123"/>
    </row>
    <row r="14" spans="1:5" ht="34.5" customHeight="1">
      <c r="A14" s="25"/>
      <c r="B14" s="124" t="s">
        <v>144</v>
      </c>
      <c r="C14" s="125" t="s">
        <v>145</v>
      </c>
      <c r="D14" s="114" t="s">
        <v>135</v>
      </c>
      <c r="E14" s="126"/>
    </row>
    <row r="15" spans="1:5" ht="45.95" customHeight="1">
      <c r="A15" s="24" t="s">
        <v>146</v>
      </c>
      <c r="B15" s="128" t="s">
        <v>147</v>
      </c>
      <c r="C15" s="129" t="s">
        <v>148</v>
      </c>
      <c r="D15" s="118" t="s">
        <v>135</v>
      </c>
      <c r="E15" s="130"/>
    </row>
    <row r="16" spans="1:5" ht="54.75" customHeight="1">
      <c r="A16" s="24"/>
      <c r="B16" s="112" t="s">
        <v>149</v>
      </c>
      <c r="C16" s="131" t="s">
        <v>150</v>
      </c>
      <c r="D16" s="114" t="s">
        <v>151</v>
      </c>
      <c r="E16" s="132"/>
    </row>
    <row r="17" spans="1:5" ht="33.75" customHeight="1">
      <c r="A17" s="23" t="s">
        <v>152</v>
      </c>
      <c r="B17" s="133" t="s">
        <v>153</v>
      </c>
      <c r="C17" s="117" t="s">
        <v>154</v>
      </c>
      <c r="D17" s="118" t="s">
        <v>135</v>
      </c>
      <c r="E17" s="134"/>
    </row>
    <row r="18" spans="1:5" ht="33.75" customHeight="1">
      <c r="A18" s="23"/>
      <c r="B18" s="135" t="s">
        <v>155</v>
      </c>
      <c r="C18" s="136" t="s">
        <v>156</v>
      </c>
      <c r="D18" s="114" t="s">
        <v>135</v>
      </c>
      <c r="E18" s="115"/>
    </row>
    <row r="19" spans="1:5" ht="33.75">
      <c r="A19" s="22" t="s">
        <v>157</v>
      </c>
      <c r="B19" s="133" t="s">
        <v>158</v>
      </c>
      <c r="C19" s="117" t="s">
        <v>159</v>
      </c>
      <c r="D19" s="118" t="s">
        <v>135</v>
      </c>
      <c r="E19" s="134"/>
    </row>
    <row r="20" spans="1:5" ht="33.75" customHeight="1">
      <c r="A20" s="22"/>
      <c r="B20" s="137" t="s">
        <v>160</v>
      </c>
      <c r="C20" s="138" t="s">
        <v>161</v>
      </c>
      <c r="D20" s="110" t="s">
        <v>135</v>
      </c>
      <c r="E20" s="139"/>
    </row>
    <row r="21" spans="1:5" ht="54.75" customHeight="1">
      <c r="A21" s="22"/>
      <c r="B21" s="135" t="s">
        <v>162</v>
      </c>
      <c r="C21" s="136" t="s">
        <v>163</v>
      </c>
      <c r="D21" s="114" t="s">
        <v>135</v>
      </c>
      <c r="E21" s="115"/>
    </row>
    <row r="22" spans="1:5" ht="33.75" customHeight="1">
      <c r="A22" s="23" t="s">
        <v>164</v>
      </c>
      <c r="B22" s="133" t="s">
        <v>165</v>
      </c>
      <c r="C22" s="117" t="s">
        <v>166</v>
      </c>
      <c r="D22" s="118" t="s">
        <v>135</v>
      </c>
      <c r="E22" s="134"/>
    </row>
    <row r="23" spans="1:5" ht="25.5" customHeight="1">
      <c r="A23" s="23"/>
      <c r="B23" s="112" t="s">
        <v>167</v>
      </c>
      <c r="C23" s="125" t="s">
        <v>168</v>
      </c>
      <c r="D23" s="114" t="s">
        <v>135</v>
      </c>
      <c r="E23" s="132"/>
    </row>
    <row r="24" spans="1:5" ht="33.75">
      <c r="A24" s="22" t="s">
        <v>169</v>
      </c>
      <c r="B24" s="133" t="s">
        <v>170</v>
      </c>
      <c r="C24" s="117" t="s">
        <v>171</v>
      </c>
      <c r="D24" s="118" t="s">
        <v>135</v>
      </c>
      <c r="E24" s="134"/>
    </row>
    <row r="25" spans="1:5" ht="45.75" customHeight="1">
      <c r="A25" s="22"/>
      <c r="B25" s="137" t="s">
        <v>172</v>
      </c>
      <c r="C25" s="121" t="s">
        <v>173</v>
      </c>
      <c r="D25" s="110" t="s">
        <v>151</v>
      </c>
      <c r="E25" s="139"/>
    </row>
    <row r="26" spans="1:5" ht="46.5" customHeight="1">
      <c r="A26" s="22"/>
      <c r="B26" s="140" t="s">
        <v>174</v>
      </c>
      <c r="C26" s="121" t="s">
        <v>175</v>
      </c>
      <c r="D26" s="110" t="s">
        <v>135</v>
      </c>
      <c r="E26" s="139"/>
    </row>
    <row r="27" spans="1:5" ht="22.5">
      <c r="A27" s="22"/>
      <c r="B27" s="140" t="s">
        <v>176</v>
      </c>
      <c r="C27" s="121" t="s">
        <v>177</v>
      </c>
      <c r="D27" s="110" t="s">
        <v>135</v>
      </c>
      <c r="E27" s="139"/>
    </row>
    <row r="28" spans="1:5" ht="22.5">
      <c r="A28" s="22"/>
      <c r="B28" s="141" t="s">
        <v>178</v>
      </c>
      <c r="C28" s="125" t="s">
        <v>179</v>
      </c>
      <c r="D28" s="114" t="s">
        <v>135</v>
      </c>
      <c r="E28" s="132"/>
    </row>
    <row r="29" spans="1:5" ht="24.95" customHeight="1">
      <c r="A29" s="23" t="s">
        <v>180</v>
      </c>
      <c r="B29" s="142" t="s">
        <v>181</v>
      </c>
      <c r="C29" s="117" t="s">
        <v>182</v>
      </c>
      <c r="D29" s="118" t="s">
        <v>135</v>
      </c>
      <c r="E29" s="134"/>
    </row>
    <row r="30" spans="1:5" ht="54.75" customHeight="1">
      <c r="A30" s="23"/>
      <c r="B30" s="140" t="s">
        <v>183</v>
      </c>
      <c r="C30" s="121" t="s">
        <v>184</v>
      </c>
      <c r="D30" s="110" t="s">
        <v>135</v>
      </c>
      <c r="E30" s="139"/>
    </row>
    <row r="31" spans="1:5" ht="33.75">
      <c r="A31" s="23"/>
      <c r="B31" s="141" t="s">
        <v>185</v>
      </c>
      <c r="C31" s="125" t="s">
        <v>186</v>
      </c>
      <c r="D31" s="114" t="s">
        <v>135</v>
      </c>
      <c r="E31" s="132"/>
    </row>
    <row r="32" spans="1:5" ht="46.5" customHeight="1">
      <c r="A32" s="23" t="s">
        <v>187</v>
      </c>
      <c r="B32" s="142" t="s">
        <v>188</v>
      </c>
      <c r="C32" s="117" t="s">
        <v>189</v>
      </c>
      <c r="D32" s="118" t="s">
        <v>141</v>
      </c>
      <c r="E32" s="134"/>
    </row>
    <row r="33" spans="1:5" ht="66.75" customHeight="1">
      <c r="A33" s="23"/>
      <c r="B33" s="140" t="s">
        <v>190</v>
      </c>
      <c r="C33" s="121" t="s">
        <v>191</v>
      </c>
      <c r="D33" s="122" t="s">
        <v>141</v>
      </c>
      <c r="E33" s="139"/>
    </row>
    <row r="34" spans="1:5" ht="22.5">
      <c r="A34" s="23"/>
      <c r="B34" s="141" t="s">
        <v>192</v>
      </c>
      <c r="C34" s="125" t="s">
        <v>193</v>
      </c>
      <c r="D34" s="143" t="s">
        <v>141</v>
      </c>
      <c r="E34" s="132"/>
    </row>
    <row r="35" spans="1:5" ht="33.75" customHeight="1">
      <c r="A35" s="127" t="s">
        <v>194</v>
      </c>
      <c r="B35" s="144">
        <v>11</v>
      </c>
      <c r="C35" s="145" t="s">
        <v>195</v>
      </c>
      <c r="D35" s="146" t="s">
        <v>141</v>
      </c>
      <c r="E35" s="147"/>
    </row>
    <row r="36" spans="1:5" ht="54.75" customHeight="1">
      <c r="A36" s="127" t="s">
        <v>196</v>
      </c>
      <c r="B36" s="144">
        <v>12</v>
      </c>
      <c r="C36" s="145" t="s">
        <v>197</v>
      </c>
      <c r="D36" s="146" t="s">
        <v>141</v>
      </c>
      <c r="E36" s="147"/>
    </row>
    <row r="37" spans="1:5" ht="45">
      <c r="A37" s="127" t="s">
        <v>198</v>
      </c>
      <c r="B37" s="144">
        <v>13</v>
      </c>
      <c r="C37" s="145" t="s">
        <v>199</v>
      </c>
      <c r="D37" s="146" t="s">
        <v>141</v>
      </c>
      <c r="E37" s="147"/>
    </row>
    <row r="38" spans="1:5" ht="46.5" customHeight="1">
      <c r="A38" s="127" t="s">
        <v>200</v>
      </c>
      <c r="B38" s="144">
        <v>14</v>
      </c>
      <c r="C38" s="145" t="s">
        <v>201</v>
      </c>
      <c r="D38" s="146" t="s">
        <v>202</v>
      </c>
      <c r="E38" s="147"/>
    </row>
    <row r="39" spans="1:5" ht="46.5" customHeight="1">
      <c r="A39" s="148" t="s">
        <v>203</v>
      </c>
      <c r="B39" s="149">
        <v>15</v>
      </c>
      <c r="C39" s="136" t="s">
        <v>204</v>
      </c>
      <c r="D39" s="114" t="s">
        <v>202</v>
      </c>
      <c r="E39" s="115"/>
    </row>
    <row r="40" spans="1:5">
      <c r="A40" s="21" t="s">
        <v>205</v>
      </c>
      <c r="B40" s="21"/>
      <c r="C40" s="21"/>
      <c r="D40" s="21"/>
      <c r="E40" s="21"/>
    </row>
  </sheetData>
  <mergeCells count="15">
    <mergeCell ref="A22:A23"/>
    <mergeCell ref="A24:A28"/>
    <mergeCell ref="A29:A31"/>
    <mergeCell ref="A32:A34"/>
    <mergeCell ref="A40:E40"/>
    <mergeCell ref="A10:A11"/>
    <mergeCell ref="A12:A14"/>
    <mergeCell ref="A15:A16"/>
    <mergeCell ref="A17:A18"/>
    <mergeCell ref="A19:A21"/>
    <mergeCell ref="A1:E1"/>
    <mergeCell ref="B3:E3"/>
    <mergeCell ref="B4:C4"/>
    <mergeCell ref="B6:C6"/>
    <mergeCell ref="B7:C7"/>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48576"/>
  <sheetViews>
    <sheetView zoomScale="75" zoomScaleNormal="75" workbookViewId="0">
      <selection activeCell="Z415" sqref="Z415"/>
    </sheetView>
  </sheetViews>
  <sheetFormatPr defaultRowHeight="15"/>
  <cols>
    <col min="1" max="1" width="2.375" style="150" customWidth="1"/>
    <col min="2" max="2" width="2.375" style="151" customWidth="1"/>
    <col min="3" max="13" width="10.5" style="151" customWidth="1"/>
    <col min="14" max="14" width="2.375" style="151" customWidth="1"/>
    <col min="15" max="1022" width="10.5" style="151" customWidth="1"/>
    <col min="1023" max="1025" width="10.5" style="152" customWidth="1"/>
  </cols>
  <sheetData>
    <row r="1" spans="1:43" ht="14.1" customHeight="1">
      <c r="A1" s="153">
        <v>1</v>
      </c>
      <c r="B1" s="154"/>
      <c r="C1" s="155"/>
      <c r="D1" s="155"/>
      <c r="E1" s="155"/>
      <c r="F1" s="155"/>
      <c r="G1" s="155"/>
      <c r="H1" s="155"/>
      <c r="I1" s="155"/>
      <c r="J1" s="155"/>
      <c r="K1" s="155"/>
      <c r="L1" s="155"/>
      <c r="M1" s="156"/>
      <c r="O1" s="157" t="s">
        <v>206</v>
      </c>
      <c r="P1" s="158"/>
      <c r="Q1" s="158"/>
      <c r="R1" s="158"/>
      <c r="S1" s="158"/>
      <c r="T1" s="158"/>
      <c r="U1" s="158"/>
      <c r="V1" s="158"/>
      <c r="W1" s="158"/>
      <c r="X1" s="158"/>
      <c r="Y1" s="159"/>
      <c r="AA1" s="160" t="s">
        <v>207</v>
      </c>
    </row>
    <row r="2" spans="1:43" ht="14.1" customHeight="1">
      <c r="A2" s="153">
        <v>2</v>
      </c>
      <c r="B2" s="161"/>
      <c r="C2" s="162"/>
      <c r="D2" s="162"/>
      <c r="E2" s="162"/>
      <c r="F2" s="162"/>
      <c r="G2" s="162"/>
      <c r="H2" s="163" t="s">
        <v>208</v>
      </c>
      <c r="I2" s="162"/>
      <c r="J2" s="162"/>
      <c r="K2" s="162"/>
      <c r="L2" s="162"/>
      <c r="M2" s="164"/>
      <c r="O2" s="165"/>
      <c r="T2" s="166" t="s">
        <v>208</v>
      </c>
      <c r="Y2" s="167"/>
      <c r="AA2" s="168" t="s">
        <v>209</v>
      </c>
    </row>
    <row r="3" spans="1:43" ht="14.1" customHeight="1">
      <c r="A3" s="153">
        <v>3</v>
      </c>
      <c r="B3" s="161"/>
      <c r="C3" s="162"/>
      <c r="D3" s="162"/>
      <c r="E3" s="162"/>
      <c r="F3" s="162"/>
      <c r="G3" s="162"/>
      <c r="H3" s="163" t="s">
        <v>210</v>
      </c>
      <c r="I3" s="162"/>
      <c r="J3" s="162"/>
      <c r="K3" s="162"/>
      <c r="L3" s="162"/>
      <c r="M3" s="164"/>
      <c r="O3" s="165"/>
      <c r="T3" s="166" t="s">
        <v>210</v>
      </c>
      <c r="Y3" s="167"/>
      <c r="AA3" s="169" t="str">
        <f>IF(AB7="","",AB7)</f>
        <v/>
      </c>
    </row>
    <row r="4" spans="1:43" ht="14.1" customHeight="1">
      <c r="A4" s="153">
        <v>4</v>
      </c>
      <c r="B4" s="161"/>
      <c r="C4" s="162"/>
      <c r="D4" s="162"/>
      <c r="E4" s="162"/>
      <c r="F4" s="162"/>
      <c r="G4" s="162"/>
      <c r="H4" s="162"/>
      <c r="I4" s="162"/>
      <c r="J4" s="162"/>
      <c r="K4" s="162"/>
      <c r="L4" s="162"/>
      <c r="M4" s="164"/>
      <c r="O4" s="165"/>
      <c r="T4" s="150"/>
      <c r="Y4" s="167"/>
      <c r="AA4" s="170" t="s">
        <v>211</v>
      </c>
      <c r="AB4" s="171" t="s">
        <v>212</v>
      </c>
    </row>
    <row r="5" spans="1:43" ht="14.1" customHeight="1">
      <c r="A5" s="153">
        <v>5</v>
      </c>
      <c r="B5" s="161"/>
      <c r="C5" s="162"/>
      <c r="D5" s="162"/>
      <c r="E5" s="162"/>
      <c r="F5" s="162"/>
      <c r="G5" s="162"/>
      <c r="H5" s="163" t="s">
        <v>213</v>
      </c>
      <c r="I5" s="162"/>
      <c r="J5" s="162"/>
      <c r="K5" s="162"/>
      <c r="L5" s="162"/>
      <c r="M5" s="164"/>
      <c r="O5" s="165"/>
      <c r="T5" s="166" t="s">
        <v>213</v>
      </c>
      <c r="Y5" s="167"/>
    </row>
    <row r="6" spans="1:43" ht="14.1" customHeight="1">
      <c r="A6" s="153">
        <v>6</v>
      </c>
      <c r="B6" s="172"/>
      <c r="C6" s="173"/>
      <c r="D6" s="173"/>
      <c r="E6" s="173"/>
      <c r="F6" s="173"/>
      <c r="G6" s="173"/>
      <c r="H6" s="173"/>
      <c r="I6" s="173"/>
      <c r="J6" s="173"/>
      <c r="K6" s="173"/>
      <c r="L6" s="173"/>
      <c r="M6" s="174"/>
      <c r="O6" s="175"/>
      <c r="P6" s="176"/>
      <c r="Q6" s="176"/>
      <c r="R6" s="176"/>
      <c r="S6" s="176"/>
      <c r="T6" s="176"/>
      <c r="U6" s="176"/>
      <c r="V6" s="176"/>
      <c r="W6" s="176"/>
      <c r="X6" s="176"/>
      <c r="Y6" s="177"/>
      <c r="AA6" s="178" t="s">
        <v>214</v>
      </c>
      <c r="AB6" s="151" t="s">
        <v>215</v>
      </c>
      <c r="AD6" s="151" t="s">
        <v>216</v>
      </c>
    </row>
    <row r="7" spans="1:43" ht="14.1" customHeight="1">
      <c r="A7" s="153">
        <v>7</v>
      </c>
      <c r="O7" s="151" t="s">
        <v>217</v>
      </c>
      <c r="P7" s="179"/>
      <c r="Q7" s="180"/>
      <c r="W7" s="151" t="s">
        <v>218</v>
      </c>
      <c r="X7" s="181" t="str">
        <f>IF(Y7&lt;&gt;"",Y7,IF(AB9="","",AB9))</f>
        <v>Eugene Mah</v>
      </c>
      <c r="Y7" s="182" t="s">
        <v>219</v>
      </c>
      <c r="AA7" s="170" t="s">
        <v>207</v>
      </c>
      <c r="AB7" s="183"/>
      <c r="AC7" s="184" t="str">
        <f t="shared" ref="AC7:AC19" si="0">IF(AB7&lt;&gt;AD7,"Change","")</f>
        <v>Change</v>
      </c>
      <c r="AD7" s="185" t="str">
        <f>IF(OR(AA2="",AA2=0),"",AA2)</f>
        <v>Page1,HVLPage,ExpChart,ImgQuality,Compg1,GraphAcryl,LeedsTO10</v>
      </c>
    </row>
    <row r="8" spans="1:43" ht="14.1" customHeight="1">
      <c r="A8" s="153">
        <v>8</v>
      </c>
      <c r="G8" s="186"/>
      <c r="H8" s="186" t="s">
        <v>220</v>
      </c>
      <c r="O8" s="151" t="s">
        <v>221</v>
      </c>
      <c r="P8" s="187" t="str">
        <f>IF(AB8="","",AB8)</f>
        <v/>
      </c>
      <c r="Q8" s="188"/>
      <c r="T8" s="189" t="s">
        <v>220</v>
      </c>
      <c r="W8" s="190"/>
      <c r="X8" s="190"/>
      <c r="Y8" s="191"/>
      <c r="AA8" s="170" t="s">
        <v>222</v>
      </c>
      <c r="AB8" s="192"/>
      <c r="AC8" s="184" t="str">
        <f t="shared" si="0"/>
        <v/>
      </c>
      <c r="AD8" s="193" t="str">
        <f>IF(P7="","",P7)</f>
        <v/>
      </c>
    </row>
    <row r="9" spans="1:43" ht="14.1" customHeight="1">
      <c r="A9" s="153">
        <v>9</v>
      </c>
      <c r="B9" s="194"/>
      <c r="C9" s="195"/>
      <c r="D9" s="196" t="s">
        <v>18</v>
      </c>
      <c r="E9" s="195"/>
      <c r="F9" s="195"/>
      <c r="G9" s="195"/>
      <c r="H9" s="195"/>
      <c r="I9" s="195"/>
      <c r="J9" s="195"/>
      <c r="K9" s="195"/>
      <c r="L9" s="195"/>
      <c r="M9" s="197"/>
      <c r="O9" s="198"/>
      <c r="P9" s="199" t="s">
        <v>18</v>
      </c>
      <c r="Q9" s="158"/>
      <c r="R9" s="158"/>
      <c r="S9" s="200" t="s">
        <v>223</v>
      </c>
      <c r="T9" s="158"/>
      <c r="U9" s="158"/>
      <c r="V9" s="158"/>
      <c r="W9" s="200" t="s">
        <v>223</v>
      </c>
      <c r="X9" s="158"/>
      <c r="Y9" s="159"/>
      <c r="AA9" s="170" t="s">
        <v>224</v>
      </c>
      <c r="AB9" s="201"/>
      <c r="AC9" s="184" t="str">
        <f t="shared" si="0"/>
        <v>Change</v>
      </c>
      <c r="AD9" s="202" t="str">
        <f>IF(X7="","",X7)</f>
        <v>Eugene Mah</v>
      </c>
      <c r="AH9" s="150" t="s">
        <v>225</v>
      </c>
      <c r="AI9" s="150" t="s">
        <v>226</v>
      </c>
      <c r="AJ9" s="150" t="s">
        <v>227</v>
      </c>
      <c r="AK9" s="150" t="s">
        <v>228</v>
      </c>
      <c r="AL9" s="150" t="s">
        <v>229</v>
      </c>
      <c r="AM9" s="150" t="s">
        <v>230</v>
      </c>
      <c r="AN9" s="150" t="s">
        <v>231</v>
      </c>
      <c r="AO9" s="150" t="s">
        <v>232</v>
      </c>
      <c r="AP9" s="150" t="s">
        <v>233</v>
      </c>
      <c r="AQ9" s="150" t="s">
        <v>234</v>
      </c>
    </row>
    <row r="10" spans="1:43" ht="14.1" customHeight="1">
      <c r="A10" s="153">
        <v>10</v>
      </c>
      <c r="B10" s="203"/>
      <c r="C10" s="204"/>
      <c r="E10" s="170" t="s">
        <v>235</v>
      </c>
      <c r="F10" s="20" t="str">
        <f>IF(R10="","",R10)</f>
        <v/>
      </c>
      <c r="G10" s="20"/>
      <c r="J10" s="170" t="s">
        <v>236</v>
      </c>
      <c r="K10" s="20" t="str">
        <f>IF(V10="","",V10)</f>
        <v/>
      </c>
      <c r="L10" s="20"/>
      <c r="M10" s="206"/>
      <c r="O10" s="165"/>
      <c r="Q10" s="170" t="s">
        <v>235</v>
      </c>
      <c r="R10" s="181" t="str">
        <f>IF(S10&lt;&gt;"",S10,IF(AB10="","",AB10))</f>
        <v/>
      </c>
      <c r="S10" s="182"/>
      <c r="U10" s="170" t="s">
        <v>236</v>
      </c>
      <c r="V10" s="181" t="str">
        <f>IF(W10&lt;&gt;"",W10,IF(AB15="","",AB15))</f>
        <v/>
      </c>
      <c r="W10" s="182"/>
      <c r="Y10" s="167"/>
      <c r="AA10" s="170" t="s">
        <v>235</v>
      </c>
      <c r="AB10" s="201"/>
      <c r="AC10" s="184" t="str">
        <f t="shared" si="0"/>
        <v/>
      </c>
      <c r="AD10" s="202" t="str">
        <f>IF(R10="","",R10)</f>
        <v/>
      </c>
      <c r="AH10" s="207">
        <v>24</v>
      </c>
      <c r="AI10" s="208">
        <v>50</v>
      </c>
      <c r="AJ10" s="209">
        <v>0</v>
      </c>
      <c r="AK10" s="208" t="str">
        <f t="shared" ref="AK10:AK41" si="1">IF($V$21="","",$V$21)</f>
        <v/>
      </c>
      <c r="AL10" s="208" t="str">
        <f t="shared" ref="AL10:AL56" si="2">IF($V$24="","",$V$24)</f>
        <v/>
      </c>
      <c r="AM10" s="208"/>
      <c r="AN10" s="208"/>
      <c r="AO10" s="208"/>
      <c r="AP10" s="208"/>
      <c r="AQ10" s="210"/>
    </row>
    <row r="11" spans="1:43" ht="14.1" customHeight="1">
      <c r="A11" s="153">
        <v>11</v>
      </c>
      <c r="B11" s="203"/>
      <c r="C11" s="204"/>
      <c r="E11" s="170" t="s">
        <v>237</v>
      </c>
      <c r="F11" s="19" t="str">
        <f>IF(R11="","",R11)</f>
        <v/>
      </c>
      <c r="G11" s="19"/>
      <c r="J11" s="170" t="s">
        <v>238</v>
      </c>
      <c r="K11" s="20" t="str">
        <f>IF(V11="","",V11)</f>
        <v/>
      </c>
      <c r="L11" s="20"/>
      <c r="M11" s="206"/>
      <c r="O11" s="165"/>
      <c r="Q11" s="170" t="s">
        <v>237</v>
      </c>
      <c r="R11" s="181" t="str">
        <f>IF(S11&lt;&gt;"",S11,IF(AB11="","",AB11))</f>
        <v/>
      </c>
      <c r="S11" s="182"/>
      <c r="U11" s="170" t="s">
        <v>238</v>
      </c>
      <c r="V11" s="181" t="str">
        <f>IF(W11&lt;&gt;"",W11,IF(AB16="","",AB16))</f>
        <v/>
      </c>
      <c r="W11" s="182"/>
      <c r="Y11" s="167"/>
      <c r="AA11" s="170" t="s">
        <v>237</v>
      </c>
      <c r="AB11" s="201"/>
      <c r="AC11" s="184" t="str">
        <f t="shared" si="0"/>
        <v/>
      </c>
      <c r="AD11" s="202" t="str">
        <f>IF(R11="","",R11)</f>
        <v/>
      </c>
      <c r="AH11" s="211">
        <v>24</v>
      </c>
      <c r="AI11" s="212">
        <v>50</v>
      </c>
      <c r="AJ11" s="213">
        <v>0</v>
      </c>
      <c r="AK11" s="212" t="str">
        <f t="shared" si="1"/>
        <v/>
      </c>
      <c r="AL11" s="212" t="str">
        <f t="shared" si="2"/>
        <v/>
      </c>
      <c r="AM11" s="212"/>
      <c r="AN11" s="212"/>
      <c r="AO11" s="212"/>
      <c r="AP11" s="212"/>
      <c r="AQ11" s="214"/>
    </row>
    <row r="12" spans="1:43" ht="14.1" customHeight="1">
      <c r="A12" s="153">
        <v>12</v>
      </c>
      <c r="B12" s="203"/>
      <c r="C12" s="204"/>
      <c r="E12" s="170" t="s">
        <v>239</v>
      </c>
      <c r="F12" s="19" t="str">
        <f>IF(R12="","",R12)</f>
        <v/>
      </c>
      <c r="G12" s="19"/>
      <c r="J12" s="170" t="s">
        <v>240</v>
      </c>
      <c r="K12" s="18" t="str">
        <f>IF(V12="","",V12)</f>
        <v/>
      </c>
      <c r="L12" s="18"/>
      <c r="M12" s="206"/>
      <c r="O12" s="165"/>
      <c r="Q12" s="170" t="s">
        <v>239</v>
      </c>
      <c r="R12" s="181" t="str">
        <f>IF(S12&lt;&gt;"",S12,IF(AB12="","",AB12))</f>
        <v/>
      </c>
      <c r="S12" s="182"/>
      <c r="U12" s="170" t="s">
        <v>240</v>
      </c>
      <c r="V12" s="215" t="str">
        <f>IF(W12&lt;&gt;"",W12,IF(AB17="","",AB17))</f>
        <v/>
      </c>
      <c r="W12" s="216"/>
      <c r="Y12" s="167"/>
      <c r="AA12" s="170" t="s">
        <v>239</v>
      </c>
      <c r="AB12" s="201"/>
      <c r="AC12" s="184" t="str">
        <f t="shared" si="0"/>
        <v/>
      </c>
      <c r="AD12" s="202" t="str">
        <f>IF(R12="","",R12)</f>
        <v/>
      </c>
      <c r="AH12" s="211">
        <v>24</v>
      </c>
      <c r="AI12" s="212">
        <v>50</v>
      </c>
      <c r="AJ12" s="213">
        <v>0.3</v>
      </c>
      <c r="AK12" s="212" t="str">
        <f t="shared" si="1"/>
        <v/>
      </c>
      <c r="AL12" s="212" t="str">
        <f t="shared" si="2"/>
        <v/>
      </c>
      <c r="AM12" s="212"/>
      <c r="AN12" s="212"/>
      <c r="AO12" s="212"/>
      <c r="AP12" s="212"/>
      <c r="AQ12" s="214"/>
    </row>
    <row r="13" spans="1:43" ht="14.1" customHeight="1">
      <c r="A13" s="153">
        <v>13</v>
      </c>
      <c r="B13" s="203"/>
      <c r="C13" s="204"/>
      <c r="E13" s="170" t="s">
        <v>241</v>
      </c>
      <c r="F13" s="19" t="str">
        <f>IF(R13="","",R13)</f>
        <v/>
      </c>
      <c r="G13" s="19"/>
      <c r="J13" s="170" t="s">
        <v>242</v>
      </c>
      <c r="K13" s="20" t="str">
        <f>IF(V13="","",V13)</f>
        <v/>
      </c>
      <c r="L13" s="20"/>
      <c r="M13" s="206"/>
      <c r="O13" s="165"/>
      <c r="Q13" s="170" t="s">
        <v>241</v>
      </c>
      <c r="R13" s="217" t="str">
        <f>IF(S13&lt;&gt;"",S13,IF(AB13="","",AB13))</f>
        <v/>
      </c>
      <c r="S13" s="218"/>
      <c r="U13" s="170" t="s">
        <v>242</v>
      </c>
      <c r="V13" s="217" t="str">
        <f>IF(W13&lt;&gt;"",W13,IF(AB18="","",AB18))</f>
        <v/>
      </c>
      <c r="W13" s="182"/>
      <c r="Y13" s="167"/>
      <c r="AA13" s="170" t="s">
        <v>241</v>
      </c>
      <c r="AB13" s="201"/>
      <c r="AC13" s="184" t="str">
        <f t="shared" si="0"/>
        <v/>
      </c>
      <c r="AD13" s="202" t="str">
        <f>IF(R13="","",R13)</f>
        <v/>
      </c>
      <c r="AH13" s="211">
        <v>24</v>
      </c>
      <c r="AI13" s="212">
        <v>50</v>
      </c>
      <c r="AJ13" s="213">
        <v>0.3</v>
      </c>
      <c r="AK13" s="212" t="str">
        <f t="shared" si="1"/>
        <v/>
      </c>
      <c r="AL13" s="212" t="str">
        <f t="shared" si="2"/>
        <v/>
      </c>
      <c r="AM13" s="212"/>
      <c r="AN13" s="212"/>
      <c r="AO13" s="212"/>
      <c r="AP13" s="212"/>
      <c r="AQ13" s="214"/>
    </row>
    <row r="14" spans="1:43" ht="14.1" customHeight="1">
      <c r="A14" s="153">
        <v>14</v>
      </c>
      <c r="B14" s="203"/>
      <c r="C14" s="204"/>
      <c r="M14" s="206"/>
      <c r="O14" s="165"/>
      <c r="Q14" s="170" t="s">
        <v>243</v>
      </c>
      <c r="R14" s="181" t="str">
        <f>IF(S14&lt;&gt;"",S14,IF(AB14="","",AB14))</f>
        <v/>
      </c>
      <c r="S14" s="182"/>
      <c r="U14" s="170" t="s">
        <v>244</v>
      </c>
      <c r="V14" s="217" t="str">
        <f>IF(W14&lt;&gt;"",W14,IF(AB19="","",AB19))</f>
        <v/>
      </c>
      <c r="W14" s="182"/>
      <c r="Y14" s="167"/>
      <c r="AA14" s="170" t="s">
        <v>243</v>
      </c>
      <c r="AB14" s="219"/>
      <c r="AC14" s="184" t="str">
        <f t="shared" si="0"/>
        <v/>
      </c>
      <c r="AD14" s="202" t="str">
        <f>IF(R14="","",R14)</f>
        <v/>
      </c>
      <c r="AH14" s="211">
        <v>24</v>
      </c>
      <c r="AI14" s="212">
        <v>50</v>
      </c>
      <c r="AJ14" s="213">
        <v>0.4</v>
      </c>
      <c r="AK14" s="212" t="str">
        <f t="shared" si="1"/>
        <v/>
      </c>
      <c r="AL14" s="212" t="str">
        <f t="shared" si="2"/>
        <v/>
      </c>
      <c r="AM14" s="212"/>
      <c r="AN14" s="212"/>
      <c r="AO14" s="212"/>
      <c r="AP14" s="212"/>
      <c r="AQ14" s="214"/>
    </row>
    <row r="15" spans="1:43" ht="14.1" customHeight="1">
      <c r="A15" s="153">
        <v>15</v>
      </c>
      <c r="B15" s="203"/>
      <c r="C15" s="204"/>
      <c r="D15" s="220" t="s">
        <v>245</v>
      </c>
      <c r="M15" s="206"/>
      <c r="O15" s="165"/>
      <c r="Y15" s="167"/>
      <c r="AA15" s="170" t="s">
        <v>236</v>
      </c>
      <c r="AB15" s="201"/>
      <c r="AC15" s="184" t="str">
        <f t="shared" si="0"/>
        <v/>
      </c>
      <c r="AD15" s="202" t="str">
        <f>IF(V10="","",V10)</f>
        <v/>
      </c>
      <c r="AH15" s="211">
        <v>24</v>
      </c>
      <c r="AI15" s="212">
        <v>50</v>
      </c>
      <c r="AJ15" s="213">
        <v>0.4</v>
      </c>
      <c r="AK15" s="212" t="str">
        <f t="shared" si="1"/>
        <v/>
      </c>
      <c r="AL15" s="212" t="str">
        <f t="shared" si="2"/>
        <v/>
      </c>
      <c r="AM15" s="212"/>
      <c r="AN15" s="212"/>
      <c r="AO15" s="212"/>
      <c r="AP15" s="212"/>
      <c r="AQ15" s="214"/>
    </row>
    <row r="16" spans="1:43" ht="14.1" customHeight="1">
      <c r="A16" s="153">
        <v>16</v>
      </c>
      <c r="B16" s="203"/>
      <c r="C16" s="204"/>
      <c r="E16" s="170" t="s">
        <v>246</v>
      </c>
      <c r="F16" s="20" t="str">
        <f>IF(R17="","",R17)</f>
        <v/>
      </c>
      <c r="G16" s="20"/>
      <c r="J16" s="170" t="s">
        <v>247</v>
      </c>
      <c r="K16" s="18" t="str">
        <f>IF(V17="","",V17)</f>
        <v/>
      </c>
      <c r="L16" s="18"/>
      <c r="M16" s="206"/>
      <c r="O16" s="165"/>
      <c r="P16" s="220" t="s">
        <v>245</v>
      </c>
      <c r="Y16" s="167"/>
      <c r="AA16" s="170" t="s">
        <v>238</v>
      </c>
      <c r="AB16" s="201"/>
      <c r="AC16" s="184" t="str">
        <f t="shared" si="0"/>
        <v/>
      </c>
      <c r="AD16" s="202" t="str">
        <f>IF(V11="","",V11)</f>
        <v/>
      </c>
      <c r="AH16" s="211">
        <v>24</v>
      </c>
      <c r="AI16" s="212">
        <v>50</v>
      </c>
      <c r="AJ16" s="213">
        <v>0.5</v>
      </c>
      <c r="AK16" s="212" t="str">
        <f t="shared" si="1"/>
        <v/>
      </c>
      <c r="AL16" s="212" t="str">
        <f t="shared" si="2"/>
        <v/>
      </c>
      <c r="AM16" s="212"/>
      <c r="AN16" s="212"/>
      <c r="AO16" s="212"/>
      <c r="AP16" s="212"/>
      <c r="AQ16" s="214"/>
    </row>
    <row r="17" spans="1:43" ht="14.1" customHeight="1">
      <c r="A17" s="153">
        <v>17</v>
      </c>
      <c r="B17" s="203"/>
      <c r="C17" s="204"/>
      <c r="E17" s="170" t="s">
        <v>120</v>
      </c>
      <c r="F17" s="20" t="str">
        <f>IF(R18="","",R18)</f>
        <v/>
      </c>
      <c r="G17" s="20"/>
      <c r="J17" s="170" t="s">
        <v>248</v>
      </c>
      <c r="K17" s="20" t="str">
        <f>IF(V18="","",V18)</f>
        <v/>
      </c>
      <c r="L17" s="20"/>
      <c r="M17" s="206"/>
      <c r="O17" s="165"/>
      <c r="Q17" s="170" t="s">
        <v>246</v>
      </c>
      <c r="R17" s="181" t="str">
        <f>IF(S17&lt;&gt;"",S17,IF(AB21="","",AB21))</f>
        <v/>
      </c>
      <c r="S17" s="182"/>
      <c r="U17" s="170" t="s">
        <v>247</v>
      </c>
      <c r="V17" s="215" t="str">
        <f>IF(W17&lt;&gt;"",W17,IF(AB24="","",AB24))</f>
        <v/>
      </c>
      <c r="W17" s="216"/>
      <c r="Y17" s="167"/>
      <c r="AA17" s="170" t="s">
        <v>240</v>
      </c>
      <c r="AB17" s="221"/>
      <c r="AC17" s="184" t="str">
        <f t="shared" si="0"/>
        <v/>
      </c>
      <c r="AD17" s="222" t="str">
        <f>IF(V12="","",V12)</f>
        <v/>
      </c>
      <c r="AH17" s="211">
        <v>24</v>
      </c>
      <c r="AI17" s="212">
        <v>50</v>
      </c>
      <c r="AJ17" s="213">
        <v>0.5</v>
      </c>
      <c r="AK17" s="212" t="str">
        <f t="shared" si="1"/>
        <v/>
      </c>
      <c r="AL17" s="212" t="str">
        <f t="shared" si="2"/>
        <v/>
      </c>
      <c r="AM17" s="212"/>
      <c r="AN17" s="212"/>
      <c r="AO17" s="212"/>
      <c r="AP17" s="212"/>
      <c r="AQ17" s="214"/>
    </row>
    <row r="18" spans="1:43" ht="14.1" customHeight="1">
      <c r="A18" s="153">
        <v>18</v>
      </c>
      <c r="B18" s="203"/>
      <c r="C18" s="204"/>
      <c r="E18" s="170" t="s">
        <v>249</v>
      </c>
      <c r="F18" s="20" t="str">
        <f>IF(R19="","",R19)</f>
        <v/>
      </c>
      <c r="G18" s="20"/>
      <c r="J18" s="170" t="s">
        <v>250</v>
      </c>
      <c r="K18" s="20" t="str">
        <f>IF(V19="","",V19)</f>
        <v/>
      </c>
      <c r="L18" s="20"/>
      <c r="M18" s="206"/>
      <c r="O18" s="165"/>
      <c r="Q18" s="170" t="s">
        <v>120</v>
      </c>
      <c r="R18" s="181" t="str">
        <f>IF(S18&lt;&gt;"",S18,IF(AB22="","",AB22))</f>
        <v/>
      </c>
      <c r="S18" s="182"/>
      <c r="U18" s="170" t="s">
        <v>248</v>
      </c>
      <c r="V18" s="217" t="str">
        <f>IF(W18&lt;&gt;"",W18,IF(AB25="","",AB25))</f>
        <v/>
      </c>
      <c r="W18" s="182"/>
      <c r="Y18" s="167"/>
      <c r="AA18" s="170" t="s">
        <v>242</v>
      </c>
      <c r="AB18" s="201"/>
      <c r="AC18" s="184" t="str">
        <f t="shared" si="0"/>
        <v/>
      </c>
      <c r="AD18" s="202" t="str">
        <f>IF(V13="","",V13)</f>
        <v/>
      </c>
      <c r="AH18" s="223">
        <v>25</v>
      </c>
      <c r="AI18" s="224">
        <v>50</v>
      </c>
      <c r="AJ18" s="225">
        <v>0</v>
      </c>
      <c r="AK18" s="224" t="str">
        <f t="shared" si="1"/>
        <v/>
      </c>
      <c r="AL18" s="224" t="str">
        <f t="shared" si="2"/>
        <v/>
      </c>
      <c r="AM18" s="224"/>
      <c r="AN18" s="224"/>
      <c r="AO18" s="224"/>
      <c r="AP18" s="224"/>
      <c r="AQ18" s="226"/>
    </row>
    <row r="19" spans="1:43" ht="14.1" customHeight="1">
      <c r="A19" s="153">
        <v>19</v>
      </c>
      <c r="B19" s="203"/>
      <c r="C19" s="204"/>
      <c r="M19" s="206"/>
      <c r="O19" s="165"/>
      <c r="Q19" s="170" t="s">
        <v>249</v>
      </c>
      <c r="R19" s="217" t="str">
        <f>IF(S19&lt;&gt;"",S19,IF(AB23="","",AB23))</f>
        <v/>
      </c>
      <c r="S19" s="182"/>
      <c r="U19" s="170" t="s">
        <v>250</v>
      </c>
      <c r="V19" s="217" t="str">
        <f>IF(W19&lt;&gt;"",W19,IF(AB26="","",AB26))</f>
        <v/>
      </c>
      <c r="W19" s="182"/>
      <c r="Y19" s="167"/>
      <c r="AA19" s="170" t="s">
        <v>251</v>
      </c>
      <c r="AB19" s="201"/>
      <c r="AC19" s="184" t="str">
        <f t="shared" si="0"/>
        <v/>
      </c>
      <c r="AD19" s="202" t="str">
        <f>IF(V14="","",V14)</f>
        <v/>
      </c>
      <c r="AH19" s="211">
        <v>25</v>
      </c>
      <c r="AI19" s="212">
        <v>50</v>
      </c>
      <c r="AJ19" s="213">
        <v>0</v>
      </c>
      <c r="AK19" s="212" t="str">
        <f t="shared" si="1"/>
        <v/>
      </c>
      <c r="AL19" s="212" t="str">
        <f t="shared" si="2"/>
        <v/>
      </c>
      <c r="AM19" s="212"/>
      <c r="AN19" s="212"/>
      <c r="AO19" s="212"/>
      <c r="AP19" s="212"/>
      <c r="AQ19" s="214"/>
    </row>
    <row r="20" spans="1:43" ht="14.1" customHeight="1">
      <c r="A20" s="153">
        <v>20</v>
      </c>
      <c r="B20" s="203"/>
      <c r="C20" s="204"/>
      <c r="D20" s="220" t="s">
        <v>252</v>
      </c>
      <c r="J20" s="227"/>
      <c r="M20" s="206"/>
      <c r="O20" s="165"/>
      <c r="Y20" s="167"/>
      <c r="AA20" s="178" t="s">
        <v>245</v>
      </c>
      <c r="AH20" s="211">
        <v>25</v>
      </c>
      <c r="AI20" s="212">
        <v>50</v>
      </c>
      <c r="AJ20" s="213">
        <v>0.3</v>
      </c>
      <c r="AK20" s="212" t="str">
        <f t="shared" si="1"/>
        <v/>
      </c>
      <c r="AL20" s="212" t="str">
        <f t="shared" si="2"/>
        <v/>
      </c>
      <c r="AM20" s="212"/>
      <c r="AN20" s="212"/>
      <c r="AO20" s="212"/>
      <c r="AP20" s="212"/>
      <c r="AQ20" s="214"/>
    </row>
    <row r="21" spans="1:43" ht="14.1" customHeight="1">
      <c r="A21" s="153">
        <v>21</v>
      </c>
      <c r="B21" s="203"/>
      <c r="C21" s="204"/>
      <c r="E21" s="170" t="s">
        <v>253</v>
      </c>
      <c r="F21" s="20" t="str">
        <f>IF(R22="","",R22)</f>
        <v/>
      </c>
      <c r="G21" s="20"/>
      <c r="J21" s="170" t="s">
        <v>254</v>
      </c>
      <c r="K21" s="20" t="str">
        <f>IF(V21="","",V21)</f>
        <v/>
      </c>
      <c r="L21" s="20"/>
      <c r="M21" s="206"/>
      <c r="O21" s="165"/>
      <c r="P21" s="220" t="s">
        <v>252</v>
      </c>
      <c r="U21" s="220" t="s">
        <v>254</v>
      </c>
      <c r="V21" s="217" t="str">
        <f>IF(W21&lt;&gt;"",W21,IF(AB38="","",AB38))</f>
        <v/>
      </c>
      <c r="W21" s="182"/>
      <c r="Y21" s="167"/>
      <c r="AA21" s="170" t="s">
        <v>246</v>
      </c>
      <c r="AB21" s="201"/>
      <c r="AC21" s="184" t="str">
        <f t="shared" ref="AC21:AC26" si="3">IF(AB21&lt;&gt;AD21,"Change","")</f>
        <v/>
      </c>
      <c r="AD21" s="202" t="str">
        <f>IF(R17="","",R17)</f>
        <v/>
      </c>
      <c r="AH21" s="211">
        <v>25</v>
      </c>
      <c r="AI21" s="212">
        <v>50</v>
      </c>
      <c r="AJ21" s="213">
        <v>0.3</v>
      </c>
      <c r="AK21" s="212" t="str">
        <f t="shared" si="1"/>
        <v/>
      </c>
      <c r="AL21" s="212" t="str">
        <f t="shared" si="2"/>
        <v/>
      </c>
      <c r="AM21" s="212"/>
      <c r="AN21" s="212"/>
      <c r="AO21" s="212"/>
      <c r="AP21" s="212"/>
      <c r="AQ21" s="214"/>
    </row>
    <row r="22" spans="1:43" ht="14.1" customHeight="1">
      <c r="A22" s="153">
        <v>22</v>
      </c>
      <c r="B22" s="203"/>
      <c r="C22" s="204"/>
      <c r="E22" s="170" t="s">
        <v>247</v>
      </c>
      <c r="F22" s="18" t="str">
        <f>IF(R23="","",R23)</f>
        <v/>
      </c>
      <c r="G22" s="18"/>
      <c r="J22" s="170"/>
      <c r="K22" s="20" t="str">
        <f>IF(V22="","",V22)</f>
        <v/>
      </c>
      <c r="L22" s="20"/>
      <c r="M22" s="206"/>
      <c r="O22" s="165"/>
      <c r="Q22" s="170" t="s">
        <v>253</v>
      </c>
      <c r="R22" s="181" t="str">
        <f>IF(S22&lt;&gt;"",S22,IF(AB28="","",AB28))</f>
        <v/>
      </c>
      <c r="S22" s="182"/>
      <c r="V22" s="217" t="str">
        <f>IF(W22&lt;&gt;"",W22,IF(AB39="","",AB39))</f>
        <v/>
      </c>
      <c r="W22" s="182"/>
      <c r="Y22" s="167"/>
      <c r="AA22" s="170" t="s">
        <v>120</v>
      </c>
      <c r="AB22" s="201"/>
      <c r="AC22" s="184" t="str">
        <f t="shared" si="3"/>
        <v/>
      </c>
      <c r="AD22" s="202" t="str">
        <f>IF(R18="","",R18)</f>
        <v/>
      </c>
      <c r="AH22" s="211">
        <v>25</v>
      </c>
      <c r="AI22" s="212">
        <v>50</v>
      </c>
      <c r="AJ22" s="213">
        <v>0.4</v>
      </c>
      <c r="AK22" s="212" t="str">
        <f t="shared" si="1"/>
        <v/>
      </c>
      <c r="AL22" s="212" t="str">
        <f t="shared" si="2"/>
        <v/>
      </c>
      <c r="AM22" s="212"/>
      <c r="AN22" s="212"/>
      <c r="AO22" s="212"/>
      <c r="AP22" s="212"/>
      <c r="AQ22" s="214"/>
    </row>
    <row r="23" spans="1:43" ht="14.1" customHeight="1">
      <c r="A23" s="153">
        <v>23</v>
      </c>
      <c r="B23" s="203"/>
      <c r="C23" s="204"/>
      <c r="D23" s="220" t="s">
        <v>255</v>
      </c>
      <c r="J23" s="170" t="s">
        <v>256</v>
      </c>
      <c r="K23" s="20" t="str">
        <f>IF(V24="","",V24)</f>
        <v/>
      </c>
      <c r="L23" s="20"/>
      <c r="M23" s="206"/>
      <c r="O23" s="165"/>
      <c r="Q23" s="170" t="s">
        <v>247</v>
      </c>
      <c r="R23" s="215" t="str">
        <f>IF(S23&lt;&gt;"",S23,IF(AB29="","",AB29))</f>
        <v/>
      </c>
      <c r="S23" s="216"/>
      <c r="V23" s="152"/>
      <c r="W23" s="152"/>
      <c r="Y23" s="167"/>
      <c r="AA23" s="170" t="s">
        <v>249</v>
      </c>
      <c r="AB23" s="201"/>
      <c r="AC23" s="184" t="str">
        <f t="shared" si="3"/>
        <v/>
      </c>
      <c r="AD23" s="202" t="str">
        <f>IF(R19="","",R19)</f>
        <v/>
      </c>
      <c r="AH23" s="211">
        <v>25</v>
      </c>
      <c r="AI23" s="212">
        <v>50</v>
      </c>
      <c r="AJ23" s="213">
        <v>0.4</v>
      </c>
      <c r="AK23" s="212" t="str">
        <f t="shared" si="1"/>
        <v/>
      </c>
      <c r="AL23" s="212" t="str">
        <f t="shared" si="2"/>
        <v/>
      </c>
      <c r="AM23" s="212"/>
      <c r="AN23" s="212"/>
      <c r="AO23" s="212"/>
      <c r="AP23" s="212"/>
      <c r="AQ23" s="214"/>
    </row>
    <row r="24" spans="1:43" ht="14.1" customHeight="1">
      <c r="A24" s="153">
        <v>24</v>
      </c>
      <c r="B24" s="203"/>
      <c r="C24" s="204"/>
      <c r="E24" s="170" t="s">
        <v>246</v>
      </c>
      <c r="F24" s="20" t="str">
        <f>IF(R25="","",R25)</f>
        <v/>
      </c>
      <c r="G24" s="20"/>
      <c r="K24" s="20" t="str">
        <f>IF(V25="","",V25)</f>
        <v/>
      </c>
      <c r="L24" s="20"/>
      <c r="M24" s="206"/>
      <c r="O24" s="165"/>
      <c r="P24" s="220" t="s">
        <v>255</v>
      </c>
      <c r="U24" s="220" t="s">
        <v>256</v>
      </c>
      <c r="V24" s="217" t="str">
        <f>IF(W24&lt;&gt;"",W24,IF(AB40="","",AB40))</f>
        <v/>
      </c>
      <c r="W24" s="182"/>
      <c r="Y24" s="167"/>
      <c r="AA24" s="170" t="s">
        <v>247</v>
      </c>
      <c r="AB24" s="221"/>
      <c r="AC24" s="184" t="str">
        <f t="shared" si="3"/>
        <v/>
      </c>
      <c r="AD24" s="222" t="str">
        <f>IF(V17="","",V17)</f>
        <v/>
      </c>
      <c r="AH24" s="211">
        <v>25</v>
      </c>
      <c r="AI24" s="212">
        <v>50</v>
      </c>
      <c r="AJ24" s="213">
        <v>0.5</v>
      </c>
      <c r="AK24" s="212" t="str">
        <f t="shared" si="1"/>
        <v/>
      </c>
      <c r="AL24" s="212" t="str">
        <f t="shared" si="2"/>
        <v/>
      </c>
      <c r="AM24" s="212"/>
      <c r="AN24" s="212"/>
      <c r="AO24" s="212"/>
      <c r="AP24" s="212"/>
      <c r="AQ24" s="214"/>
    </row>
    <row r="25" spans="1:43" ht="14.1" customHeight="1">
      <c r="A25" s="153">
        <v>25</v>
      </c>
      <c r="B25" s="203"/>
      <c r="C25" s="204"/>
      <c r="E25" s="170" t="s">
        <v>120</v>
      </c>
      <c r="F25" s="20" t="str">
        <f>IF(R26="","",R26)</f>
        <v/>
      </c>
      <c r="G25" s="20"/>
      <c r="J25" s="152"/>
      <c r="K25" s="152"/>
      <c r="L25" s="152"/>
      <c r="M25" s="206"/>
      <c r="O25" s="165"/>
      <c r="Q25" s="170" t="s">
        <v>246</v>
      </c>
      <c r="R25" s="217" t="str">
        <f>IF(S25&lt;&gt;"",S25,IF(AB30="","",AB30))</f>
        <v/>
      </c>
      <c r="S25" s="182"/>
      <c r="V25" s="217" t="str">
        <f>IF(W25&lt;&gt;"",W25,IF(AB41="","",AB41))</f>
        <v/>
      </c>
      <c r="W25" s="182"/>
      <c r="Y25" s="167"/>
      <c r="AA25" s="170" t="s">
        <v>248</v>
      </c>
      <c r="AB25" s="201"/>
      <c r="AC25" s="184" t="str">
        <f t="shared" si="3"/>
        <v/>
      </c>
      <c r="AD25" s="202" t="str">
        <f>IF(V18="","",V18)</f>
        <v/>
      </c>
      <c r="AH25" s="211">
        <v>25</v>
      </c>
      <c r="AI25" s="212">
        <v>50</v>
      </c>
      <c r="AJ25" s="213">
        <v>0.5</v>
      </c>
      <c r="AK25" s="212" t="str">
        <f t="shared" si="1"/>
        <v/>
      </c>
      <c r="AL25" s="212" t="str">
        <f t="shared" si="2"/>
        <v/>
      </c>
      <c r="AM25" s="212"/>
      <c r="AN25" s="212"/>
      <c r="AO25" s="212"/>
      <c r="AP25" s="212"/>
      <c r="AQ25" s="214"/>
    </row>
    <row r="26" spans="1:43" ht="14.1" customHeight="1">
      <c r="A26" s="153">
        <v>26</v>
      </c>
      <c r="B26" s="203"/>
      <c r="C26" s="204"/>
      <c r="E26" s="170" t="s">
        <v>248</v>
      </c>
      <c r="F26" s="20" t="str">
        <f>IF(R27="","",R27)</f>
        <v/>
      </c>
      <c r="G26" s="20"/>
      <c r="I26" s="220" t="s">
        <v>257</v>
      </c>
      <c r="J26" s="152"/>
      <c r="K26" s="152"/>
      <c r="L26" s="152"/>
      <c r="M26" s="206"/>
      <c r="O26" s="165"/>
      <c r="Q26" s="170" t="s">
        <v>120</v>
      </c>
      <c r="R26" s="217" t="str">
        <f>IF(S26&lt;&gt;"",S26,IF(AB31="","",AB31))</f>
        <v/>
      </c>
      <c r="S26" s="182"/>
      <c r="V26" s="217" t="str">
        <f>IF(W26&lt;&gt;"",W26,IF(AB42="","",AB42))</f>
        <v/>
      </c>
      <c r="W26" s="182"/>
      <c r="Y26" s="167"/>
      <c r="AA26" s="170" t="s">
        <v>250</v>
      </c>
      <c r="AB26" s="201"/>
      <c r="AC26" s="184" t="str">
        <f t="shared" si="3"/>
        <v/>
      </c>
      <c r="AD26" s="202" t="str">
        <f>IF(V19="","",V19)</f>
        <v/>
      </c>
      <c r="AH26" s="223">
        <v>26</v>
      </c>
      <c r="AI26" s="224">
        <v>50</v>
      </c>
      <c r="AJ26" s="225">
        <v>0</v>
      </c>
      <c r="AK26" s="224" t="str">
        <f t="shared" si="1"/>
        <v/>
      </c>
      <c r="AL26" s="224" t="str">
        <f t="shared" si="2"/>
        <v/>
      </c>
      <c r="AM26" s="224"/>
      <c r="AN26" s="224"/>
      <c r="AO26" s="224"/>
      <c r="AP26" s="224"/>
      <c r="AQ26" s="226"/>
    </row>
    <row r="27" spans="1:43" ht="14.1" customHeight="1">
      <c r="A27" s="153">
        <v>27</v>
      </c>
      <c r="B27" s="203"/>
      <c r="C27" s="204"/>
      <c r="D27" s="220" t="s">
        <v>258</v>
      </c>
      <c r="J27" s="170" t="s">
        <v>259</v>
      </c>
      <c r="K27" s="20" t="str">
        <f>IF(V28="","",V28)</f>
        <v/>
      </c>
      <c r="L27" s="20"/>
      <c r="M27" s="206"/>
      <c r="O27" s="165"/>
      <c r="Q27" s="170" t="s">
        <v>248</v>
      </c>
      <c r="R27" s="217" t="str">
        <f>IF(S27&lt;&gt;"",S27,IF(AB32="","",AB32))</f>
        <v/>
      </c>
      <c r="S27" s="182"/>
      <c r="U27" s="227" t="s">
        <v>257</v>
      </c>
      <c r="Y27" s="167"/>
      <c r="AA27" s="220" t="s">
        <v>252</v>
      </c>
      <c r="AH27" s="223">
        <v>28</v>
      </c>
      <c r="AI27" s="224">
        <v>20</v>
      </c>
      <c r="AJ27" s="225">
        <v>0</v>
      </c>
      <c r="AK27" s="224" t="str">
        <f t="shared" si="1"/>
        <v/>
      </c>
      <c r="AL27" s="224" t="str">
        <f t="shared" si="2"/>
        <v/>
      </c>
      <c r="AM27" s="224"/>
      <c r="AN27" s="224"/>
      <c r="AO27" s="224"/>
      <c r="AP27" s="224"/>
      <c r="AQ27" s="226"/>
    </row>
    <row r="28" spans="1:43" ht="14.1" customHeight="1">
      <c r="A28" s="153">
        <v>28</v>
      </c>
      <c r="B28" s="203"/>
      <c r="C28" s="204"/>
      <c r="E28" s="170" t="s">
        <v>246</v>
      </c>
      <c r="F28" s="20" t="str">
        <f>IF(R29="","",R29)</f>
        <v/>
      </c>
      <c r="G28" s="20"/>
      <c r="I28" s="152"/>
      <c r="J28" s="170" t="s">
        <v>260</v>
      </c>
      <c r="K28" s="20" t="str">
        <f>IF(V29="","",V29)</f>
        <v/>
      </c>
      <c r="L28" s="20"/>
      <c r="M28" s="206"/>
      <c r="O28" s="165"/>
      <c r="P28" s="220" t="s">
        <v>258</v>
      </c>
      <c r="U28" s="170" t="s">
        <v>259</v>
      </c>
      <c r="V28" s="181" t="str">
        <f>IF(W28&lt;&gt;"",W28,IF(AB36="","",AB36))</f>
        <v/>
      </c>
      <c r="W28" s="182"/>
      <c r="Y28" s="167"/>
      <c r="AA28" s="170" t="s">
        <v>253</v>
      </c>
      <c r="AB28" s="201"/>
      <c r="AC28" s="184" t="str">
        <f t="shared" ref="AC28:AC44" si="4">IF(AB28&lt;&gt;AD28,"Change","")</f>
        <v/>
      </c>
      <c r="AD28" s="202" t="str">
        <f>IF(R22="","",R22)</f>
        <v/>
      </c>
      <c r="AH28" s="223">
        <v>28</v>
      </c>
      <c r="AI28" s="224">
        <v>50</v>
      </c>
      <c r="AJ28" s="225">
        <v>0</v>
      </c>
      <c r="AK28" s="224" t="str">
        <f t="shared" si="1"/>
        <v/>
      </c>
      <c r="AL28" s="224" t="str">
        <f t="shared" si="2"/>
        <v/>
      </c>
      <c r="AM28" s="224"/>
      <c r="AN28" s="224"/>
      <c r="AO28" s="224"/>
      <c r="AP28" s="224"/>
      <c r="AQ28" s="226"/>
    </row>
    <row r="29" spans="1:43" ht="14.1" customHeight="1">
      <c r="A29" s="153">
        <v>29</v>
      </c>
      <c r="B29" s="203"/>
      <c r="C29" s="204"/>
      <c r="E29" s="170" t="s">
        <v>120</v>
      </c>
      <c r="F29" s="20" t="str">
        <f>IF(R30="","",R30)</f>
        <v/>
      </c>
      <c r="G29" s="20"/>
      <c r="I29" s="220" t="s">
        <v>261</v>
      </c>
      <c r="J29" s="170" t="s">
        <v>262</v>
      </c>
      <c r="K29" s="20" t="str">
        <f>IF(V32="","",V32)</f>
        <v/>
      </c>
      <c r="L29" s="20"/>
      <c r="M29" s="206"/>
      <c r="O29" s="165"/>
      <c r="Q29" s="170" t="s">
        <v>246</v>
      </c>
      <c r="R29" s="217" t="str">
        <f>IF(S29&lt;&gt;"",S29,IF(AB33="","",AB33))</f>
        <v/>
      </c>
      <c r="S29" s="182"/>
      <c r="U29" s="170" t="s">
        <v>260</v>
      </c>
      <c r="V29" s="181" t="str">
        <f>IF(W29&lt;&gt;"",W29,IF(AB37="","",AB37))</f>
        <v/>
      </c>
      <c r="W29" s="182"/>
      <c r="Y29" s="167"/>
      <c r="AA29" s="170" t="s">
        <v>247</v>
      </c>
      <c r="AB29" s="221"/>
      <c r="AC29" s="184" t="str">
        <f t="shared" si="4"/>
        <v/>
      </c>
      <c r="AD29" s="222" t="str">
        <f>IF(R23="","",R23)</f>
        <v/>
      </c>
      <c r="AH29" s="223">
        <v>28</v>
      </c>
      <c r="AI29" s="224">
        <v>50</v>
      </c>
      <c r="AJ29" s="225">
        <v>0</v>
      </c>
      <c r="AK29" s="224" t="str">
        <f t="shared" si="1"/>
        <v/>
      </c>
      <c r="AL29" s="224" t="str">
        <f t="shared" si="2"/>
        <v/>
      </c>
      <c r="AM29" s="224"/>
      <c r="AN29" s="224"/>
      <c r="AO29" s="224"/>
      <c r="AP29" s="224"/>
      <c r="AQ29" s="226"/>
    </row>
    <row r="30" spans="1:43" ht="14.1" customHeight="1">
      <c r="A30" s="153">
        <v>30</v>
      </c>
      <c r="B30" s="203"/>
      <c r="C30" s="204"/>
      <c r="E30" s="170" t="s">
        <v>248</v>
      </c>
      <c r="F30" s="20" t="str">
        <f>IF(R31="","",R31)</f>
        <v/>
      </c>
      <c r="G30" s="20"/>
      <c r="J30" s="170" t="s">
        <v>263</v>
      </c>
      <c r="K30" s="20" t="str">
        <f>IF(V33="","",V33)</f>
        <v/>
      </c>
      <c r="L30" s="20"/>
      <c r="M30" s="206"/>
      <c r="O30" s="165"/>
      <c r="Q30" s="170" t="s">
        <v>120</v>
      </c>
      <c r="R30" s="217" t="str">
        <f>IF(S30&lt;&gt;"",S30,IF(AB34="","",AB34))</f>
        <v/>
      </c>
      <c r="S30" s="182"/>
      <c r="Y30" s="167"/>
      <c r="AA30" s="170" t="s">
        <v>246</v>
      </c>
      <c r="AB30" s="201"/>
      <c r="AC30" s="184" t="str">
        <f t="shared" si="4"/>
        <v/>
      </c>
      <c r="AD30" s="202" t="str">
        <f>IF(R25="","",R25)</f>
        <v/>
      </c>
      <c r="AH30" s="211">
        <v>28</v>
      </c>
      <c r="AI30" s="212">
        <v>50</v>
      </c>
      <c r="AJ30" s="213">
        <v>0</v>
      </c>
      <c r="AK30" s="212" t="str">
        <f t="shared" si="1"/>
        <v/>
      </c>
      <c r="AL30" s="212" t="str">
        <f t="shared" si="2"/>
        <v/>
      </c>
      <c r="AM30" s="212"/>
      <c r="AN30" s="212"/>
      <c r="AO30" s="212"/>
      <c r="AP30" s="212"/>
      <c r="AQ30" s="214"/>
    </row>
    <row r="31" spans="1:43" ht="14.1" customHeight="1">
      <c r="A31" s="153">
        <v>31</v>
      </c>
      <c r="B31" s="228"/>
      <c r="C31" s="229"/>
      <c r="D31" s="229"/>
      <c r="E31" s="229"/>
      <c r="F31" s="229"/>
      <c r="G31" s="229"/>
      <c r="H31" s="229"/>
      <c r="I31" s="229"/>
      <c r="J31" s="229"/>
      <c r="K31" s="229"/>
      <c r="L31" s="229"/>
      <c r="M31" s="230"/>
      <c r="O31" s="165"/>
      <c r="Q31" s="170" t="s">
        <v>248</v>
      </c>
      <c r="R31" s="217" t="str">
        <f>IF(S31&lt;&gt;"",S31,IF(AB35="","",AB35))</f>
        <v/>
      </c>
      <c r="S31" s="182"/>
      <c r="U31" s="220" t="s">
        <v>261</v>
      </c>
      <c r="Y31" s="167"/>
      <c r="AA31" s="170" t="s">
        <v>120</v>
      </c>
      <c r="AB31" s="201"/>
      <c r="AC31" s="184" t="str">
        <f t="shared" si="4"/>
        <v/>
      </c>
      <c r="AD31" s="202" t="str">
        <f>IF(R26="","",R26)</f>
        <v/>
      </c>
      <c r="AH31" s="211">
        <v>28</v>
      </c>
      <c r="AI31" s="212">
        <v>50</v>
      </c>
      <c r="AJ31" s="213">
        <v>0</v>
      </c>
      <c r="AK31" s="212" t="str">
        <f t="shared" si="1"/>
        <v/>
      </c>
      <c r="AL31" s="212" t="str">
        <f t="shared" si="2"/>
        <v/>
      </c>
      <c r="AM31" s="212"/>
      <c r="AN31" s="212"/>
      <c r="AO31" s="212"/>
      <c r="AP31" s="212"/>
      <c r="AQ31" s="214"/>
    </row>
    <row r="32" spans="1:43" ht="14.1" customHeight="1">
      <c r="A32" s="153">
        <v>32</v>
      </c>
      <c r="O32" s="165"/>
      <c r="U32" s="170" t="s">
        <v>262</v>
      </c>
      <c r="V32" s="181" t="str">
        <f>IF(W32&lt;&gt;"",W32,IF(AB43="","",AB43))</f>
        <v/>
      </c>
      <c r="W32" s="182"/>
      <c r="Y32" s="167"/>
      <c r="AA32" s="170" t="s">
        <v>248</v>
      </c>
      <c r="AB32" s="201"/>
      <c r="AC32" s="184" t="str">
        <f t="shared" si="4"/>
        <v/>
      </c>
      <c r="AD32" s="202" t="str">
        <f>IF(R27="","",R27)</f>
        <v/>
      </c>
      <c r="AH32" s="211">
        <v>28</v>
      </c>
      <c r="AI32" s="212">
        <v>50</v>
      </c>
      <c r="AJ32" s="213">
        <v>0.3</v>
      </c>
      <c r="AK32" s="212" t="str">
        <f t="shared" si="1"/>
        <v/>
      </c>
      <c r="AL32" s="212" t="str">
        <f t="shared" si="2"/>
        <v/>
      </c>
      <c r="AM32" s="212"/>
      <c r="AN32" s="212"/>
      <c r="AO32" s="212"/>
      <c r="AP32" s="212"/>
      <c r="AQ32" s="214"/>
    </row>
    <row r="33" spans="1:43" ht="14.1" customHeight="1">
      <c r="A33" s="153">
        <v>33</v>
      </c>
      <c r="H33" s="186" t="s">
        <v>264</v>
      </c>
      <c r="O33" s="165"/>
      <c r="U33" s="170" t="s">
        <v>263</v>
      </c>
      <c r="V33" s="181" t="str">
        <f>IF(W33&lt;&gt;"",W33,IF(AB44="","",AB44))</f>
        <v/>
      </c>
      <c r="W33" s="182"/>
      <c r="Y33" s="167"/>
      <c r="AA33" s="170" t="s">
        <v>246</v>
      </c>
      <c r="AB33" s="201"/>
      <c r="AC33" s="184" t="str">
        <f t="shared" si="4"/>
        <v/>
      </c>
      <c r="AD33" s="202" t="str">
        <f>IF(R29="","",R29)</f>
        <v/>
      </c>
      <c r="AH33" s="211">
        <v>28</v>
      </c>
      <c r="AI33" s="212">
        <v>50</v>
      </c>
      <c r="AJ33" s="213">
        <v>0.3</v>
      </c>
      <c r="AK33" s="212" t="str">
        <f t="shared" si="1"/>
        <v/>
      </c>
      <c r="AL33" s="212" t="str">
        <f t="shared" si="2"/>
        <v/>
      </c>
      <c r="AM33" s="212"/>
      <c r="AN33" s="212"/>
      <c r="AO33" s="212"/>
      <c r="AP33" s="212"/>
      <c r="AQ33" s="214"/>
    </row>
    <row r="34" spans="1:43" ht="14.1" customHeight="1">
      <c r="A34" s="153">
        <v>34</v>
      </c>
      <c r="B34" s="194"/>
      <c r="C34" s="195"/>
      <c r="D34" s="195"/>
      <c r="E34" s="195"/>
      <c r="F34" s="195"/>
      <c r="G34" s="195"/>
      <c r="H34" s="195"/>
      <c r="I34" s="195"/>
      <c r="J34" s="195"/>
      <c r="K34" s="195"/>
      <c r="L34" s="195"/>
      <c r="M34" s="197"/>
      <c r="O34" s="231"/>
      <c r="P34" s="151" t="s">
        <v>265</v>
      </c>
      <c r="U34" s="152"/>
      <c r="V34" s="152"/>
      <c r="W34" s="152"/>
      <c r="Y34" s="167"/>
      <c r="AA34" s="170" t="s">
        <v>120</v>
      </c>
      <c r="AB34" s="201"/>
      <c r="AC34" s="184" t="str">
        <f t="shared" si="4"/>
        <v/>
      </c>
      <c r="AD34" s="202" t="str">
        <f>IF(R30="","",R30)</f>
        <v/>
      </c>
      <c r="AH34" s="211">
        <v>28</v>
      </c>
      <c r="AI34" s="212">
        <v>50</v>
      </c>
      <c r="AJ34" s="213">
        <v>0.4</v>
      </c>
      <c r="AK34" s="212" t="str">
        <f t="shared" si="1"/>
        <v/>
      </c>
      <c r="AL34" s="212" t="str">
        <f t="shared" si="2"/>
        <v/>
      </c>
      <c r="AM34" s="212"/>
      <c r="AN34" s="212"/>
      <c r="AO34" s="212"/>
      <c r="AP34" s="212"/>
      <c r="AQ34" s="214"/>
    </row>
    <row r="35" spans="1:43" ht="14.1" customHeight="1">
      <c r="A35" s="153">
        <v>35</v>
      </c>
      <c r="B35" s="203"/>
      <c r="C35" s="232" t="s">
        <v>266</v>
      </c>
      <c r="D35" s="17" t="s">
        <v>267</v>
      </c>
      <c r="E35" s="17"/>
      <c r="F35" s="17"/>
      <c r="G35" s="16" t="s">
        <v>268</v>
      </c>
      <c r="H35" s="16"/>
      <c r="I35" s="16"/>
      <c r="J35" s="17" t="s">
        <v>269</v>
      </c>
      <c r="K35" s="17"/>
      <c r="L35" s="17"/>
      <c r="M35" s="206"/>
      <c r="O35" s="233"/>
      <c r="P35" s="176" t="s">
        <v>270</v>
      </c>
      <c r="Q35" s="176"/>
      <c r="R35" s="176"/>
      <c r="S35" s="176"/>
      <c r="T35" s="176"/>
      <c r="U35" s="176"/>
      <c r="V35" s="176"/>
      <c r="W35" s="176"/>
      <c r="X35" s="176"/>
      <c r="Y35" s="177"/>
      <c r="AA35" s="170" t="s">
        <v>248</v>
      </c>
      <c r="AB35" s="201"/>
      <c r="AC35" s="184" t="str">
        <f t="shared" si="4"/>
        <v/>
      </c>
      <c r="AD35" s="202" t="str">
        <f>IF(R31="","",R31)</f>
        <v/>
      </c>
      <c r="AH35" s="211">
        <v>28</v>
      </c>
      <c r="AI35" s="212">
        <v>50</v>
      </c>
      <c r="AJ35" s="213">
        <v>0.4</v>
      </c>
      <c r="AK35" s="212" t="str">
        <f t="shared" si="1"/>
        <v/>
      </c>
      <c r="AL35" s="212" t="str">
        <f t="shared" si="2"/>
        <v/>
      </c>
      <c r="AM35" s="212"/>
      <c r="AN35" s="212"/>
      <c r="AO35" s="212"/>
      <c r="AP35" s="212"/>
      <c r="AQ35" s="214"/>
    </row>
    <row r="36" spans="1:43" ht="14.1" customHeight="1">
      <c r="A36" s="153">
        <v>36</v>
      </c>
      <c r="B36" s="203"/>
      <c r="C36" s="234" t="s">
        <v>271</v>
      </c>
      <c r="D36" s="17"/>
      <c r="E36" s="17"/>
      <c r="F36" s="17"/>
      <c r="G36" s="16"/>
      <c r="H36" s="16"/>
      <c r="I36" s="16"/>
      <c r="J36" s="17"/>
      <c r="K36" s="17"/>
      <c r="L36" s="17"/>
      <c r="M36" s="206"/>
      <c r="AA36" s="170" t="s">
        <v>259</v>
      </c>
      <c r="AB36" s="201"/>
      <c r="AC36" s="184" t="str">
        <f t="shared" si="4"/>
        <v/>
      </c>
      <c r="AD36" s="202" t="str">
        <f>IF(V28="","",V28)</f>
        <v/>
      </c>
      <c r="AH36" s="211">
        <v>28</v>
      </c>
      <c r="AI36" s="212">
        <v>50</v>
      </c>
      <c r="AJ36" s="213">
        <v>0.5</v>
      </c>
      <c r="AK36" s="212" t="str">
        <f t="shared" si="1"/>
        <v/>
      </c>
      <c r="AL36" s="212" t="str">
        <f t="shared" si="2"/>
        <v/>
      </c>
      <c r="AM36" s="212"/>
      <c r="AN36" s="212"/>
      <c r="AO36" s="212"/>
      <c r="AP36" s="212"/>
      <c r="AQ36" s="214"/>
    </row>
    <row r="37" spans="1:43" ht="14.1" customHeight="1">
      <c r="A37" s="153">
        <v>37</v>
      </c>
      <c r="B37" s="203"/>
      <c r="C37" s="234" t="s">
        <v>272</v>
      </c>
      <c r="D37" s="235" t="s">
        <v>273</v>
      </c>
      <c r="E37" s="236" t="s">
        <v>230</v>
      </c>
      <c r="F37" s="237" t="s">
        <v>274</v>
      </c>
      <c r="G37" s="235" t="s">
        <v>273</v>
      </c>
      <c r="H37" s="236" t="s">
        <v>230</v>
      </c>
      <c r="I37" s="237" t="s">
        <v>274</v>
      </c>
      <c r="J37" s="235" t="s">
        <v>273</v>
      </c>
      <c r="K37" s="236" t="s">
        <v>230</v>
      </c>
      <c r="L37" s="237" t="s">
        <v>274</v>
      </c>
      <c r="M37" s="206"/>
      <c r="T37" s="189" t="s">
        <v>275</v>
      </c>
      <c r="AA37" s="170" t="s">
        <v>260</v>
      </c>
      <c r="AB37" s="201"/>
      <c r="AC37" s="184" t="str">
        <f t="shared" si="4"/>
        <v/>
      </c>
      <c r="AD37" s="202" t="str">
        <f>IF(V29="","",V29)</f>
        <v/>
      </c>
      <c r="AH37" s="211">
        <v>28</v>
      </c>
      <c r="AI37" s="212">
        <v>50</v>
      </c>
      <c r="AJ37" s="213">
        <v>0.5</v>
      </c>
      <c r="AK37" s="212" t="str">
        <f t="shared" si="1"/>
        <v/>
      </c>
      <c r="AL37" s="212" t="str">
        <f t="shared" si="2"/>
        <v/>
      </c>
      <c r="AM37" s="212"/>
      <c r="AN37" s="212"/>
      <c r="AO37" s="212"/>
      <c r="AP37" s="212"/>
      <c r="AQ37" s="214"/>
    </row>
    <row r="38" spans="1:43" ht="14.1" customHeight="1">
      <c r="A38" s="153">
        <v>38</v>
      </c>
      <c r="B38" s="203"/>
      <c r="C38" s="238" t="s">
        <v>276</v>
      </c>
      <c r="D38" s="239" t="str">
        <f t="shared" ref="D38:L41" si="5">P100</f>
        <v/>
      </c>
      <c r="E38" s="240" t="str">
        <f t="shared" si="5"/>
        <v/>
      </c>
      <c r="F38" s="241" t="str">
        <f t="shared" si="5"/>
        <v/>
      </c>
      <c r="G38" s="239" t="str">
        <f t="shared" si="5"/>
        <v/>
      </c>
      <c r="H38" s="240" t="str">
        <f t="shared" si="5"/>
        <v/>
      </c>
      <c r="I38" s="241" t="str">
        <f t="shared" si="5"/>
        <v/>
      </c>
      <c r="J38" s="239" t="str">
        <f t="shared" si="5"/>
        <v/>
      </c>
      <c r="K38" s="240" t="str">
        <f t="shared" si="5"/>
        <v/>
      </c>
      <c r="L38" s="241" t="str">
        <f t="shared" si="5"/>
        <v/>
      </c>
      <c r="M38" s="206"/>
      <c r="O38" s="242" t="s">
        <v>277</v>
      </c>
      <c r="P38" s="158"/>
      <c r="Q38" s="158"/>
      <c r="R38" s="158"/>
      <c r="S38" s="158"/>
      <c r="T38" s="158"/>
      <c r="U38" s="158"/>
      <c r="V38" s="158"/>
      <c r="W38" s="158"/>
      <c r="X38" s="158"/>
      <c r="Y38" s="159"/>
      <c r="AA38" s="170" t="s">
        <v>278</v>
      </c>
      <c r="AB38" s="201"/>
      <c r="AC38" s="184" t="str">
        <f t="shared" si="4"/>
        <v/>
      </c>
      <c r="AD38" s="202" t="str">
        <f>IF(V21="","",V21)</f>
        <v/>
      </c>
      <c r="AH38" s="223">
        <v>28</v>
      </c>
      <c r="AI38" s="224">
        <v>100</v>
      </c>
      <c r="AJ38" s="225">
        <v>0</v>
      </c>
      <c r="AK38" s="224" t="str">
        <f t="shared" si="1"/>
        <v/>
      </c>
      <c r="AL38" s="224" t="str">
        <f t="shared" si="2"/>
        <v/>
      </c>
      <c r="AM38" s="224"/>
      <c r="AN38" s="224"/>
      <c r="AO38" s="224"/>
      <c r="AP38" s="224"/>
      <c r="AQ38" s="226"/>
    </row>
    <row r="39" spans="1:43" ht="14.1" customHeight="1">
      <c r="A39" s="153">
        <v>39</v>
      </c>
      <c r="B39" s="203"/>
      <c r="C39" s="243" t="s">
        <v>279</v>
      </c>
      <c r="D39" s="244" t="str">
        <f t="shared" si="5"/>
        <v/>
      </c>
      <c r="E39" s="245" t="str">
        <f t="shared" si="5"/>
        <v/>
      </c>
      <c r="F39" s="246" t="str">
        <f t="shared" si="5"/>
        <v/>
      </c>
      <c r="G39" s="244" t="str">
        <f t="shared" si="5"/>
        <v/>
      </c>
      <c r="H39" s="245" t="str">
        <f t="shared" si="5"/>
        <v/>
      </c>
      <c r="I39" s="246" t="str">
        <f t="shared" si="5"/>
        <v/>
      </c>
      <c r="J39" s="244" t="str">
        <f t="shared" si="5"/>
        <v/>
      </c>
      <c r="K39" s="245" t="str">
        <f t="shared" si="5"/>
        <v/>
      </c>
      <c r="L39" s="246" t="str">
        <f t="shared" si="5"/>
        <v/>
      </c>
      <c r="M39" s="206"/>
      <c r="O39" s="231"/>
      <c r="P39" s="171" t="s">
        <v>280</v>
      </c>
      <c r="Y39" s="167"/>
      <c r="AA39" s="170" t="s">
        <v>281</v>
      </c>
      <c r="AB39" s="201"/>
      <c r="AC39" s="184" t="str">
        <f t="shared" si="4"/>
        <v/>
      </c>
      <c r="AD39" s="202" t="str">
        <f>IF(V22="","",V22)</f>
        <v/>
      </c>
      <c r="AH39" s="223">
        <v>28</v>
      </c>
      <c r="AI39" s="224">
        <v>300</v>
      </c>
      <c r="AJ39" s="225">
        <v>0</v>
      </c>
      <c r="AK39" s="224" t="str">
        <f t="shared" si="1"/>
        <v/>
      </c>
      <c r="AL39" s="224" t="str">
        <f t="shared" si="2"/>
        <v/>
      </c>
      <c r="AM39" s="224"/>
      <c r="AN39" s="224"/>
      <c r="AO39" s="224"/>
      <c r="AP39" s="224"/>
      <c r="AQ39" s="226"/>
    </row>
    <row r="40" spans="1:43" ht="14.1" customHeight="1">
      <c r="A40" s="153">
        <v>40</v>
      </c>
      <c r="B40" s="203"/>
      <c r="C40" s="243" t="s">
        <v>282</v>
      </c>
      <c r="D40" s="244" t="str">
        <f t="shared" si="5"/>
        <v/>
      </c>
      <c r="E40" s="245" t="str">
        <f t="shared" si="5"/>
        <v/>
      </c>
      <c r="F40" s="246" t="str">
        <f t="shared" si="5"/>
        <v/>
      </c>
      <c r="G40" s="244" t="str">
        <f t="shared" si="5"/>
        <v/>
      </c>
      <c r="H40" s="245" t="str">
        <f t="shared" si="5"/>
        <v/>
      </c>
      <c r="I40" s="246" t="str">
        <f t="shared" si="5"/>
        <v/>
      </c>
      <c r="J40" s="244" t="str">
        <f t="shared" si="5"/>
        <v/>
      </c>
      <c r="K40" s="245" t="str">
        <f t="shared" si="5"/>
        <v/>
      </c>
      <c r="L40" s="246" t="str">
        <f t="shared" si="5"/>
        <v/>
      </c>
      <c r="M40" s="206"/>
      <c r="O40" s="231"/>
      <c r="P40" s="171" t="s">
        <v>283</v>
      </c>
      <c r="Y40" s="167"/>
      <c r="AA40" s="170" t="s">
        <v>284</v>
      </c>
      <c r="AB40" s="201"/>
      <c r="AC40" s="184" t="str">
        <f t="shared" si="4"/>
        <v/>
      </c>
      <c r="AD40" s="202" t="str">
        <f>IF(V24="","",V24)</f>
        <v/>
      </c>
      <c r="AH40" s="223">
        <v>30</v>
      </c>
      <c r="AI40" s="224">
        <v>50</v>
      </c>
      <c r="AJ40" s="225">
        <v>0</v>
      </c>
      <c r="AK40" s="224" t="str">
        <f t="shared" si="1"/>
        <v/>
      </c>
      <c r="AL40" s="224" t="str">
        <f t="shared" si="2"/>
        <v/>
      </c>
      <c r="AM40" s="224"/>
      <c r="AN40" s="224"/>
      <c r="AO40" s="224"/>
      <c r="AP40" s="224"/>
      <c r="AQ40" s="226"/>
    </row>
    <row r="41" spans="1:43" ht="14.1" customHeight="1">
      <c r="A41" s="153">
        <v>41</v>
      </c>
      <c r="B41" s="203"/>
      <c r="C41" s="247" t="s">
        <v>285</v>
      </c>
      <c r="D41" s="248" t="str">
        <f t="shared" si="5"/>
        <v/>
      </c>
      <c r="E41" s="249" t="str">
        <f t="shared" si="5"/>
        <v/>
      </c>
      <c r="F41" s="250" t="str">
        <f t="shared" si="5"/>
        <v/>
      </c>
      <c r="G41" s="248" t="str">
        <f t="shared" si="5"/>
        <v/>
      </c>
      <c r="H41" s="249" t="str">
        <f t="shared" si="5"/>
        <v/>
      </c>
      <c r="I41" s="250" t="str">
        <f t="shared" si="5"/>
        <v/>
      </c>
      <c r="J41" s="248" t="str">
        <f t="shared" si="5"/>
        <v/>
      </c>
      <c r="K41" s="249" t="str">
        <f t="shared" si="5"/>
        <v/>
      </c>
      <c r="L41" s="250" t="str">
        <f t="shared" si="5"/>
        <v/>
      </c>
      <c r="M41" s="206"/>
      <c r="O41" s="231"/>
      <c r="P41" s="171" t="s">
        <v>286</v>
      </c>
      <c r="Y41" s="167"/>
      <c r="AA41" s="170" t="s">
        <v>287</v>
      </c>
      <c r="AB41" s="201"/>
      <c r="AC41" s="184" t="str">
        <f t="shared" si="4"/>
        <v/>
      </c>
      <c r="AD41" s="202" t="str">
        <f>IF(V25="","",V25)</f>
        <v/>
      </c>
      <c r="AH41" s="251">
        <v>32</v>
      </c>
      <c r="AI41" s="252">
        <v>50</v>
      </c>
      <c r="AJ41" s="253">
        <v>0</v>
      </c>
      <c r="AK41" s="252" t="str">
        <f t="shared" si="1"/>
        <v/>
      </c>
      <c r="AL41" s="252" t="str">
        <f t="shared" si="2"/>
        <v/>
      </c>
      <c r="AM41" s="252"/>
      <c r="AN41" s="252"/>
      <c r="AO41" s="252"/>
      <c r="AP41" s="252"/>
      <c r="AQ41" s="254"/>
    </row>
    <row r="42" spans="1:43" ht="14.1" customHeight="1">
      <c r="A42" s="153">
        <v>42</v>
      </c>
      <c r="B42" s="203"/>
      <c r="M42" s="206"/>
      <c r="O42" s="231"/>
      <c r="P42" s="171" t="s">
        <v>288</v>
      </c>
      <c r="Y42" s="167"/>
      <c r="AA42" s="170" t="s">
        <v>289</v>
      </c>
      <c r="AB42" s="201"/>
      <c r="AC42" s="184" t="str">
        <f t="shared" si="4"/>
        <v/>
      </c>
      <c r="AD42" s="202" t="str">
        <f>IF(V26="","",V26)</f>
        <v/>
      </c>
      <c r="AH42" s="211">
        <v>32</v>
      </c>
      <c r="AI42" s="212">
        <v>50</v>
      </c>
      <c r="AJ42" s="213">
        <v>0</v>
      </c>
      <c r="AK42" s="212" t="str">
        <f t="shared" ref="AK42:AK73" si="6">IF($V$21="","",$V$21)</f>
        <v/>
      </c>
      <c r="AL42" s="212" t="str">
        <f t="shared" si="2"/>
        <v/>
      </c>
      <c r="AM42" s="212"/>
      <c r="AN42" s="212"/>
      <c r="AO42" s="212"/>
      <c r="AP42" s="212"/>
      <c r="AQ42" s="214"/>
    </row>
    <row r="43" spans="1:43" ht="14.1" customHeight="1">
      <c r="A43" s="153">
        <v>43</v>
      </c>
      <c r="B43" s="203"/>
      <c r="H43" s="186" t="s">
        <v>275</v>
      </c>
      <c r="M43" s="206"/>
      <c r="O43" s="231"/>
      <c r="P43" s="171" t="s">
        <v>290</v>
      </c>
      <c r="Y43" s="167"/>
      <c r="AA43" s="170" t="s">
        <v>262</v>
      </c>
      <c r="AB43" s="201"/>
      <c r="AC43" s="184" t="str">
        <f t="shared" si="4"/>
        <v/>
      </c>
      <c r="AD43" s="202" t="str">
        <f>IF(V32="","",V32)</f>
        <v/>
      </c>
      <c r="AH43" s="211">
        <v>32</v>
      </c>
      <c r="AI43" s="212">
        <v>50</v>
      </c>
      <c r="AJ43" s="213">
        <v>0.4</v>
      </c>
      <c r="AK43" s="212" t="str">
        <f t="shared" si="6"/>
        <v/>
      </c>
      <c r="AL43" s="212" t="str">
        <f t="shared" si="2"/>
        <v/>
      </c>
      <c r="AM43" s="212"/>
      <c r="AN43" s="212"/>
      <c r="AO43" s="212"/>
      <c r="AP43" s="212"/>
      <c r="AQ43" s="214"/>
    </row>
    <row r="44" spans="1:43" ht="14.1" customHeight="1">
      <c r="A44" s="153">
        <v>44</v>
      </c>
      <c r="B44" s="203"/>
      <c r="C44" s="255" t="s">
        <v>291</v>
      </c>
      <c r="L44" s="15" t="s">
        <v>292</v>
      </c>
      <c r="M44" s="15"/>
      <c r="O44" s="165"/>
      <c r="Y44" s="167"/>
      <c r="AA44" s="170" t="s">
        <v>293</v>
      </c>
      <c r="AB44" s="201"/>
      <c r="AC44" s="184" t="str">
        <f t="shared" si="4"/>
        <v/>
      </c>
      <c r="AD44" s="202" t="str">
        <f>IF(V33="","",V33)</f>
        <v/>
      </c>
      <c r="AH44" s="211">
        <v>32</v>
      </c>
      <c r="AI44" s="212">
        <v>50</v>
      </c>
      <c r="AJ44" s="213">
        <v>0.4</v>
      </c>
      <c r="AK44" s="212" t="str">
        <f t="shared" si="6"/>
        <v/>
      </c>
      <c r="AL44" s="212" t="str">
        <f t="shared" si="2"/>
        <v/>
      </c>
      <c r="AM44" s="212"/>
      <c r="AN44" s="212"/>
      <c r="AO44" s="212"/>
      <c r="AP44" s="212"/>
      <c r="AQ44" s="214"/>
    </row>
    <row r="45" spans="1:43" ht="14.1" customHeight="1">
      <c r="A45" s="153">
        <v>45</v>
      </c>
      <c r="B45" s="203"/>
      <c r="C45" s="256" t="s">
        <v>294</v>
      </c>
      <c r="E45" s="171" t="s">
        <v>280</v>
      </c>
      <c r="L45" s="257" t="str">
        <f>IF(O39="","TBD",IF(O39=1,"YES",IF(O39=3,"NA","")))</f>
        <v>TBD</v>
      </c>
      <c r="M45" s="258" t="str">
        <f>IF(O39=2,"NO","")</f>
        <v/>
      </c>
      <c r="O45" s="165"/>
      <c r="T45" s="189" t="s">
        <v>295</v>
      </c>
      <c r="Y45" s="167"/>
      <c r="AA45" s="220" t="s">
        <v>264</v>
      </c>
      <c r="AH45" s="211">
        <v>32</v>
      </c>
      <c r="AI45" s="212">
        <v>50</v>
      </c>
      <c r="AJ45" s="213">
        <v>0.5</v>
      </c>
      <c r="AK45" s="212" t="str">
        <f t="shared" si="6"/>
        <v/>
      </c>
      <c r="AL45" s="212" t="str">
        <f t="shared" si="2"/>
        <v/>
      </c>
      <c r="AM45" s="212"/>
      <c r="AN45" s="212"/>
      <c r="AO45" s="212"/>
      <c r="AP45" s="212"/>
      <c r="AQ45" s="214"/>
    </row>
    <row r="46" spans="1:43" ht="14.1" customHeight="1">
      <c r="A46" s="153">
        <v>46</v>
      </c>
      <c r="B46" s="203"/>
      <c r="C46" s="256" t="s">
        <v>296</v>
      </c>
      <c r="E46" s="171" t="s">
        <v>283</v>
      </c>
      <c r="L46" s="257" t="str">
        <f>IF(O40="","TBD",IF(O40=1,"YES",IF(O40=3,"NA","")))</f>
        <v>TBD</v>
      </c>
      <c r="M46" s="258" t="str">
        <f>IF(O40=2,"NO","")</f>
        <v/>
      </c>
      <c r="O46" s="231"/>
      <c r="P46" s="204" t="s">
        <v>297</v>
      </c>
      <c r="Y46" s="167"/>
      <c r="AA46" s="178" t="s">
        <v>267</v>
      </c>
      <c r="AH46" s="211">
        <v>32</v>
      </c>
      <c r="AI46" s="212">
        <v>50</v>
      </c>
      <c r="AJ46" s="213">
        <v>0.5</v>
      </c>
      <c r="AK46" s="212" t="str">
        <f t="shared" si="6"/>
        <v/>
      </c>
      <c r="AL46" s="212" t="str">
        <f t="shared" si="2"/>
        <v/>
      </c>
      <c r="AM46" s="212"/>
      <c r="AN46" s="212"/>
      <c r="AO46" s="212"/>
      <c r="AP46" s="212"/>
      <c r="AQ46" s="214"/>
    </row>
    <row r="47" spans="1:43" ht="14.1" customHeight="1">
      <c r="A47" s="153">
        <v>47</v>
      </c>
      <c r="B47" s="203"/>
      <c r="C47" s="256" t="s">
        <v>298</v>
      </c>
      <c r="E47" s="171" t="s">
        <v>286</v>
      </c>
      <c r="L47" s="257" t="str">
        <f>IF(O41="","TBD",IF(O41=1,"YES",IF(O41=3,"NA","")))</f>
        <v>TBD</v>
      </c>
      <c r="M47" s="258" t="str">
        <f>IF(O41=2,"NO","")</f>
        <v/>
      </c>
      <c r="O47" s="231"/>
      <c r="P47" s="204" t="s">
        <v>299</v>
      </c>
      <c r="Y47" s="167"/>
      <c r="AA47" s="170" t="s">
        <v>300</v>
      </c>
      <c r="AB47" s="201"/>
      <c r="AD47" s="202" t="str">
        <f>IF(P100="","",P100)</f>
        <v/>
      </c>
      <c r="AH47" s="211">
        <v>32</v>
      </c>
      <c r="AI47" s="212">
        <v>50</v>
      </c>
      <c r="AJ47" s="213">
        <v>0.6</v>
      </c>
      <c r="AK47" s="212" t="str">
        <f t="shared" si="6"/>
        <v/>
      </c>
      <c r="AL47" s="212" t="str">
        <f t="shared" si="2"/>
        <v/>
      </c>
      <c r="AM47" s="212"/>
      <c r="AN47" s="212"/>
      <c r="AO47" s="212"/>
      <c r="AP47" s="212"/>
      <c r="AQ47" s="214"/>
    </row>
    <row r="48" spans="1:43" ht="14.1" customHeight="1">
      <c r="A48" s="153">
        <v>48</v>
      </c>
      <c r="B48" s="203"/>
      <c r="E48" s="171" t="s">
        <v>288</v>
      </c>
      <c r="L48" s="257" t="str">
        <f>IF(O42="","TBD",IF(O42=1,"YES",IF(O42=3,"NA","")))</f>
        <v>TBD</v>
      </c>
      <c r="M48" s="258" t="str">
        <f>IF(O42=2,"NO","")</f>
        <v/>
      </c>
      <c r="O48" s="231"/>
      <c r="P48" s="204" t="s">
        <v>301</v>
      </c>
      <c r="Y48" s="167"/>
      <c r="AA48" s="170" t="s">
        <v>302</v>
      </c>
      <c r="AB48" s="201"/>
      <c r="AD48" s="202" t="str">
        <f>IF(Q100="","",Q100)</f>
        <v/>
      </c>
      <c r="AH48" s="211">
        <v>32</v>
      </c>
      <c r="AI48" s="212">
        <v>50</v>
      </c>
      <c r="AJ48" s="213">
        <v>0.6</v>
      </c>
      <c r="AK48" s="212" t="str">
        <f t="shared" si="6"/>
        <v/>
      </c>
      <c r="AL48" s="212" t="str">
        <f t="shared" si="2"/>
        <v/>
      </c>
      <c r="AM48" s="212"/>
      <c r="AN48" s="212"/>
      <c r="AO48" s="212"/>
      <c r="AP48" s="212"/>
      <c r="AQ48" s="214"/>
    </row>
    <row r="49" spans="1:43" ht="14.1" customHeight="1">
      <c r="A49" s="153">
        <v>49</v>
      </c>
      <c r="B49" s="203"/>
      <c r="E49" s="171" t="s">
        <v>290</v>
      </c>
      <c r="L49" s="257" t="str">
        <f>IF(O43="","TBD",IF(O43=1,"YES",IF(O43=3,"NA","")))</f>
        <v>TBD</v>
      </c>
      <c r="M49" s="258" t="str">
        <f>IF(O43=2,"NO","")</f>
        <v/>
      </c>
      <c r="O49" s="231"/>
      <c r="P49" s="204" t="s">
        <v>303</v>
      </c>
      <c r="Y49" s="167"/>
      <c r="AA49" s="170" t="s">
        <v>304</v>
      </c>
      <c r="AB49" s="201"/>
      <c r="AD49" s="202" t="str">
        <f>IF(R100="","",R100)</f>
        <v/>
      </c>
      <c r="AH49" s="223">
        <v>34</v>
      </c>
      <c r="AI49" s="224">
        <v>50</v>
      </c>
      <c r="AJ49" s="225">
        <v>0</v>
      </c>
      <c r="AK49" s="224" t="str">
        <f t="shared" si="6"/>
        <v/>
      </c>
      <c r="AL49" s="224" t="str">
        <f t="shared" si="2"/>
        <v/>
      </c>
      <c r="AM49" s="224"/>
      <c r="AN49" s="224"/>
      <c r="AO49" s="224"/>
      <c r="AP49" s="224"/>
      <c r="AQ49" s="226"/>
    </row>
    <row r="50" spans="1:43" ht="14.1" customHeight="1">
      <c r="A50" s="153">
        <v>50</v>
      </c>
      <c r="B50" s="203"/>
      <c r="H50" s="189" t="s">
        <v>295</v>
      </c>
      <c r="M50" s="206"/>
      <c r="O50" s="231">
        <v>3</v>
      </c>
      <c r="P50" s="204" t="s">
        <v>305</v>
      </c>
      <c r="Y50" s="167"/>
      <c r="AA50" s="170" t="s">
        <v>300</v>
      </c>
      <c r="AB50" s="201"/>
      <c r="AD50" s="202" t="str">
        <f>IF(P101="","",P101)</f>
        <v/>
      </c>
      <c r="AH50" s="211">
        <v>34</v>
      </c>
      <c r="AI50" s="212">
        <v>50</v>
      </c>
      <c r="AJ50" s="213">
        <v>0</v>
      </c>
      <c r="AK50" s="212" t="str">
        <f t="shared" si="6"/>
        <v/>
      </c>
      <c r="AL50" s="212" t="str">
        <f t="shared" si="2"/>
        <v/>
      </c>
      <c r="AM50" s="212"/>
      <c r="AN50" s="212"/>
      <c r="AO50" s="212"/>
      <c r="AP50" s="212"/>
      <c r="AQ50" s="214"/>
    </row>
    <row r="51" spans="1:43" ht="14.1" customHeight="1">
      <c r="A51" s="153">
        <v>51</v>
      </c>
      <c r="B51" s="203"/>
      <c r="E51" s="204" t="s">
        <v>297</v>
      </c>
      <c r="L51" s="257" t="str">
        <f t="shared" ref="L51:L63" si="7">IF(O46="","TBD",IF(O46=1,"YES",IF(O46=3,"NA","")))</f>
        <v>TBD</v>
      </c>
      <c r="M51" s="258" t="str">
        <f t="shared" ref="M51:M63" si="8">IF(O46=2,"NO","")</f>
        <v/>
      </c>
      <c r="O51" s="231"/>
      <c r="P51" s="204" t="s">
        <v>306</v>
      </c>
      <c r="Y51" s="167"/>
      <c r="AA51" s="170" t="s">
        <v>302</v>
      </c>
      <c r="AB51" s="201"/>
      <c r="AD51" s="202" t="str">
        <f>IF(Q101="","",Q101)</f>
        <v/>
      </c>
      <c r="AH51" s="211">
        <v>34</v>
      </c>
      <c r="AI51" s="212">
        <v>50</v>
      </c>
      <c r="AJ51" s="213">
        <v>0.4</v>
      </c>
      <c r="AK51" s="212" t="str">
        <f t="shared" si="6"/>
        <v/>
      </c>
      <c r="AL51" s="212" t="str">
        <f t="shared" si="2"/>
        <v/>
      </c>
      <c r="AM51" s="212"/>
      <c r="AN51" s="212"/>
      <c r="AO51" s="212"/>
      <c r="AP51" s="212"/>
      <c r="AQ51" s="214"/>
    </row>
    <row r="52" spans="1:43" ht="14.1" customHeight="1">
      <c r="A52" s="153">
        <v>52</v>
      </c>
      <c r="B52" s="203"/>
      <c r="E52" s="204" t="s">
        <v>299</v>
      </c>
      <c r="L52" s="257" t="str">
        <f t="shared" si="7"/>
        <v>TBD</v>
      </c>
      <c r="M52" s="258" t="str">
        <f t="shared" si="8"/>
        <v/>
      </c>
      <c r="O52" s="259" t="str">
        <f>IF(S132="","",IF(S132="Pass",1,2))</f>
        <v/>
      </c>
      <c r="P52" s="204" t="s">
        <v>307</v>
      </c>
      <c r="Y52" s="167"/>
      <c r="AA52" s="170" t="s">
        <v>304</v>
      </c>
      <c r="AB52" s="201"/>
      <c r="AD52" s="202" t="str">
        <f>IF(R101="","",R101)</f>
        <v/>
      </c>
      <c r="AH52" s="211">
        <v>34</v>
      </c>
      <c r="AI52" s="212">
        <v>50</v>
      </c>
      <c r="AJ52" s="213">
        <v>0.4</v>
      </c>
      <c r="AK52" s="212" t="str">
        <f t="shared" si="6"/>
        <v/>
      </c>
      <c r="AL52" s="212" t="str">
        <f t="shared" si="2"/>
        <v/>
      </c>
      <c r="AM52" s="212"/>
      <c r="AN52" s="212"/>
      <c r="AO52" s="212"/>
      <c r="AP52" s="212"/>
      <c r="AQ52" s="214"/>
    </row>
    <row r="53" spans="1:43" ht="14.1" customHeight="1">
      <c r="A53" s="153">
        <v>53</v>
      </c>
      <c r="B53" s="203"/>
      <c r="E53" s="204" t="s">
        <v>301</v>
      </c>
      <c r="L53" s="257" t="str">
        <f t="shared" si="7"/>
        <v>TBD</v>
      </c>
      <c r="M53" s="258" t="str">
        <f t="shared" si="8"/>
        <v/>
      </c>
      <c r="O53" s="231"/>
      <c r="P53" s="204" t="s">
        <v>308</v>
      </c>
      <c r="Y53" s="167"/>
      <c r="AA53" s="170" t="s">
        <v>300</v>
      </c>
      <c r="AB53" s="201"/>
      <c r="AD53" s="202" t="str">
        <f>IF(P102="","",P102)</f>
        <v/>
      </c>
      <c r="AH53" s="211">
        <v>34</v>
      </c>
      <c r="AI53" s="212">
        <v>50</v>
      </c>
      <c r="AJ53" s="213">
        <v>0.5</v>
      </c>
      <c r="AK53" s="212" t="str">
        <f t="shared" si="6"/>
        <v/>
      </c>
      <c r="AL53" s="212" t="str">
        <f t="shared" si="2"/>
        <v/>
      </c>
      <c r="AM53" s="212"/>
      <c r="AN53" s="212"/>
      <c r="AO53" s="212"/>
      <c r="AP53" s="212"/>
      <c r="AQ53" s="214"/>
    </row>
    <row r="54" spans="1:43" ht="14.1" customHeight="1">
      <c r="A54" s="153">
        <v>54</v>
      </c>
      <c r="B54" s="203"/>
      <c r="E54" s="204" t="s">
        <v>303</v>
      </c>
      <c r="L54" s="257" t="str">
        <f t="shared" si="7"/>
        <v>TBD</v>
      </c>
      <c r="M54" s="258" t="str">
        <f t="shared" si="8"/>
        <v/>
      </c>
      <c r="O54" s="231"/>
      <c r="P54" s="204" t="s">
        <v>309</v>
      </c>
      <c r="Y54" s="167"/>
      <c r="AA54" s="170" t="s">
        <v>302</v>
      </c>
      <c r="AB54" s="201"/>
      <c r="AD54" s="202" t="str">
        <f>IF(Q102="","",Q102)</f>
        <v/>
      </c>
      <c r="AH54" s="211">
        <v>34</v>
      </c>
      <c r="AI54" s="212">
        <v>50</v>
      </c>
      <c r="AJ54" s="213">
        <v>0.5</v>
      </c>
      <c r="AK54" s="212" t="str">
        <f t="shared" si="6"/>
        <v/>
      </c>
      <c r="AL54" s="212" t="str">
        <f t="shared" si="2"/>
        <v/>
      </c>
      <c r="AM54" s="212"/>
      <c r="AN54" s="212"/>
      <c r="AO54" s="212"/>
      <c r="AP54" s="212"/>
      <c r="AQ54" s="214"/>
    </row>
    <row r="55" spans="1:43" ht="14.1" customHeight="1">
      <c r="A55" s="153">
        <v>55</v>
      </c>
      <c r="B55" s="203"/>
      <c r="E55" s="204" t="s">
        <v>305</v>
      </c>
      <c r="L55" s="257" t="str">
        <f t="shared" si="7"/>
        <v>NA</v>
      </c>
      <c r="M55" s="258" t="str">
        <f t="shared" si="8"/>
        <v/>
      </c>
      <c r="O55" s="231"/>
      <c r="P55" s="204" t="s">
        <v>310</v>
      </c>
      <c r="Y55" s="167"/>
      <c r="AA55" s="170" t="s">
        <v>304</v>
      </c>
      <c r="AB55" s="201"/>
      <c r="AD55" s="202" t="str">
        <f>IF(R102="","",R102)</f>
        <v/>
      </c>
      <c r="AH55" s="211">
        <v>34</v>
      </c>
      <c r="AI55" s="212">
        <v>50</v>
      </c>
      <c r="AJ55" s="213">
        <v>0.6</v>
      </c>
      <c r="AK55" s="212" t="str">
        <f t="shared" si="6"/>
        <v/>
      </c>
      <c r="AL55" s="212" t="str">
        <f t="shared" si="2"/>
        <v/>
      </c>
      <c r="AM55" s="212"/>
      <c r="AN55" s="212"/>
      <c r="AO55" s="212"/>
      <c r="AP55" s="212"/>
      <c r="AQ55" s="214"/>
    </row>
    <row r="56" spans="1:43" ht="14.1" customHeight="1">
      <c r="A56" s="153">
        <v>56</v>
      </c>
      <c r="B56" s="203"/>
      <c r="E56" s="204" t="s">
        <v>306</v>
      </c>
      <c r="L56" s="257" t="str">
        <f t="shared" si="7"/>
        <v>TBD</v>
      </c>
      <c r="M56" s="258" t="str">
        <f t="shared" si="8"/>
        <v/>
      </c>
      <c r="O56" s="231"/>
      <c r="P56" s="204" t="s">
        <v>311</v>
      </c>
      <c r="Y56" s="167"/>
      <c r="AA56" s="170" t="s">
        <v>300</v>
      </c>
      <c r="AB56" s="201"/>
      <c r="AD56" s="202" t="str">
        <f>IF(P103="","",P103)</f>
        <v/>
      </c>
      <c r="AH56" s="260">
        <v>34</v>
      </c>
      <c r="AI56" s="261">
        <v>50</v>
      </c>
      <c r="AJ56" s="262">
        <v>0.6</v>
      </c>
      <c r="AK56" s="261" t="str">
        <f t="shared" si="6"/>
        <v/>
      </c>
      <c r="AL56" s="261" t="str">
        <f t="shared" si="2"/>
        <v/>
      </c>
      <c r="AM56" s="261"/>
      <c r="AN56" s="261"/>
      <c r="AO56" s="261"/>
      <c r="AP56" s="261"/>
      <c r="AQ56" s="263"/>
    </row>
    <row r="57" spans="1:43" ht="14.1" customHeight="1">
      <c r="A57" s="153">
        <v>57</v>
      </c>
      <c r="B57" s="203"/>
      <c r="E57" s="204" t="s">
        <v>307</v>
      </c>
      <c r="L57" s="257" t="str">
        <f t="shared" si="7"/>
        <v>TBD</v>
      </c>
      <c r="M57" s="258" t="str">
        <f t="shared" si="8"/>
        <v/>
      </c>
      <c r="O57" s="231"/>
      <c r="P57" s="204" t="s">
        <v>312</v>
      </c>
      <c r="Y57" s="167"/>
      <c r="AA57" s="170" t="s">
        <v>302</v>
      </c>
      <c r="AB57" s="201"/>
      <c r="AD57" s="202" t="str">
        <f>IF(Q103="","",Q103)</f>
        <v/>
      </c>
      <c r="AH57" s="251">
        <v>28</v>
      </c>
      <c r="AI57" s="252">
        <v>50</v>
      </c>
      <c r="AJ57" s="264">
        <v>0</v>
      </c>
      <c r="AK57" s="252" t="str">
        <f t="shared" si="6"/>
        <v/>
      </c>
      <c r="AL57" s="252" t="str">
        <f t="shared" ref="AL57:AL90" si="9">IF($V$25="","",$V$25)</f>
        <v/>
      </c>
      <c r="AM57" s="252"/>
      <c r="AN57" s="252"/>
      <c r="AO57" s="252"/>
      <c r="AP57" s="252"/>
      <c r="AQ57" s="254" t="str">
        <f>Tables!X121</f>
        <v/>
      </c>
    </row>
    <row r="58" spans="1:43" ht="14.1" customHeight="1">
      <c r="A58" s="153">
        <v>58</v>
      </c>
      <c r="B58" s="203"/>
      <c r="E58" s="204" t="s">
        <v>308</v>
      </c>
      <c r="L58" s="257" t="str">
        <f t="shared" si="7"/>
        <v>TBD</v>
      </c>
      <c r="M58" s="258" t="str">
        <f t="shared" si="8"/>
        <v/>
      </c>
      <c r="O58" s="231"/>
      <c r="P58" s="151" t="s">
        <v>57</v>
      </c>
      <c r="Y58" s="167"/>
      <c r="AA58" s="170" t="s">
        <v>304</v>
      </c>
      <c r="AB58" s="201"/>
      <c r="AD58" s="202" t="str">
        <f>IF(R103="","",R103)</f>
        <v/>
      </c>
      <c r="AH58" s="265">
        <v>28</v>
      </c>
      <c r="AI58" s="266">
        <v>50</v>
      </c>
      <c r="AJ58" s="267">
        <v>0</v>
      </c>
      <c r="AK58" s="266" t="str">
        <f t="shared" si="6"/>
        <v/>
      </c>
      <c r="AL58" s="266" t="str">
        <f t="shared" si="9"/>
        <v/>
      </c>
      <c r="AM58" s="266"/>
      <c r="AN58" s="266"/>
      <c r="AO58" s="266"/>
      <c r="AP58" s="266"/>
      <c r="AQ58" s="268" t="str">
        <f>Tables!X122</f>
        <v/>
      </c>
    </row>
    <row r="59" spans="1:43" ht="14.1" customHeight="1">
      <c r="A59" s="153">
        <v>59</v>
      </c>
      <c r="B59" s="203"/>
      <c r="E59" s="204" t="s">
        <v>309</v>
      </c>
      <c r="L59" s="257" t="str">
        <f t="shared" si="7"/>
        <v>TBD</v>
      </c>
      <c r="M59" s="258" t="str">
        <f t="shared" si="8"/>
        <v/>
      </c>
      <c r="O59" s="165"/>
      <c r="Y59" s="167"/>
      <c r="AA59" s="178" t="s">
        <v>313</v>
      </c>
      <c r="AH59" s="265">
        <v>28</v>
      </c>
      <c r="AI59" s="266">
        <v>50</v>
      </c>
      <c r="AJ59" s="267">
        <v>0.4</v>
      </c>
      <c r="AK59" s="266" t="str">
        <f t="shared" si="6"/>
        <v/>
      </c>
      <c r="AL59" s="266" t="str">
        <f t="shared" si="9"/>
        <v/>
      </c>
      <c r="AM59" s="266"/>
      <c r="AN59" s="266"/>
      <c r="AO59" s="266"/>
      <c r="AP59" s="266"/>
      <c r="AQ59" s="268" t="str">
        <f>Tables!X123</f>
        <v/>
      </c>
    </row>
    <row r="60" spans="1:43" ht="14.1" customHeight="1">
      <c r="A60" s="153">
        <v>60</v>
      </c>
      <c r="B60" s="203"/>
      <c r="E60" s="204" t="s">
        <v>310</v>
      </c>
      <c r="L60" s="257" t="str">
        <f t="shared" si="7"/>
        <v>TBD</v>
      </c>
      <c r="M60" s="258" t="str">
        <f t="shared" si="8"/>
        <v/>
      </c>
      <c r="O60" s="165"/>
      <c r="T60" s="189" t="s">
        <v>314</v>
      </c>
      <c r="Y60" s="167"/>
      <c r="AA60" s="170" t="s">
        <v>300</v>
      </c>
      <c r="AB60" s="201"/>
      <c r="AD60" s="202" t="str">
        <f>IF(S100="","",S100)</f>
        <v/>
      </c>
      <c r="AH60" s="265">
        <v>28</v>
      </c>
      <c r="AI60" s="266">
        <v>50</v>
      </c>
      <c r="AJ60" s="267">
        <v>0.4</v>
      </c>
      <c r="AK60" s="266" t="str">
        <f t="shared" si="6"/>
        <v/>
      </c>
      <c r="AL60" s="266" t="str">
        <f t="shared" si="9"/>
        <v/>
      </c>
      <c r="AM60" s="266"/>
      <c r="AN60" s="266"/>
      <c r="AO60" s="266"/>
      <c r="AP60" s="266"/>
      <c r="AQ60" s="268" t="str">
        <f>Tables!X124</f>
        <v/>
      </c>
    </row>
    <row r="61" spans="1:43" ht="14.1" customHeight="1">
      <c r="A61" s="153">
        <v>61</v>
      </c>
      <c r="B61" s="203"/>
      <c r="E61" s="204" t="s">
        <v>311</v>
      </c>
      <c r="L61" s="257" t="str">
        <f t="shared" si="7"/>
        <v>TBD</v>
      </c>
      <c r="M61" s="258" t="str">
        <f t="shared" si="8"/>
        <v/>
      </c>
      <c r="O61" s="231"/>
      <c r="P61" s="151" t="s">
        <v>315</v>
      </c>
      <c r="Y61" s="167"/>
      <c r="AA61" s="170" t="s">
        <v>302</v>
      </c>
      <c r="AB61" s="201"/>
      <c r="AD61" s="202" t="str">
        <f>IF(T100="","",T100)</f>
        <v/>
      </c>
      <c r="AH61" s="265">
        <v>28</v>
      </c>
      <c r="AI61" s="266">
        <v>50</v>
      </c>
      <c r="AJ61" s="267">
        <v>0.5</v>
      </c>
      <c r="AK61" s="266" t="str">
        <f t="shared" si="6"/>
        <v/>
      </c>
      <c r="AL61" s="266" t="str">
        <f t="shared" si="9"/>
        <v/>
      </c>
      <c r="AM61" s="266"/>
      <c r="AN61" s="266"/>
      <c r="AO61" s="266"/>
      <c r="AP61" s="266"/>
      <c r="AQ61" s="268" t="str">
        <f>Tables!X125</f>
        <v/>
      </c>
    </row>
    <row r="62" spans="1:43" ht="14.1" customHeight="1">
      <c r="A62" s="153">
        <v>62</v>
      </c>
      <c r="B62" s="203"/>
      <c r="E62" s="204" t="s">
        <v>316</v>
      </c>
      <c r="L62" s="257" t="str">
        <f t="shared" si="7"/>
        <v>TBD</v>
      </c>
      <c r="M62" s="258" t="str">
        <f t="shared" si="8"/>
        <v/>
      </c>
      <c r="O62" s="231"/>
      <c r="P62" s="151" t="s">
        <v>317</v>
      </c>
      <c r="Y62" s="167"/>
      <c r="AA62" s="170" t="s">
        <v>304</v>
      </c>
      <c r="AB62" s="201"/>
      <c r="AD62" s="202" t="str">
        <f>IF(U100="","",U100)</f>
        <v/>
      </c>
      <c r="AH62" s="265">
        <v>28</v>
      </c>
      <c r="AI62" s="266">
        <v>50</v>
      </c>
      <c r="AJ62" s="267">
        <v>0.5</v>
      </c>
      <c r="AK62" s="266" t="str">
        <f t="shared" si="6"/>
        <v/>
      </c>
      <c r="AL62" s="266" t="str">
        <f t="shared" si="9"/>
        <v/>
      </c>
      <c r="AM62" s="266"/>
      <c r="AN62" s="266"/>
      <c r="AO62" s="266"/>
      <c r="AP62" s="266"/>
      <c r="AQ62" s="268" t="str">
        <f>Tables!X126</f>
        <v/>
      </c>
    </row>
    <row r="63" spans="1:43" ht="14.1" customHeight="1">
      <c r="A63" s="153">
        <v>63</v>
      </c>
      <c r="B63" s="203"/>
      <c r="E63" s="151" t="s">
        <v>318</v>
      </c>
      <c r="L63" s="257" t="str">
        <f t="shared" si="7"/>
        <v>TBD</v>
      </c>
      <c r="M63" s="258" t="str">
        <f t="shared" si="8"/>
        <v/>
      </c>
      <c r="O63" s="231"/>
      <c r="P63" s="151" t="s">
        <v>319</v>
      </c>
      <c r="Y63" s="167"/>
      <c r="AA63" s="170" t="s">
        <v>300</v>
      </c>
      <c r="AB63" s="201"/>
      <c r="AD63" s="202" t="str">
        <f>IF(S101="","",S101)</f>
        <v/>
      </c>
      <c r="AH63" s="265">
        <v>28</v>
      </c>
      <c r="AI63" s="266">
        <v>50</v>
      </c>
      <c r="AJ63" s="267">
        <v>0.6</v>
      </c>
      <c r="AK63" s="266" t="str">
        <f t="shared" si="6"/>
        <v/>
      </c>
      <c r="AL63" s="266" t="str">
        <f t="shared" si="9"/>
        <v/>
      </c>
      <c r="AM63" s="266"/>
      <c r="AN63" s="266"/>
      <c r="AO63" s="266"/>
      <c r="AP63" s="266"/>
      <c r="AQ63" s="268" t="str">
        <f>Tables!X127</f>
        <v/>
      </c>
    </row>
    <row r="64" spans="1:43" ht="14.1" customHeight="1">
      <c r="A64" s="153">
        <v>64</v>
      </c>
      <c r="B64" s="203"/>
      <c r="C64" s="97"/>
      <c r="D64" s="97"/>
      <c r="E64" s="97"/>
      <c r="F64" s="97"/>
      <c r="G64" s="97"/>
      <c r="H64" s="97"/>
      <c r="I64" s="97"/>
      <c r="J64" s="97"/>
      <c r="K64" s="97"/>
      <c r="L64" s="97"/>
      <c r="M64" s="269"/>
      <c r="O64" s="231"/>
      <c r="P64" s="151" t="s">
        <v>320</v>
      </c>
      <c r="Y64" s="167"/>
      <c r="AA64" s="170" t="s">
        <v>302</v>
      </c>
      <c r="AB64" s="201"/>
      <c r="AD64" s="202" t="str">
        <f>IF(T101="","",T101)</f>
        <v/>
      </c>
      <c r="AH64" s="265">
        <v>28</v>
      </c>
      <c r="AI64" s="266">
        <v>50</v>
      </c>
      <c r="AJ64" s="267">
        <v>0.6</v>
      </c>
      <c r="AK64" s="266" t="str">
        <f t="shared" si="6"/>
        <v/>
      </c>
      <c r="AL64" s="266" t="str">
        <f t="shared" si="9"/>
        <v/>
      </c>
      <c r="AM64" s="266"/>
      <c r="AN64" s="266"/>
      <c r="AO64" s="266"/>
      <c r="AP64" s="266"/>
      <c r="AQ64" s="268" t="str">
        <f>Tables!X128</f>
        <v/>
      </c>
    </row>
    <row r="65" spans="1:43" ht="14.1" customHeight="1">
      <c r="A65" s="153">
        <v>65</v>
      </c>
      <c r="B65" s="203"/>
      <c r="C65" s="97"/>
      <c r="D65" s="97"/>
      <c r="E65" s="97"/>
      <c r="F65" s="97"/>
      <c r="G65" s="97"/>
      <c r="H65" s="97"/>
      <c r="I65" s="97"/>
      <c r="J65" s="97"/>
      <c r="K65" s="97"/>
      <c r="L65" s="97"/>
      <c r="M65" s="269"/>
      <c r="O65" s="231"/>
      <c r="P65" s="151" t="s">
        <v>321</v>
      </c>
      <c r="Y65" s="167"/>
      <c r="AA65" s="170" t="s">
        <v>304</v>
      </c>
      <c r="AB65" s="201"/>
      <c r="AD65" s="202" t="str">
        <f>IF(U101="","",U101)</f>
        <v/>
      </c>
      <c r="AH65" s="223">
        <v>30</v>
      </c>
      <c r="AI65" s="224">
        <v>50</v>
      </c>
      <c r="AJ65" s="270">
        <v>0</v>
      </c>
      <c r="AK65" s="224" t="str">
        <f t="shared" si="6"/>
        <v/>
      </c>
      <c r="AL65" s="224" t="str">
        <f t="shared" si="9"/>
        <v/>
      </c>
      <c r="AM65" s="224"/>
      <c r="AN65" s="224"/>
      <c r="AO65" s="224"/>
      <c r="AP65" s="224"/>
      <c r="AQ65" s="226" t="str">
        <f>Tables!X129</f>
        <v/>
      </c>
    </row>
    <row r="66" spans="1:43" ht="14.1" customHeight="1">
      <c r="A66" s="153">
        <v>66</v>
      </c>
      <c r="B66" s="228"/>
      <c r="C66" s="229"/>
      <c r="D66" s="229"/>
      <c r="E66" s="229"/>
      <c r="F66" s="229"/>
      <c r="G66" s="229"/>
      <c r="H66" s="229"/>
      <c r="I66" s="229"/>
      <c r="J66" s="229"/>
      <c r="K66" s="229"/>
      <c r="L66" s="229"/>
      <c r="M66" s="230"/>
      <c r="O66" s="231"/>
      <c r="P66" s="151" t="s">
        <v>322</v>
      </c>
      <c r="Y66" s="167"/>
      <c r="AA66" s="170" t="s">
        <v>300</v>
      </c>
      <c r="AB66" s="201"/>
      <c r="AD66" s="202" t="str">
        <f>IF(S102="","",S102)</f>
        <v/>
      </c>
      <c r="AH66" s="265">
        <v>30</v>
      </c>
      <c r="AI66" s="266">
        <v>50</v>
      </c>
      <c r="AJ66" s="267">
        <v>0</v>
      </c>
      <c r="AK66" s="266" t="str">
        <f t="shared" si="6"/>
        <v/>
      </c>
      <c r="AL66" s="266" t="str">
        <f t="shared" si="9"/>
        <v/>
      </c>
      <c r="AM66" s="266"/>
      <c r="AN66" s="266"/>
      <c r="AO66" s="266"/>
      <c r="AP66" s="266"/>
      <c r="AQ66" s="268" t="str">
        <f>Tables!X130</f>
        <v/>
      </c>
    </row>
    <row r="67" spans="1:43" ht="14.1" customHeight="1">
      <c r="A67" s="153">
        <v>67</v>
      </c>
      <c r="C67" s="271" t="s">
        <v>217</v>
      </c>
      <c r="D67" s="272" t="str">
        <f>IF($P$7="","",$P$7)</f>
        <v/>
      </c>
      <c r="E67" s="162"/>
      <c r="F67" s="162"/>
      <c r="G67" s="162"/>
      <c r="H67" s="162"/>
      <c r="I67" s="162"/>
      <c r="J67" s="162"/>
      <c r="K67" s="162"/>
      <c r="L67" s="271" t="s">
        <v>218</v>
      </c>
      <c r="M67" s="273" t="str">
        <f>IF($X$7="","",$X$7)</f>
        <v>Eugene Mah</v>
      </c>
      <c r="O67" s="259">
        <f>IF(OR(R149=2,R149=3),3,IF(U152="TBD","",IF(U152&gt;=160,1,2)))</f>
        <v>1</v>
      </c>
      <c r="P67" s="151" t="s">
        <v>323</v>
      </c>
      <c r="Y67" s="167"/>
      <c r="AA67" s="170" t="s">
        <v>302</v>
      </c>
      <c r="AB67" s="201"/>
      <c r="AD67" s="202" t="str">
        <f>IF(T102="","",T102)</f>
        <v/>
      </c>
      <c r="AH67" s="265">
        <v>30</v>
      </c>
      <c r="AI67" s="266">
        <v>50</v>
      </c>
      <c r="AJ67" s="267">
        <v>0.4</v>
      </c>
      <c r="AK67" s="266" t="str">
        <f t="shared" si="6"/>
        <v/>
      </c>
      <c r="AL67" s="266" t="str">
        <f t="shared" si="9"/>
        <v/>
      </c>
      <c r="AM67" s="266"/>
      <c r="AN67" s="266"/>
      <c r="AO67" s="266"/>
      <c r="AP67" s="266"/>
      <c r="AQ67" s="268" t="str">
        <f>Tables!X131</f>
        <v/>
      </c>
    </row>
    <row r="68" spans="1:43" ht="14.1" customHeight="1">
      <c r="A68" s="153">
        <v>68</v>
      </c>
      <c r="C68" s="271" t="s">
        <v>324</v>
      </c>
      <c r="D68" s="274" t="str">
        <f>IF($R$14="","",$R$14)</f>
        <v/>
      </c>
      <c r="E68" s="162"/>
      <c r="F68" s="162"/>
      <c r="G68" s="162"/>
      <c r="H68" s="162"/>
      <c r="I68" s="162"/>
      <c r="J68" s="162"/>
      <c r="K68" s="162"/>
      <c r="L68" s="271" t="s">
        <v>241</v>
      </c>
      <c r="M68" s="275" t="str">
        <f>IF($R$13="","",$R$13)</f>
        <v/>
      </c>
      <c r="O68" s="231"/>
      <c r="P68" s="151" t="s">
        <v>325</v>
      </c>
      <c r="Y68" s="167"/>
      <c r="AA68" s="170" t="s">
        <v>304</v>
      </c>
      <c r="AB68" s="201"/>
      <c r="AD68" s="202" t="str">
        <f>IF(U102="","",U102)</f>
        <v/>
      </c>
      <c r="AH68" s="265">
        <v>30</v>
      </c>
      <c r="AI68" s="266">
        <v>50</v>
      </c>
      <c r="AJ68" s="267">
        <v>0.4</v>
      </c>
      <c r="AK68" s="266" t="str">
        <f t="shared" si="6"/>
        <v/>
      </c>
      <c r="AL68" s="266" t="str">
        <f t="shared" si="9"/>
        <v/>
      </c>
      <c r="AM68" s="266"/>
      <c r="AN68" s="266"/>
      <c r="AO68" s="266"/>
      <c r="AP68" s="266"/>
      <c r="AQ68" s="268" t="str">
        <f>Tables!X132</f>
        <v/>
      </c>
    </row>
    <row r="69" spans="1:43" ht="14.1" customHeight="1">
      <c r="A69" s="153">
        <v>1</v>
      </c>
      <c r="M69" s="276" t="str">
        <f>$H$2</f>
        <v>Medical University of South Carolina</v>
      </c>
      <c r="O69" s="231"/>
      <c r="P69" s="151" t="s">
        <v>326</v>
      </c>
      <c r="Y69" s="167"/>
      <c r="AA69" s="170" t="s">
        <v>300</v>
      </c>
      <c r="AB69" s="201"/>
      <c r="AD69" s="202" t="str">
        <f>IF(S103="","",S103)</f>
        <v/>
      </c>
      <c r="AH69" s="265">
        <v>30</v>
      </c>
      <c r="AI69" s="266">
        <v>50</v>
      </c>
      <c r="AJ69" s="267">
        <v>0.5</v>
      </c>
      <c r="AK69" s="266" t="str">
        <f t="shared" si="6"/>
        <v/>
      </c>
      <c r="AL69" s="266" t="str">
        <f t="shared" si="9"/>
        <v/>
      </c>
      <c r="AM69" s="266"/>
      <c r="AN69" s="266"/>
      <c r="AO69" s="266"/>
      <c r="AP69" s="266"/>
      <c r="AQ69" s="268" t="str">
        <f>Tables!X133</f>
        <v/>
      </c>
    </row>
    <row r="70" spans="1:43" ht="14.1" customHeight="1">
      <c r="A70" s="153">
        <v>2</v>
      </c>
      <c r="H70" s="186" t="s">
        <v>275</v>
      </c>
      <c r="M70" s="277" t="str">
        <f>$H$5</f>
        <v>Mammography System Compliance Inspection</v>
      </c>
      <c r="O70" s="231"/>
      <c r="P70" s="151" t="s">
        <v>327</v>
      </c>
      <c r="Y70" s="167"/>
      <c r="AA70" s="170" t="s">
        <v>302</v>
      </c>
      <c r="AB70" s="201"/>
      <c r="AD70" s="202" t="str">
        <f>IF(T103="","",T103)</f>
        <v/>
      </c>
      <c r="AH70" s="265">
        <v>30</v>
      </c>
      <c r="AI70" s="266">
        <v>50</v>
      </c>
      <c r="AJ70" s="267">
        <v>0.5</v>
      </c>
      <c r="AK70" s="266" t="str">
        <f t="shared" si="6"/>
        <v/>
      </c>
      <c r="AL70" s="266" t="str">
        <f t="shared" si="9"/>
        <v/>
      </c>
      <c r="AM70" s="266"/>
      <c r="AN70" s="266"/>
      <c r="AO70" s="266"/>
      <c r="AP70" s="266"/>
      <c r="AQ70" s="268" t="str">
        <f>Tables!X134</f>
        <v/>
      </c>
    </row>
    <row r="71" spans="1:43" ht="14.1" customHeight="1">
      <c r="A71" s="153">
        <v>3</v>
      </c>
      <c r="B71" s="194"/>
      <c r="C71" s="278" t="s">
        <v>291</v>
      </c>
      <c r="D71" s="195"/>
      <c r="E71" s="195"/>
      <c r="F71" s="195"/>
      <c r="G71" s="195"/>
      <c r="H71" s="279" t="s">
        <v>314</v>
      </c>
      <c r="I71" s="195"/>
      <c r="J71" s="195"/>
      <c r="K71" s="195"/>
      <c r="L71" s="195"/>
      <c r="M71" s="197"/>
      <c r="O71" s="231"/>
      <c r="P71" s="151" t="s">
        <v>328</v>
      </c>
      <c r="Y71" s="167"/>
      <c r="AA71" s="170" t="s">
        <v>304</v>
      </c>
      <c r="AB71" s="201"/>
      <c r="AD71" s="202" t="str">
        <f>IF(U103="","",U103)</f>
        <v/>
      </c>
      <c r="AH71" s="265">
        <v>30</v>
      </c>
      <c r="AI71" s="266">
        <v>50</v>
      </c>
      <c r="AJ71" s="267">
        <v>0.6</v>
      </c>
      <c r="AK71" s="266" t="str">
        <f t="shared" si="6"/>
        <v/>
      </c>
      <c r="AL71" s="266" t="str">
        <f t="shared" si="9"/>
        <v/>
      </c>
      <c r="AM71" s="266"/>
      <c r="AN71" s="266"/>
      <c r="AO71" s="266"/>
      <c r="AP71" s="266"/>
      <c r="AQ71" s="268" t="str">
        <f>Tables!X135</f>
        <v/>
      </c>
    </row>
    <row r="72" spans="1:43" ht="14.1" customHeight="1">
      <c r="A72" s="153">
        <v>4</v>
      </c>
      <c r="B72" s="203"/>
      <c r="C72" s="151" t="s">
        <v>329</v>
      </c>
      <c r="E72" s="151" t="s">
        <v>330</v>
      </c>
      <c r="L72" s="257" t="str">
        <f t="shared" ref="L72:L104" si="10">IF(O61="","TBD",IF(O61=1,"YES",IF(O61=3,"NA","")))</f>
        <v>TBD</v>
      </c>
      <c r="M72" s="258" t="str">
        <f t="shared" ref="M72:M104" si="11">IF(O61=2,"NO","")</f>
        <v/>
      </c>
      <c r="O72" s="231"/>
      <c r="P72" s="151" t="s">
        <v>331</v>
      </c>
      <c r="Y72" s="167"/>
      <c r="AA72" s="178" t="s">
        <v>269</v>
      </c>
      <c r="AH72" s="265">
        <v>30</v>
      </c>
      <c r="AI72" s="266">
        <v>50</v>
      </c>
      <c r="AJ72" s="267">
        <v>0.6</v>
      </c>
      <c r="AK72" s="266" t="str">
        <f t="shared" si="6"/>
        <v/>
      </c>
      <c r="AL72" s="266" t="str">
        <f t="shared" si="9"/>
        <v/>
      </c>
      <c r="AM72" s="266"/>
      <c r="AN72" s="266"/>
      <c r="AO72" s="266"/>
      <c r="AP72" s="266"/>
      <c r="AQ72" s="268" t="str">
        <f>Tables!X136</f>
        <v/>
      </c>
    </row>
    <row r="73" spans="1:43" ht="14.1" customHeight="1">
      <c r="A73" s="153">
        <v>5</v>
      </c>
      <c r="B73" s="203"/>
      <c r="C73" s="151" t="s">
        <v>332</v>
      </c>
      <c r="E73" s="151" t="s">
        <v>333</v>
      </c>
      <c r="L73" s="257" t="str">
        <f t="shared" si="10"/>
        <v>TBD</v>
      </c>
      <c r="M73" s="258" t="str">
        <f t="shared" si="11"/>
        <v/>
      </c>
      <c r="O73" s="231"/>
      <c r="P73" s="151" t="s">
        <v>334</v>
      </c>
      <c r="Y73" s="167"/>
      <c r="AA73" s="170" t="s">
        <v>300</v>
      </c>
      <c r="AB73" s="201"/>
      <c r="AD73" s="202" t="str">
        <f>IF(V100="","",V100)</f>
        <v/>
      </c>
      <c r="AH73" s="223">
        <v>32</v>
      </c>
      <c r="AI73" s="224">
        <v>50</v>
      </c>
      <c r="AJ73" s="270">
        <v>0</v>
      </c>
      <c r="AK73" s="224" t="str">
        <f t="shared" si="6"/>
        <v/>
      </c>
      <c r="AL73" s="224" t="str">
        <f t="shared" si="9"/>
        <v/>
      </c>
      <c r="AM73" s="224"/>
      <c r="AN73" s="224"/>
      <c r="AO73" s="224"/>
      <c r="AP73" s="224"/>
      <c r="AQ73" s="226" t="str">
        <f>Tables!X137</f>
        <v/>
      </c>
    </row>
    <row r="74" spans="1:43" ht="14.1" customHeight="1">
      <c r="A74" s="153">
        <v>6</v>
      </c>
      <c r="B74" s="203"/>
      <c r="C74" s="151" t="s">
        <v>335</v>
      </c>
      <c r="E74" s="151" t="s">
        <v>319</v>
      </c>
      <c r="L74" s="257" t="str">
        <f t="shared" si="10"/>
        <v>TBD</v>
      </c>
      <c r="M74" s="258" t="str">
        <f t="shared" si="11"/>
        <v/>
      </c>
      <c r="O74" s="231"/>
      <c r="P74" s="151" t="s">
        <v>336</v>
      </c>
      <c r="Y74" s="167"/>
      <c r="AA74" s="170" t="s">
        <v>302</v>
      </c>
      <c r="AB74" s="201"/>
      <c r="AD74" s="202" t="str">
        <f>IF(W100="","",W100)</f>
        <v/>
      </c>
      <c r="AH74" s="265">
        <v>32</v>
      </c>
      <c r="AI74" s="266">
        <v>50</v>
      </c>
      <c r="AJ74" s="267">
        <v>0</v>
      </c>
      <c r="AK74" s="266" t="str">
        <f t="shared" ref="AK74:AK105" si="12">IF($V$21="","",$V$21)</f>
        <v/>
      </c>
      <c r="AL74" s="266" t="str">
        <f t="shared" si="9"/>
        <v/>
      </c>
      <c r="AM74" s="266"/>
      <c r="AN74" s="266"/>
      <c r="AO74" s="266"/>
      <c r="AP74" s="266"/>
      <c r="AQ74" s="268" t="str">
        <f>Tables!X138</f>
        <v/>
      </c>
    </row>
    <row r="75" spans="1:43" ht="14.1" customHeight="1">
      <c r="A75" s="153">
        <v>7</v>
      </c>
      <c r="B75" s="203"/>
      <c r="C75" s="151" t="s">
        <v>337</v>
      </c>
      <c r="E75" s="151" t="s">
        <v>338</v>
      </c>
      <c r="L75" s="257" t="str">
        <f t="shared" si="10"/>
        <v>TBD</v>
      </c>
      <c r="M75" s="258" t="str">
        <f t="shared" si="11"/>
        <v/>
      </c>
      <c r="O75" s="231"/>
      <c r="P75" s="151" t="s">
        <v>339</v>
      </c>
      <c r="Y75" s="167"/>
      <c r="AA75" s="170" t="s">
        <v>304</v>
      </c>
      <c r="AB75" s="201"/>
      <c r="AD75" s="202" t="str">
        <f>IF(X100="","",X100)</f>
        <v/>
      </c>
      <c r="AH75" s="265">
        <v>32</v>
      </c>
      <c r="AI75" s="266">
        <v>50</v>
      </c>
      <c r="AJ75" s="267">
        <v>0.4</v>
      </c>
      <c r="AK75" s="266" t="str">
        <f t="shared" si="12"/>
        <v/>
      </c>
      <c r="AL75" s="266" t="str">
        <f t="shared" si="9"/>
        <v/>
      </c>
      <c r="AM75" s="266"/>
      <c r="AN75" s="266"/>
      <c r="AO75" s="266"/>
      <c r="AP75" s="266"/>
      <c r="AQ75" s="268" t="str">
        <f>Tables!X139</f>
        <v/>
      </c>
    </row>
    <row r="76" spans="1:43" ht="14.1" customHeight="1">
      <c r="A76" s="153">
        <v>8</v>
      </c>
      <c r="B76" s="203"/>
      <c r="C76" s="151" t="s">
        <v>340</v>
      </c>
      <c r="E76" s="151" t="s">
        <v>321</v>
      </c>
      <c r="L76" s="257" t="str">
        <f t="shared" si="10"/>
        <v>TBD</v>
      </c>
      <c r="M76" s="258" t="str">
        <f t="shared" si="11"/>
        <v/>
      </c>
      <c r="O76" s="231"/>
      <c r="P76" s="151" t="s">
        <v>341</v>
      </c>
      <c r="Y76" s="167"/>
      <c r="AA76" s="170" t="s">
        <v>300</v>
      </c>
      <c r="AB76" s="201"/>
      <c r="AD76" s="202" t="str">
        <f>IF(V101="","",V101)</f>
        <v/>
      </c>
      <c r="AH76" s="265">
        <v>32</v>
      </c>
      <c r="AI76" s="266">
        <v>50</v>
      </c>
      <c r="AJ76" s="267">
        <v>0.4</v>
      </c>
      <c r="AK76" s="266" t="str">
        <f t="shared" si="12"/>
        <v/>
      </c>
      <c r="AL76" s="266" t="str">
        <f t="shared" si="9"/>
        <v/>
      </c>
      <c r="AM76" s="266"/>
      <c r="AN76" s="266"/>
      <c r="AO76" s="266"/>
      <c r="AP76" s="266"/>
      <c r="AQ76" s="268" t="str">
        <f>Tables!X140</f>
        <v/>
      </c>
    </row>
    <row r="77" spans="1:43" ht="14.1" customHeight="1">
      <c r="A77" s="153">
        <v>9</v>
      </c>
      <c r="B77" s="203"/>
      <c r="C77" s="151" t="s">
        <v>342</v>
      </c>
      <c r="E77" s="151" t="s">
        <v>343</v>
      </c>
      <c r="L77" s="257" t="str">
        <f t="shared" si="10"/>
        <v>TBD</v>
      </c>
      <c r="M77" s="258" t="str">
        <f t="shared" si="11"/>
        <v/>
      </c>
      <c r="O77" s="231"/>
      <c r="P77" s="151" t="s">
        <v>344</v>
      </c>
      <c r="Y77" s="167"/>
      <c r="AA77" s="170" t="s">
        <v>302</v>
      </c>
      <c r="AB77" s="201"/>
      <c r="AD77" s="202" t="str">
        <f>IF(W101="","",W101)</f>
        <v/>
      </c>
      <c r="AH77" s="265">
        <v>32</v>
      </c>
      <c r="AI77" s="266">
        <v>50</v>
      </c>
      <c r="AJ77" s="267">
        <v>0.5</v>
      </c>
      <c r="AK77" s="266" t="str">
        <f t="shared" si="12"/>
        <v/>
      </c>
      <c r="AL77" s="266" t="str">
        <f t="shared" si="9"/>
        <v/>
      </c>
      <c r="AM77" s="266"/>
      <c r="AN77" s="266"/>
      <c r="AO77" s="266"/>
      <c r="AP77" s="266"/>
      <c r="AQ77" s="268" t="str">
        <f>Tables!X141</f>
        <v/>
      </c>
    </row>
    <row r="78" spans="1:43" ht="14.1" customHeight="1">
      <c r="A78" s="153">
        <v>10</v>
      </c>
      <c r="B78" s="203"/>
      <c r="C78" s="151" t="s">
        <v>345</v>
      </c>
      <c r="E78" s="151" t="s">
        <v>323</v>
      </c>
      <c r="L78" s="257" t="str">
        <f t="shared" si="10"/>
        <v>YES</v>
      </c>
      <c r="M78" s="258" t="str">
        <f t="shared" si="11"/>
        <v/>
      </c>
      <c r="O78" s="231"/>
      <c r="P78" s="151" t="s">
        <v>346</v>
      </c>
      <c r="Y78" s="167"/>
      <c r="AA78" s="170" t="s">
        <v>304</v>
      </c>
      <c r="AB78" s="201"/>
      <c r="AD78" s="202" t="str">
        <f>IF(X101="","",X101)</f>
        <v/>
      </c>
      <c r="AH78" s="265">
        <v>32</v>
      </c>
      <c r="AI78" s="266">
        <v>50</v>
      </c>
      <c r="AJ78" s="267">
        <v>0.5</v>
      </c>
      <c r="AK78" s="266" t="str">
        <f t="shared" si="12"/>
        <v/>
      </c>
      <c r="AL78" s="266" t="str">
        <f t="shared" si="9"/>
        <v/>
      </c>
      <c r="AM78" s="266"/>
      <c r="AN78" s="266"/>
      <c r="AO78" s="266"/>
      <c r="AP78" s="266"/>
      <c r="AQ78" s="268" t="str">
        <f>Tables!X142</f>
        <v/>
      </c>
    </row>
    <row r="79" spans="1:43" ht="14.1" customHeight="1">
      <c r="A79" s="153">
        <v>11</v>
      </c>
      <c r="B79" s="203"/>
      <c r="C79" s="151" t="s">
        <v>347</v>
      </c>
      <c r="E79" s="151" t="s">
        <v>348</v>
      </c>
      <c r="L79" s="257" t="str">
        <f t="shared" si="10"/>
        <v>TBD</v>
      </c>
      <c r="M79" s="258" t="str">
        <f t="shared" si="11"/>
        <v/>
      </c>
      <c r="O79" s="259" t="str">
        <f>IF(O196="","",O196)</f>
        <v/>
      </c>
      <c r="P79" s="151" t="s">
        <v>349</v>
      </c>
      <c r="Y79" s="167"/>
      <c r="AA79" s="170" t="s">
        <v>300</v>
      </c>
      <c r="AB79" s="201"/>
      <c r="AD79" s="202" t="str">
        <f>IF(V102="","",V102)</f>
        <v/>
      </c>
      <c r="AH79" s="265">
        <v>32</v>
      </c>
      <c r="AI79" s="266">
        <v>50</v>
      </c>
      <c r="AJ79" s="267">
        <v>0.6</v>
      </c>
      <c r="AK79" s="266" t="str">
        <f t="shared" si="12"/>
        <v/>
      </c>
      <c r="AL79" s="266" t="str">
        <f t="shared" si="9"/>
        <v/>
      </c>
      <c r="AM79" s="266"/>
      <c r="AN79" s="266"/>
      <c r="AO79" s="266"/>
      <c r="AP79" s="266"/>
      <c r="AQ79" s="268" t="str">
        <f>Tables!X143</f>
        <v/>
      </c>
    </row>
    <row r="80" spans="1:43" ht="14.1" customHeight="1">
      <c r="A80" s="153">
        <v>12</v>
      </c>
      <c r="B80" s="203"/>
      <c r="C80" s="151" t="s">
        <v>350</v>
      </c>
      <c r="E80" s="151" t="s">
        <v>326</v>
      </c>
      <c r="L80" s="257" t="str">
        <f t="shared" si="10"/>
        <v>TBD</v>
      </c>
      <c r="M80" s="258" t="str">
        <f t="shared" si="11"/>
        <v/>
      </c>
      <c r="O80" s="259" t="str">
        <f>IF(O195="","",O195)</f>
        <v/>
      </c>
      <c r="P80" s="151" t="s">
        <v>351</v>
      </c>
      <c r="Y80" s="167"/>
      <c r="AA80" s="170" t="s">
        <v>302</v>
      </c>
      <c r="AB80" s="201"/>
      <c r="AD80" s="202" t="str">
        <f>IF(W102="","",W102)</f>
        <v/>
      </c>
      <c r="AH80" s="265">
        <v>32</v>
      </c>
      <c r="AI80" s="266">
        <v>50</v>
      </c>
      <c r="AJ80" s="267">
        <v>0.6</v>
      </c>
      <c r="AK80" s="266" t="str">
        <f t="shared" si="12"/>
        <v/>
      </c>
      <c r="AL80" s="266" t="str">
        <f t="shared" si="9"/>
        <v/>
      </c>
      <c r="AM80" s="266"/>
      <c r="AN80" s="266"/>
      <c r="AO80" s="266"/>
      <c r="AP80" s="266"/>
      <c r="AQ80" s="268" t="str">
        <f>Tables!X144</f>
        <v/>
      </c>
    </row>
    <row r="81" spans="1:43" ht="14.1" customHeight="1">
      <c r="A81" s="153">
        <v>13</v>
      </c>
      <c r="B81" s="203"/>
      <c r="C81" s="151" t="s">
        <v>352</v>
      </c>
      <c r="E81" s="151" t="s">
        <v>327</v>
      </c>
      <c r="L81" s="257" t="str">
        <f t="shared" si="10"/>
        <v>TBD</v>
      </c>
      <c r="M81" s="258" t="str">
        <f t="shared" si="11"/>
        <v/>
      </c>
      <c r="O81" s="231"/>
      <c r="P81" s="151" t="s">
        <v>353</v>
      </c>
      <c r="Y81" s="167"/>
      <c r="AA81" s="170" t="s">
        <v>304</v>
      </c>
      <c r="AB81" s="201"/>
      <c r="AD81" s="202" t="str">
        <f>IF(X102="","",X102)</f>
        <v/>
      </c>
      <c r="AH81" s="223">
        <v>34</v>
      </c>
      <c r="AI81" s="224">
        <v>50</v>
      </c>
      <c r="AJ81" s="270">
        <v>0</v>
      </c>
      <c r="AK81" s="224" t="str">
        <f t="shared" si="12"/>
        <v/>
      </c>
      <c r="AL81" s="224" t="str">
        <f t="shared" si="9"/>
        <v/>
      </c>
      <c r="AM81" s="224"/>
      <c r="AN81" s="224"/>
      <c r="AO81" s="224"/>
      <c r="AP81" s="224"/>
      <c r="AQ81" s="226" t="str">
        <f>Tables!X145</f>
        <v/>
      </c>
    </row>
    <row r="82" spans="1:43" ht="14.1" customHeight="1">
      <c r="A82" s="153">
        <v>14</v>
      </c>
      <c r="B82" s="203"/>
      <c r="C82" s="151" t="s">
        <v>352</v>
      </c>
      <c r="E82" s="151" t="s">
        <v>328</v>
      </c>
      <c r="L82" s="257" t="str">
        <f t="shared" si="10"/>
        <v>TBD</v>
      </c>
      <c r="M82" s="258" t="str">
        <f t="shared" si="11"/>
        <v/>
      </c>
      <c r="O82" s="231"/>
      <c r="P82" s="151" t="s">
        <v>354</v>
      </c>
      <c r="Y82" s="167"/>
      <c r="AA82" s="170" t="s">
        <v>300</v>
      </c>
      <c r="AB82" s="201"/>
      <c r="AD82" s="202" t="str">
        <f>IF(V103="","",V103)</f>
        <v/>
      </c>
      <c r="AH82" s="265">
        <v>34</v>
      </c>
      <c r="AI82" s="266">
        <v>50</v>
      </c>
      <c r="AJ82" s="267">
        <v>0</v>
      </c>
      <c r="AK82" s="266" t="str">
        <f t="shared" si="12"/>
        <v/>
      </c>
      <c r="AL82" s="266" t="str">
        <f t="shared" si="9"/>
        <v/>
      </c>
      <c r="AM82" s="266"/>
      <c r="AN82" s="266"/>
      <c r="AO82" s="266"/>
      <c r="AP82" s="266"/>
      <c r="AQ82" s="268" t="str">
        <f>Tables!X146</f>
        <v/>
      </c>
    </row>
    <row r="83" spans="1:43" ht="14.1" customHeight="1">
      <c r="A83" s="153">
        <v>15</v>
      </c>
      <c r="B83" s="203"/>
      <c r="C83" s="151" t="s">
        <v>355</v>
      </c>
      <c r="E83" s="151" t="s">
        <v>331</v>
      </c>
      <c r="L83" s="257" t="str">
        <f t="shared" si="10"/>
        <v>TBD</v>
      </c>
      <c r="M83" s="258" t="str">
        <f t="shared" si="11"/>
        <v/>
      </c>
      <c r="O83" s="231"/>
      <c r="P83" s="151" t="s">
        <v>356</v>
      </c>
      <c r="Y83" s="167"/>
      <c r="AA83" s="170" t="s">
        <v>302</v>
      </c>
      <c r="AB83" s="201"/>
      <c r="AD83" s="202" t="str">
        <f>IF(W103="","",W103)</f>
        <v/>
      </c>
      <c r="AH83" s="265">
        <v>34</v>
      </c>
      <c r="AI83" s="266">
        <v>50</v>
      </c>
      <c r="AJ83" s="267">
        <v>0.4</v>
      </c>
      <c r="AK83" s="266" t="str">
        <f t="shared" si="12"/>
        <v/>
      </c>
      <c r="AL83" s="266" t="str">
        <f t="shared" si="9"/>
        <v/>
      </c>
      <c r="AM83" s="266"/>
      <c r="AN83" s="266"/>
      <c r="AO83" s="266"/>
      <c r="AP83" s="266"/>
      <c r="AQ83" s="268" t="str">
        <f>Tables!X147</f>
        <v/>
      </c>
    </row>
    <row r="84" spans="1:43" ht="14.1" customHeight="1">
      <c r="A84" s="153">
        <v>16</v>
      </c>
      <c r="B84" s="203"/>
      <c r="C84" s="151" t="s">
        <v>357</v>
      </c>
      <c r="E84" s="151" t="s">
        <v>334</v>
      </c>
      <c r="L84" s="257" t="str">
        <f t="shared" si="10"/>
        <v>TBD</v>
      </c>
      <c r="M84" s="258" t="str">
        <f t="shared" si="11"/>
        <v/>
      </c>
      <c r="O84" s="231"/>
      <c r="P84" s="151" t="s">
        <v>358</v>
      </c>
      <c r="Y84" s="167"/>
      <c r="AA84" s="170" t="s">
        <v>304</v>
      </c>
      <c r="AB84" s="201"/>
      <c r="AD84" s="202" t="str">
        <f>IF(X103="","",X103)</f>
        <v/>
      </c>
      <c r="AH84" s="265">
        <v>34</v>
      </c>
      <c r="AI84" s="266">
        <v>50</v>
      </c>
      <c r="AJ84" s="267">
        <v>0.4</v>
      </c>
      <c r="AK84" s="266" t="str">
        <f t="shared" si="12"/>
        <v/>
      </c>
      <c r="AL84" s="266" t="str">
        <f t="shared" si="9"/>
        <v/>
      </c>
      <c r="AM84" s="266"/>
      <c r="AN84" s="266"/>
      <c r="AO84" s="266"/>
      <c r="AP84" s="266"/>
      <c r="AQ84" s="268" t="str">
        <f>Tables!X148</f>
        <v/>
      </c>
    </row>
    <row r="85" spans="1:43" ht="14.1" customHeight="1">
      <c r="A85" s="153">
        <v>17</v>
      </c>
      <c r="B85" s="203"/>
      <c r="C85" s="152"/>
      <c r="E85" s="151" t="s">
        <v>336</v>
      </c>
      <c r="L85" s="257" t="str">
        <f t="shared" si="10"/>
        <v>TBD</v>
      </c>
      <c r="M85" s="258" t="str">
        <f t="shared" si="11"/>
        <v/>
      </c>
      <c r="O85" s="231"/>
      <c r="P85" s="151" t="s">
        <v>359</v>
      </c>
      <c r="Y85" s="167"/>
      <c r="AH85" s="265">
        <v>34</v>
      </c>
      <c r="AI85" s="266">
        <v>50</v>
      </c>
      <c r="AJ85" s="267">
        <v>0.5</v>
      </c>
      <c r="AK85" s="266" t="str">
        <f t="shared" si="12"/>
        <v/>
      </c>
      <c r="AL85" s="266" t="str">
        <f t="shared" si="9"/>
        <v/>
      </c>
      <c r="AM85" s="266"/>
      <c r="AN85" s="266"/>
      <c r="AO85" s="266"/>
      <c r="AP85" s="266"/>
      <c r="AQ85" s="268" t="str">
        <f>Tables!X149</f>
        <v/>
      </c>
    </row>
    <row r="86" spans="1:43" ht="14.1" customHeight="1">
      <c r="A86" s="153">
        <v>18</v>
      </c>
      <c r="B86" s="203"/>
      <c r="C86" s="151" t="s">
        <v>360</v>
      </c>
      <c r="E86" s="151" t="s">
        <v>339</v>
      </c>
      <c r="L86" s="257" t="str">
        <f t="shared" si="10"/>
        <v>TBD</v>
      </c>
      <c r="M86" s="258" t="str">
        <f t="shared" si="11"/>
        <v/>
      </c>
      <c r="O86" s="231"/>
      <c r="P86" s="151" t="s">
        <v>361</v>
      </c>
      <c r="Y86" s="167"/>
      <c r="AA86" s="170" t="s">
        <v>362</v>
      </c>
      <c r="AB86" s="201"/>
      <c r="AD86" s="280" t="str">
        <f>IF(X266="","",X266)</f>
        <v/>
      </c>
      <c r="AH86" s="265">
        <v>34</v>
      </c>
      <c r="AI86" s="266">
        <v>50</v>
      </c>
      <c r="AJ86" s="267">
        <v>0.5</v>
      </c>
      <c r="AK86" s="266" t="str">
        <f t="shared" si="12"/>
        <v/>
      </c>
      <c r="AL86" s="266" t="str">
        <f t="shared" si="9"/>
        <v/>
      </c>
      <c r="AM86" s="266"/>
      <c r="AN86" s="266"/>
      <c r="AO86" s="266"/>
      <c r="AP86" s="266"/>
      <c r="AQ86" s="268" t="str">
        <f>Tables!X150</f>
        <v/>
      </c>
    </row>
    <row r="87" spans="1:43" ht="14.1" customHeight="1">
      <c r="A87" s="153">
        <v>19</v>
      </c>
      <c r="B87" s="203"/>
      <c r="C87" s="151" t="s">
        <v>363</v>
      </c>
      <c r="E87" s="151" t="s">
        <v>341</v>
      </c>
      <c r="L87" s="257" t="str">
        <f t="shared" si="10"/>
        <v>TBD</v>
      </c>
      <c r="M87" s="258" t="str">
        <f t="shared" si="11"/>
        <v/>
      </c>
      <c r="O87" s="231"/>
      <c r="P87" s="151" t="s">
        <v>364</v>
      </c>
      <c r="Y87" s="167"/>
      <c r="AA87" s="170" t="s">
        <v>365</v>
      </c>
      <c r="AB87" s="201"/>
      <c r="AD87" s="281" t="str">
        <f>IF(W362="","",W362)</f>
        <v/>
      </c>
      <c r="AH87" s="265">
        <v>34</v>
      </c>
      <c r="AI87" s="266">
        <v>50</v>
      </c>
      <c r="AJ87" s="267">
        <v>0.6</v>
      </c>
      <c r="AK87" s="266" t="str">
        <f t="shared" si="12"/>
        <v/>
      </c>
      <c r="AL87" s="266" t="str">
        <f t="shared" si="9"/>
        <v/>
      </c>
      <c r="AM87" s="266"/>
      <c r="AN87" s="266"/>
      <c r="AO87" s="266"/>
      <c r="AP87" s="266"/>
      <c r="AQ87" s="268" t="str">
        <f>Tables!X151</f>
        <v/>
      </c>
    </row>
    <row r="88" spans="1:43" ht="14.1" customHeight="1">
      <c r="A88" s="153">
        <v>20</v>
      </c>
      <c r="B88" s="203"/>
      <c r="C88" s="151" t="s">
        <v>366</v>
      </c>
      <c r="E88" s="151" t="s">
        <v>344</v>
      </c>
      <c r="L88" s="257" t="str">
        <f t="shared" si="10"/>
        <v>TBD</v>
      </c>
      <c r="M88" s="258" t="str">
        <f t="shared" si="11"/>
        <v/>
      </c>
      <c r="O88" s="231"/>
      <c r="P88" s="151" t="s">
        <v>367</v>
      </c>
      <c r="Y88" s="167"/>
      <c r="AA88" s="170" t="s">
        <v>368</v>
      </c>
      <c r="AB88" s="201"/>
      <c r="AD88" s="280" t="str">
        <f>IF(X362="","",X362)</f>
        <v/>
      </c>
      <c r="AH88" s="265">
        <v>34</v>
      </c>
      <c r="AI88" s="266">
        <v>50</v>
      </c>
      <c r="AJ88" s="267">
        <v>0.6</v>
      </c>
      <c r="AK88" s="266" t="str">
        <f t="shared" si="12"/>
        <v/>
      </c>
      <c r="AL88" s="266" t="str">
        <f t="shared" si="9"/>
        <v/>
      </c>
      <c r="AM88" s="266"/>
      <c r="AN88" s="266"/>
      <c r="AO88" s="266"/>
      <c r="AP88" s="266"/>
      <c r="AQ88" s="268" t="str">
        <f>Tables!X152</f>
        <v/>
      </c>
    </row>
    <row r="89" spans="1:43" ht="14.1" customHeight="1">
      <c r="A89" s="153">
        <v>21</v>
      </c>
      <c r="B89" s="203"/>
      <c r="C89" s="151" t="s">
        <v>369</v>
      </c>
      <c r="E89" s="151" t="s">
        <v>370</v>
      </c>
      <c r="L89" s="257" t="str">
        <f t="shared" si="10"/>
        <v>TBD</v>
      </c>
      <c r="M89" s="258" t="str">
        <f t="shared" si="11"/>
        <v/>
      </c>
      <c r="O89" s="231">
        <v>3</v>
      </c>
      <c r="P89" s="151" t="s">
        <v>371</v>
      </c>
      <c r="Y89" s="167"/>
      <c r="AA89" s="170" t="s">
        <v>372</v>
      </c>
      <c r="AB89" s="201"/>
      <c r="AD89" s="280" t="str">
        <f>IF(X281="","",X281)</f>
        <v/>
      </c>
      <c r="AH89" s="223">
        <v>36</v>
      </c>
      <c r="AI89" s="224">
        <v>50</v>
      </c>
      <c r="AJ89" s="270">
        <v>0</v>
      </c>
      <c r="AK89" s="224" t="str">
        <f t="shared" si="12"/>
        <v/>
      </c>
      <c r="AL89" s="224" t="str">
        <f t="shared" si="9"/>
        <v/>
      </c>
      <c r="AM89" s="224"/>
      <c r="AN89" s="224"/>
      <c r="AO89" s="224"/>
      <c r="AP89" s="224"/>
      <c r="AQ89" s="226" t="str">
        <f>Tables!X153</f>
        <v/>
      </c>
    </row>
    <row r="90" spans="1:43" ht="14.1" customHeight="1">
      <c r="A90" s="153">
        <v>22</v>
      </c>
      <c r="B90" s="203"/>
      <c r="C90" s="151" t="s">
        <v>373</v>
      </c>
      <c r="E90" s="151" t="s">
        <v>374</v>
      </c>
      <c r="L90" s="257" t="str">
        <f t="shared" si="10"/>
        <v>TBD</v>
      </c>
      <c r="M90" s="258" t="str">
        <f t="shared" si="11"/>
        <v/>
      </c>
      <c r="O90" s="231">
        <v>3</v>
      </c>
      <c r="P90" s="151" t="s">
        <v>375</v>
      </c>
      <c r="Y90" s="167"/>
      <c r="AA90" s="170" t="s">
        <v>376</v>
      </c>
      <c r="AB90" s="201"/>
      <c r="AC90" s="97"/>
      <c r="AD90" s="280" t="str">
        <f>IF(X301="","",X301)</f>
        <v/>
      </c>
      <c r="AH90" s="282">
        <v>38</v>
      </c>
      <c r="AI90" s="283">
        <v>50</v>
      </c>
      <c r="AJ90" s="284">
        <v>0</v>
      </c>
      <c r="AK90" s="283" t="str">
        <f t="shared" si="12"/>
        <v/>
      </c>
      <c r="AL90" s="283" t="str">
        <f t="shared" si="9"/>
        <v/>
      </c>
      <c r="AM90" s="283"/>
      <c r="AN90" s="283"/>
      <c r="AO90" s="283"/>
      <c r="AP90" s="283"/>
      <c r="AQ90" s="285" t="str">
        <f>Tables!X154</f>
        <v/>
      </c>
    </row>
    <row r="91" spans="1:43" ht="14.1" customHeight="1">
      <c r="A91" s="153">
        <v>23</v>
      </c>
      <c r="B91" s="203"/>
      <c r="C91" s="97"/>
      <c r="D91" s="97"/>
      <c r="E91" s="151" t="s">
        <v>351</v>
      </c>
      <c r="F91" s="97"/>
      <c r="G91" s="97"/>
      <c r="H91" s="97"/>
      <c r="I91" s="97"/>
      <c r="J91" s="97"/>
      <c r="K91" s="97"/>
      <c r="L91" s="257" t="str">
        <f t="shared" si="10"/>
        <v>TBD</v>
      </c>
      <c r="M91" s="258" t="str">
        <f t="shared" si="11"/>
        <v/>
      </c>
      <c r="O91" s="231">
        <v>3</v>
      </c>
      <c r="P91" s="151" t="s">
        <v>377</v>
      </c>
      <c r="Y91" s="167"/>
      <c r="AA91" s="170" t="s">
        <v>378</v>
      </c>
      <c r="AB91" s="201"/>
      <c r="AC91" s="97"/>
      <c r="AD91" s="280" t="str">
        <f>IF(X313="","",X313)</f>
        <v/>
      </c>
      <c r="AH91" s="207">
        <v>28</v>
      </c>
      <c r="AI91" s="208">
        <v>50</v>
      </c>
      <c r="AJ91" s="209">
        <v>0</v>
      </c>
      <c r="AK91" s="208" t="str">
        <f t="shared" si="12"/>
        <v/>
      </c>
      <c r="AL91" s="208" t="str">
        <f t="shared" ref="AL91:AL130" si="13">IF($V$26="","",$V$26)</f>
        <v/>
      </c>
      <c r="AM91" s="208"/>
      <c r="AN91" s="208"/>
      <c r="AO91" s="208"/>
      <c r="AP91" s="208"/>
      <c r="AQ91" s="210" t="str">
        <f>Tables!Y155</f>
        <v/>
      </c>
    </row>
    <row r="92" spans="1:43" ht="14.1" customHeight="1">
      <c r="A92" s="153">
        <v>24</v>
      </c>
      <c r="B92" s="203"/>
      <c r="C92" s="151" t="s">
        <v>379</v>
      </c>
      <c r="E92" s="151" t="s">
        <v>353</v>
      </c>
      <c r="L92" s="257" t="str">
        <f t="shared" si="10"/>
        <v>TBD</v>
      </c>
      <c r="M92" s="258" t="str">
        <f t="shared" si="11"/>
        <v/>
      </c>
      <c r="O92" s="231"/>
      <c r="P92" s="151" t="s">
        <v>380</v>
      </c>
      <c r="Y92" s="167"/>
      <c r="AA92" s="170" t="s">
        <v>381</v>
      </c>
      <c r="AB92" s="201"/>
      <c r="AC92" s="97"/>
      <c r="AD92" s="280" t="str">
        <f>IF(X318="","",X318)</f>
        <v/>
      </c>
      <c r="AH92" s="286">
        <v>28</v>
      </c>
      <c r="AI92" s="287">
        <v>50</v>
      </c>
      <c r="AJ92" s="288">
        <v>0</v>
      </c>
      <c r="AK92" s="287" t="str">
        <f t="shared" si="12"/>
        <v/>
      </c>
      <c r="AL92" s="287" t="str">
        <f t="shared" si="13"/>
        <v/>
      </c>
      <c r="AM92" s="287"/>
      <c r="AN92" s="287"/>
      <c r="AO92" s="287"/>
      <c r="AP92" s="287"/>
      <c r="AQ92" s="289" t="str">
        <f>Tables!Y156</f>
        <v/>
      </c>
    </row>
    <row r="93" spans="1:43" ht="14.1" customHeight="1">
      <c r="A93" s="153">
        <v>25</v>
      </c>
      <c r="B93" s="203"/>
      <c r="C93" s="151" t="s">
        <v>382</v>
      </c>
      <c r="E93" s="151" t="s">
        <v>354</v>
      </c>
      <c r="L93" s="257" t="str">
        <f t="shared" si="10"/>
        <v>TBD</v>
      </c>
      <c r="M93" s="258" t="str">
        <f t="shared" si="11"/>
        <v/>
      </c>
      <c r="O93" s="233"/>
      <c r="P93" s="176" t="s">
        <v>383</v>
      </c>
      <c r="Q93" s="176"/>
      <c r="R93" s="176"/>
      <c r="S93" s="176"/>
      <c r="T93" s="176"/>
      <c r="U93" s="176"/>
      <c r="V93" s="176"/>
      <c r="W93" s="176"/>
      <c r="X93" s="176"/>
      <c r="Y93" s="177"/>
      <c r="AA93" s="290" t="s">
        <v>384</v>
      </c>
      <c r="AB93" s="97"/>
      <c r="AC93" s="97"/>
      <c r="AD93" s="97"/>
      <c r="AH93" s="286">
        <v>28</v>
      </c>
      <c r="AI93" s="287">
        <v>50</v>
      </c>
      <c r="AJ93" s="288">
        <v>0.4</v>
      </c>
      <c r="AK93" s="287" t="str">
        <f t="shared" si="12"/>
        <v/>
      </c>
      <c r="AL93" s="287" t="str">
        <f t="shared" si="13"/>
        <v/>
      </c>
      <c r="AM93" s="287"/>
      <c r="AN93" s="287"/>
      <c r="AO93" s="287"/>
      <c r="AP93" s="287"/>
      <c r="AQ93" s="289" t="str">
        <f>Tables!Y157</f>
        <v/>
      </c>
    </row>
    <row r="94" spans="1:43" ht="14.1" customHeight="1">
      <c r="A94" s="153">
        <v>26</v>
      </c>
      <c r="B94" s="203"/>
      <c r="C94" s="151" t="s">
        <v>385</v>
      </c>
      <c r="E94" s="151" t="s">
        <v>356</v>
      </c>
      <c r="L94" s="257" t="str">
        <f t="shared" si="10"/>
        <v>TBD</v>
      </c>
      <c r="M94" s="258" t="str">
        <f t="shared" si="11"/>
        <v/>
      </c>
      <c r="AA94" s="291">
        <f>Q206</f>
        <v>0</v>
      </c>
      <c r="AB94" s="201"/>
      <c r="AC94" s="291"/>
      <c r="AD94" s="280" t="str">
        <f>IF(Q209="","",Q209)</f>
        <v/>
      </c>
      <c r="AH94" s="286">
        <v>28</v>
      </c>
      <c r="AI94" s="287">
        <v>50</v>
      </c>
      <c r="AJ94" s="288">
        <v>0.4</v>
      </c>
      <c r="AK94" s="287" t="str">
        <f t="shared" si="12"/>
        <v/>
      </c>
      <c r="AL94" s="287" t="str">
        <f t="shared" si="13"/>
        <v/>
      </c>
      <c r="AM94" s="287"/>
      <c r="AN94" s="287"/>
      <c r="AO94" s="287"/>
      <c r="AP94" s="287"/>
      <c r="AQ94" s="289" t="str">
        <f>Tables!Y158</f>
        <v/>
      </c>
    </row>
    <row r="95" spans="1:43" ht="14.1" customHeight="1">
      <c r="A95" s="153">
        <v>27</v>
      </c>
      <c r="B95" s="203"/>
      <c r="C95" s="151" t="s">
        <v>386</v>
      </c>
      <c r="E95" s="151" t="s">
        <v>358</v>
      </c>
      <c r="L95" s="257" t="str">
        <f t="shared" si="10"/>
        <v>TBD</v>
      </c>
      <c r="M95" s="258" t="str">
        <f t="shared" si="11"/>
        <v/>
      </c>
      <c r="T95" s="189" t="s">
        <v>387</v>
      </c>
      <c r="AA95" s="291">
        <f>R206</f>
        <v>0</v>
      </c>
      <c r="AB95" s="201"/>
      <c r="AC95" s="291"/>
      <c r="AD95" s="280" t="str">
        <f>IF(R209="","",R209)</f>
        <v/>
      </c>
      <c r="AH95" s="286">
        <v>28</v>
      </c>
      <c r="AI95" s="287">
        <v>50</v>
      </c>
      <c r="AJ95" s="288">
        <v>0.5</v>
      </c>
      <c r="AK95" s="287" t="str">
        <f t="shared" si="12"/>
        <v/>
      </c>
      <c r="AL95" s="287" t="str">
        <f t="shared" si="13"/>
        <v/>
      </c>
      <c r="AM95" s="287"/>
      <c r="AN95" s="287"/>
      <c r="AO95" s="287"/>
      <c r="AP95" s="287"/>
      <c r="AQ95" s="289" t="str">
        <f>Tables!Y159</f>
        <v/>
      </c>
    </row>
    <row r="96" spans="1:43" ht="14.1" customHeight="1">
      <c r="A96" s="153">
        <v>28</v>
      </c>
      <c r="B96" s="203"/>
      <c r="C96" s="151" t="s">
        <v>388</v>
      </c>
      <c r="E96" s="151" t="s">
        <v>359</v>
      </c>
      <c r="L96" s="257" t="str">
        <f t="shared" si="10"/>
        <v>TBD</v>
      </c>
      <c r="M96" s="258" t="str">
        <f t="shared" si="11"/>
        <v/>
      </c>
      <c r="O96" s="198"/>
      <c r="P96" s="158"/>
      <c r="Q96" s="158"/>
      <c r="R96" s="158"/>
      <c r="S96" s="158"/>
      <c r="T96" s="158"/>
      <c r="U96" s="158"/>
      <c r="V96" s="158"/>
      <c r="W96" s="158"/>
      <c r="X96" s="158"/>
      <c r="Y96" s="159"/>
      <c r="AA96" s="291">
        <f>S206</f>
        <v>0</v>
      </c>
      <c r="AB96" s="201"/>
      <c r="AC96" s="291"/>
      <c r="AD96" s="280" t="str">
        <f>IF(S209="","",S209)</f>
        <v/>
      </c>
      <c r="AH96" s="286">
        <v>28</v>
      </c>
      <c r="AI96" s="287">
        <v>50</v>
      </c>
      <c r="AJ96" s="288">
        <v>0.5</v>
      </c>
      <c r="AK96" s="287" t="str">
        <f t="shared" si="12"/>
        <v/>
      </c>
      <c r="AL96" s="287" t="str">
        <f t="shared" si="13"/>
        <v/>
      </c>
      <c r="AM96" s="287"/>
      <c r="AN96" s="287"/>
      <c r="AO96" s="287"/>
      <c r="AP96" s="287"/>
      <c r="AQ96" s="289" t="str">
        <f>Tables!Y160</f>
        <v/>
      </c>
    </row>
    <row r="97" spans="1:43" ht="14.1" customHeight="1">
      <c r="A97" s="153">
        <v>29</v>
      </c>
      <c r="B97" s="203"/>
      <c r="C97" s="152"/>
      <c r="E97" s="151" t="s">
        <v>361</v>
      </c>
      <c r="L97" s="257" t="str">
        <f t="shared" si="10"/>
        <v>TBD</v>
      </c>
      <c r="M97" s="258" t="str">
        <f t="shared" si="11"/>
        <v/>
      </c>
      <c r="O97" s="232" t="s">
        <v>266</v>
      </c>
      <c r="P97" s="17" t="s">
        <v>267</v>
      </c>
      <c r="Q97" s="17"/>
      <c r="R97" s="17"/>
      <c r="S97" s="16" t="s">
        <v>268</v>
      </c>
      <c r="T97" s="16"/>
      <c r="U97" s="16"/>
      <c r="V97" s="17" t="s">
        <v>269</v>
      </c>
      <c r="W97" s="17"/>
      <c r="X97" s="17"/>
      <c r="Y97" s="167"/>
      <c r="AA97" s="291"/>
      <c r="AB97" s="291"/>
      <c r="AC97" s="291"/>
      <c r="AD97" s="291"/>
      <c r="AH97" s="286">
        <v>28</v>
      </c>
      <c r="AI97" s="287">
        <v>50</v>
      </c>
      <c r="AJ97" s="288">
        <v>0.6</v>
      </c>
      <c r="AK97" s="287" t="str">
        <f t="shared" si="12"/>
        <v/>
      </c>
      <c r="AL97" s="287" t="str">
        <f t="shared" si="13"/>
        <v/>
      </c>
      <c r="AM97" s="287"/>
      <c r="AN97" s="287"/>
      <c r="AO97" s="287"/>
      <c r="AP97" s="287"/>
      <c r="AQ97" s="289" t="str">
        <f>Tables!Y161</f>
        <v/>
      </c>
    </row>
    <row r="98" spans="1:43" ht="14.1" customHeight="1">
      <c r="A98" s="153">
        <v>30</v>
      </c>
      <c r="B98" s="203"/>
      <c r="E98" s="151" t="s">
        <v>364</v>
      </c>
      <c r="L98" s="257" t="str">
        <f t="shared" si="10"/>
        <v>TBD</v>
      </c>
      <c r="M98" s="258" t="str">
        <f t="shared" si="11"/>
        <v/>
      </c>
      <c r="O98" s="234" t="s">
        <v>271</v>
      </c>
      <c r="P98" s="17"/>
      <c r="Q98" s="17"/>
      <c r="R98" s="17"/>
      <c r="S98" s="16"/>
      <c r="T98" s="16"/>
      <c r="U98" s="16"/>
      <c r="V98" s="17"/>
      <c r="W98" s="17"/>
      <c r="X98" s="17"/>
      <c r="Y98" s="167"/>
      <c r="AA98" s="220" t="s">
        <v>389</v>
      </c>
      <c r="AH98" s="286">
        <v>28</v>
      </c>
      <c r="AI98" s="287">
        <v>50</v>
      </c>
      <c r="AJ98" s="288">
        <v>0.6</v>
      </c>
      <c r="AK98" s="287" t="str">
        <f t="shared" si="12"/>
        <v/>
      </c>
      <c r="AL98" s="287" t="str">
        <f t="shared" si="13"/>
        <v/>
      </c>
      <c r="AM98" s="287"/>
      <c r="AN98" s="287"/>
      <c r="AO98" s="287"/>
      <c r="AP98" s="287"/>
      <c r="AQ98" s="289" t="str">
        <f>Tables!Y162</f>
        <v/>
      </c>
    </row>
    <row r="99" spans="1:43" ht="14.1" customHeight="1">
      <c r="A99" s="153">
        <v>31</v>
      </c>
      <c r="B99" s="203"/>
      <c r="C99" s="151" t="s">
        <v>390</v>
      </c>
      <c r="E99" s="151" t="s">
        <v>367</v>
      </c>
      <c r="L99" s="257" t="str">
        <f t="shared" si="10"/>
        <v>TBD</v>
      </c>
      <c r="M99" s="258" t="str">
        <f t="shared" si="11"/>
        <v/>
      </c>
      <c r="O99" s="234" t="s">
        <v>272</v>
      </c>
      <c r="P99" s="235" t="s">
        <v>273</v>
      </c>
      <c r="Q99" s="236" t="s">
        <v>230</v>
      </c>
      <c r="R99" s="237" t="s">
        <v>274</v>
      </c>
      <c r="S99" s="235" t="s">
        <v>273</v>
      </c>
      <c r="T99" s="236" t="s">
        <v>230</v>
      </c>
      <c r="U99" s="237" t="s">
        <v>274</v>
      </c>
      <c r="V99" s="235" t="s">
        <v>273</v>
      </c>
      <c r="W99" s="236" t="s">
        <v>230</v>
      </c>
      <c r="X99" s="237" t="s">
        <v>274</v>
      </c>
      <c r="Y99" s="167"/>
      <c r="AA99" s="170" t="s">
        <v>391</v>
      </c>
      <c r="AB99" s="201"/>
      <c r="AD99" s="202">
        <f t="shared" ref="AD99:AD104" si="14">IF(Q410="","",Q410)</f>
        <v>0</v>
      </c>
      <c r="AH99" s="223">
        <v>30</v>
      </c>
      <c r="AI99" s="224">
        <v>50</v>
      </c>
      <c r="AJ99" s="225">
        <v>0</v>
      </c>
      <c r="AK99" s="224" t="str">
        <f t="shared" si="12"/>
        <v/>
      </c>
      <c r="AL99" s="224" t="str">
        <f t="shared" si="13"/>
        <v/>
      </c>
      <c r="AM99" s="224"/>
      <c r="AN99" s="224"/>
      <c r="AO99" s="224"/>
      <c r="AP99" s="224"/>
      <c r="AQ99" s="226" t="str">
        <f>Tables!Y163</f>
        <v/>
      </c>
    </row>
    <row r="100" spans="1:43" ht="14.1" customHeight="1">
      <c r="A100" s="153">
        <v>32</v>
      </c>
      <c r="B100" s="203"/>
      <c r="C100" s="151" t="s">
        <v>392</v>
      </c>
      <c r="E100" s="151" t="s">
        <v>371</v>
      </c>
      <c r="L100" s="257" t="str">
        <f t="shared" si="10"/>
        <v>NA</v>
      </c>
      <c r="M100" s="258" t="str">
        <f t="shared" si="11"/>
        <v/>
      </c>
      <c r="O100" s="238" t="s">
        <v>276</v>
      </c>
      <c r="P100" s="292" t="str">
        <f>IF(P108&lt;&gt;"",P108,IF(AB47="","",AB47))</f>
        <v/>
      </c>
      <c r="Q100" s="293" t="str">
        <f>IF(Q108&lt;&gt;"",Q108,IF(AB48="","",AB48))</f>
        <v/>
      </c>
      <c r="R100" s="294" t="str">
        <f>IF(R108&lt;&gt;"",R108,IF(AB49="","",AB49))</f>
        <v/>
      </c>
      <c r="S100" s="292" t="str">
        <f>IF(S108&lt;&gt;"",S108,IF(AB60="","",AB60))</f>
        <v/>
      </c>
      <c r="T100" s="293" t="str">
        <f>IF(T108&lt;&gt;"",T108,IF(AB61="","",AB61))</f>
        <v/>
      </c>
      <c r="U100" s="294" t="str">
        <f>IF(U108&lt;&gt;"",U108,IF(AB62="","",AB62))</f>
        <v/>
      </c>
      <c r="V100" s="292" t="str">
        <f>IF(V108&lt;&gt;"",V108,IF(AB73="","",AB73))</f>
        <v/>
      </c>
      <c r="W100" s="293" t="str">
        <f>IF(W108&lt;&gt;"",W108,IF(AB74="","",AB74))</f>
        <v/>
      </c>
      <c r="X100" s="294" t="str">
        <f>IF(X108&lt;&gt;"",X108,IF(AB75="","",AB75))</f>
        <v/>
      </c>
      <c r="Y100" s="167"/>
      <c r="AA100" s="170" t="s">
        <v>393</v>
      </c>
      <c r="AB100" s="201"/>
      <c r="AD100" s="202">
        <f t="shared" si="14"/>
        <v>0</v>
      </c>
      <c r="AH100" s="286">
        <v>30</v>
      </c>
      <c r="AI100" s="287">
        <v>50</v>
      </c>
      <c r="AJ100" s="288">
        <v>0</v>
      </c>
      <c r="AK100" s="287" t="str">
        <f t="shared" si="12"/>
        <v/>
      </c>
      <c r="AL100" s="287" t="str">
        <f t="shared" si="13"/>
        <v/>
      </c>
      <c r="AM100" s="287"/>
      <c r="AN100" s="287"/>
      <c r="AO100" s="287"/>
      <c r="AP100" s="287"/>
      <c r="AQ100" s="289" t="str">
        <f>Tables!Y164</f>
        <v/>
      </c>
    </row>
    <row r="101" spans="1:43" ht="14.1" customHeight="1">
      <c r="A101" s="153">
        <v>33</v>
      </c>
      <c r="B101" s="203"/>
      <c r="C101" s="151" t="s">
        <v>394</v>
      </c>
      <c r="E101" s="151" t="s">
        <v>395</v>
      </c>
      <c r="L101" s="257" t="str">
        <f t="shared" si="10"/>
        <v>NA</v>
      </c>
      <c r="M101" s="258" t="str">
        <f t="shared" si="11"/>
        <v/>
      </c>
      <c r="O101" s="243" t="s">
        <v>279</v>
      </c>
      <c r="P101" s="295" t="str">
        <f>IF(P109&lt;&gt;"",P109,IF(AB50="","",AB50))</f>
        <v/>
      </c>
      <c r="Q101" s="296" t="str">
        <f>IF(Q109&lt;&gt;"",Q109,IF(AB51="","",AB51))</f>
        <v/>
      </c>
      <c r="R101" s="297" t="str">
        <f>IF(R109&lt;&gt;"",R109,IF(AB52="","",AB52))</f>
        <v/>
      </c>
      <c r="S101" s="295" t="str">
        <f>IF(S109&lt;&gt;"",S109,IF(AB63="","",AB63))</f>
        <v/>
      </c>
      <c r="T101" s="296" t="str">
        <f>IF(T109&lt;&gt;"",T109,IF(AB64="","",AB64))</f>
        <v/>
      </c>
      <c r="U101" s="297" t="str">
        <f>IF(U109&lt;&gt;"",U109,IF(AB65="","",AB65))</f>
        <v/>
      </c>
      <c r="V101" s="295" t="str">
        <f>IF(V109&lt;&gt;"",V109,IF(AB76="","",AB76))</f>
        <v/>
      </c>
      <c r="W101" s="296" t="str">
        <f>IF(W109&lt;&gt;"",W109,IF(AB77="","",AB77))</f>
        <v/>
      </c>
      <c r="X101" s="297" t="str">
        <f>IF(X109&lt;&gt;"",X109,IF(AB78="","",AB78))</f>
        <v/>
      </c>
      <c r="Y101" s="167"/>
      <c r="AA101" s="170" t="s">
        <v>396</v>
      </c>
      <c r="AB101" s="201"/>
      <c r="AD101" s="202" t="str">
        <f t="shared" si="14"/>
        <v/>
      </c>
      <c r="AH101" s="286">
        <v>30</v>
      </c>
      <c r="AI101" s="287">
        <v>50</v>
      </c>
      <c r="AJ101" s="288">
        <v>0.4</v>
      </c>
      <c r="AK101" s="287" t="str">
        <f t="shared" si="12"/>
        <v/>
      </c>
      <c r="AL101" s="287" t="str">
        <f t="shared" si="13"/>
        <v/>
      </c>
      <c r="AM101" s="287"/>
      <c r="AN101" s="287"/>
      <c r="AO101" s="287"/>
      <c r="AP101" s="287"/>
      <c r="AQ101" s="289" t="str">
        <f>Tables!Y165</f>
        <v/>
      </c>
    </row>
    <row r="102" spans="1:43" ht="14.1" customHeight="1">
      <c r="A102" s="153">
        <v>34</v>
      </c>
      <c r="B102" s="203"/>
      <c r="C102" s="151" t="s">
        <v>397</v>
      </c>
      <c r="E102" s="151" t="s">
        <v>377</v>
      </c>
      <c r="L102" s="257" t="str">
        <f t="shared" si="10"/>
        <v>NA</v>
      </c>
      <c r="M102" s="258" t="str">
        <f t="shared" si="11"/>
        <v/>
      </c>
      <c r="O102" s="243" t="s">
        <v>282</v>
      </c>
      <c r="P102" s="295" t="str">
        <f>IF(P110&lt;&gt;"",P110,IF(AB53="","",AB53))</f>
        <v/>
      </c>
      <c r="Q102" s="296" t="str">
        <f>IF(Q110&lt;&gt;"",Q110,IF(AB54="","",AB54))</f>
        <v/>
      </c>
      <c r="R102" s="297" t="str">
        <f>IF(R110&lt;&gt;"",R110,IF(AB55="","",AB55))</f>
        <v/>
      </c>
      <c r="S102" s="295" t="str">
        <f>IF(S110&lt;&gt;"",S110,IF(AB66="","",AB66))</f>
        <v/>
      </c>
      <c r="T102" s="296" t="str">
        <f>IF(T110&lt;&gt;"",T110,IF(AB67="","",AB67))</f>
        <v/>
      </c>
      <c r="U102" s="297" t="str">
        <f>IF(U110&lt;&gt;"",U110,IF(AB68="","",AB68))</f>
        <v/>
      </c>
      <c r="V102" s="295" t="str">
        <f>IF(V110&lt;&gt;"",V110,IF(AB79="","",AB79))</f>
        <v/>
      </c>
      <c r="W102" s="296" t="str">
        <f>IF(W110&lt;&gt;"",W110,IF(AB80="","",AB80))</f>
        <v/>
      </c>
      <c r="X102" s="297" t="str">
        <f>IF(X110&lt;&gt;"",X110,IF(AB81="","",AB81))</f>
        <v/>
      </c>
      <c r="Y102" s="167"/>
      <c r="AA102" s="170" t="s">
        <v>398</v>
      </c>
      <c r="AB102" s="201"/>
      <c r="AD102" s="202" t="str">
        <f t="shared" si="14"/>
        <v/>
      </c>
      <c r="AH102" s="286">
        <v>30</v>
      </c>
      <c r="AI102" s="287">
        <v>50</v>
      </c>
      <c r="AJ102" s="288">
        <v>0.4</v>
      </c>
      <c r="AK102" s="287" t="str">
        <f t="shared" si="12"/>
        <v/>
      </c>
      <c r="AL102" s="287" t="str">
        <f t="shared" si="13"/>
        <v/>
      </c>
      <c r="AM102" s="287"/>
      <c r="AN102" s="287"/>
      <c r="AO102" s="287"/>
      <c r="AP102" s="287"/>
      <c r="AQ102" s="289" t="str">
        <f>Tables!Y166</f>
        <v/>
      </c>
    </row>
    <row r="103" spans="1:43" ht="14.1" customHeight="1">
      <c r="A103" s="153">
        <v>35</v>
      </c>
      <c r="B103" s="203"/>
      <c r="C103" s="151" t="s">
        <v>399</v>
      </c>
      <c r="E103" s="151" t="s">
        <v>380</v>
      </c>
      <c r="L103" s="257" t="str">
        <f t="shared" si="10"/>
        <v>TBD</v>
      </c>
      <c r="M103" s="258" t="str">
        <f t="shared" si="11"/>
        <v/>
      </c>
      <c r="O103" s="247" t="s">
        <v>285</v>
      </c>
      <c r="P103" s="298" t="str">
        <f>IF(P111&lt;&gt;"",P111,IF(AB56="","",AB56))</f>
        <v/>
      </c>
      <c r="Q103" s="299" t="str">
        <f>IF(Q111&lt;&gt;"",Q111,IF(AB57="","",AB57))</f>
        <v/>
      </c>
      <c r="R103" s="300" t="str">
        <f>IF(R111&lt;&gt;"",R111,IF(AB58="","",AB58))</f>
        <v/>
      </c>
      <c r="S103" s="298" t="str">
        <f>IF(S111&lt;&gt;"",S111,IF(AB69="","",AB69))</f>
        <v/>
      </c>
      <c r="T103" s="299" t="str">
        <f>IF(T111&lt;&gt;"",T111,IF(AB70="","",AB70))</f>
        <v/>
      </c>
      <c r="U103" s="300" t="str">
        <f>IF(U111&lt;&gt;"",U111,IF(AB71="","",AB71))</f>
        <v/>
      </c>
      <c r="V103" s="298" t="str">
        <f>IF(V111&lt;&gt;"",V111,IF(AB82="","",AB82))</f>
        <v/>
      </c>
      <c r="W103" s="299" t="str">
        <f>IF(W111&lt;&gt;"",W111,IF(AB83="","",AB83))</f>
        <v/>
      </c>
      <c r="X103" s="300" t="str">
        <f>IF(X111&lt;&gt;"",X111,IF(AB84="","",AB84))</f>
        <v/>
      </c>
      <c r="Y103" s="167"/>
      <c r="AA103" s="170" t="s">
        <v>400</v>
      </c>
      <c r="AB103" s="201"/>
      <c r="AD103" s="202" t="str">
        <f t="shared" si="14"/>
        <v/>
      </c>
      <c r="AH103" s="286">
        <v>30</v>
      </c>
      <c r="AI103" s="287">
        <v>50</v>
      </c>
      <c r="AJ103" s="288">
        <v>0.5</v>
      </c>
      <c r="AK103" s="287" t="str">
        <f t="shared" si="12"/>
        <v/>
      </c>
      <c r="AL103" s="287" t="str">
        <f t="shared" si="13"/>
        <v/>
      </c>
      <c r="AM103" s="287"/>
      <c r="AN103" s="287"/>
      <c r="AO103" s="287"/>
      <c r="AP103" s="287"/>
      <c r="AQ103" s="289" t="str">
        <f>Tables!Y167</f>
        <v/>
      </c>
    </row>
    <row r="104" spans="1:43" ht="14.1" customHeight="1">
      <c r="A104" s="153">
        <v>36</v>
      </c>
      <c r="B104" s="203"/>
      <c r="C104" s="151" t="s">
        <v>401</v>
      </c>
      <c r="E104" s="151" t="s">
        <v>383</v>
      </c>
      <c r="L104" s="257" t="str">
        <f t="shared" si="10"/>
        <v>TBD</v>
      </c>
      <c r="M104" s="258" t="str">
        <f t="shared" si="11"/>
        <v/>
      </c>
      <c r="O104" s="165"/>
      <c r="Y104" s="167"/>
      <c r="AA104" s="170" t="s">
        <v>402</v>
      </c>
      <c r="AB104" s="201"/>
      <c r="AD104" s="202" t="str">
        <f t="shared" si="14"/>
        <v/>
      </c>
      <c r="AH104" s="286">
        <v>30</v>
      </c>
      <c r="AI104" s="287">
        <v>50</v>
      </c>
      <c r="AJ104" s="288">
        <v>0.5</v>
      </c>
      <c r="AK104" s="287" t="str">
        <f t="shared" si="12"/>
        <v/>
      </c>
      <c r="AL104" s="287" t="str">
        <f t="shared" si="13"/>
        <v/>
      </c>
      <c r="AM104" s="287"/>
      <c r="AN104" s="287"/>
      <c r="AO104" s="287"/>
      <c r="AP104" s="287"/>
      <c r="AQ104" s="289" t="str">
        <f>Tables!Y168</f>
        <v/>
      </c>
    </row>
    <row r="105" spans="1:43" ht="14.1" customHeight="1">
      <c r="A105" s="153">
        <v>37</v>
      </c>
      <c r="B105" s="203"/>
      <c r="H105" s="189" t="s">
        <v>403</v>
      </c>
      <c r="M105" s="206"/>
      <c r="O105" s="232" t="s">
        <v>266</v>
      </c>
      <c r="P105" s="17" t="s">
        <v>267</v>
      </c>
      <c r="Q105" s="17"/>
      <c r="R105" s="17"/>
      <c r="S105" s="16" t="s">
        <v>268</v>
      </c>
      <c r="T105" s="16"/>
      <c r="U105" s="16"/>
      <c r="V105" s="17" t="s">
        <v>269</v>
      </c>
      <c r="W105" s="17"/>
      <c r="X105" s="17"/>
      <c r="Y105" s="167"/>
      <c r="AA105" s="170" t="s">
        <v>404</v>
      </c>
      <c r="AB105" s="201"/>
      <c r="AD105" s="202" t="str">
        <f>IF(U410="","",U410)</f>
        <v/>
      </c>
      <c r="AH105" s="286">
        <v>30</v>
      </c>
      <c r="AI105" s="287">
        <v>50</v>
      </c>
      <c r="AJ105" s="288">
        <v>0.6</v>
      </c>
      <c r="AK105" s="287" t="str">
        <f t="shared" si="12"/>
        <v/>
      </c>
      <c r="AL105" s="287" t="str">
        <f t="shared" si="13"/>
        <v/>
      </c>
      <c r="AM105" s="287"/>
      <c r="AN105" s="287"/>
      <c r="AO105" s="287"/>
      <c r="AP105" s="287"/>
      <c r="AQ105" s="289" t="str">
        <f>Tables!Y169</f>
        <v/>
      </c>
    </row>
    <row r="106" spans="1:43" ht="14.1" customHeight="1">
      <c r="A106" s="153">
        <v>38</v>
      </c>
      <c r="B106" s="203"/>
      <c r="C106" s="301" t="str">
        <f>IF(Q447="","",IF(LEN(Q447)&lt;=135,Q447,IF(LEN(Q447)&lt;=260,LEFT(Q447,SEARCH(" ",Q447,125)),LEFT(Q447,SEARCH(" ",Q447,130)))))</f>
        <v/>
      </c>
      <c r="D106" s="302"/>
      <c r="E106" s="302"/>
      <c r="F106" s="302"/>
      <c r="G106" s="302"/>
      <c r="H106" s="302"/>
      <c r="I106" s="302"/>
      <c r="J106" s="302"/>
      <c r="K106" s="302"/>
      <c r="L106" s="302"/>
      <c r="M106" s="206"/>
      <c r="O106" s="234" t="s">
        <v>271</v>
      </c>
      <c r="P106" s="17"/>
      <c r="Q106" s="17"/>
      <c r="R106" s="17"/>
      <c r="S106" s="16"/>
      <c r="T106" s="16"/>
      <c r="U106" s="16"/>
      <c r="V106" s="17"/>
      <c r="W106" s="17"/>
      <c r="X106" s="17"/>
      <c r="Y106" s="167"/>
      <c r="AA106" s="170" t="s">
        <v>405</v>
      </c>
      <c r="AB106" s="201"/>
      <c r="AD106" s="202" t="str">
        <f>IF(U411="","",U411)</f>
        <v/>
      </c>
      <c r="AH106" s="286">
        <v>30</v>
      </c>
      <c r="AI106" s="287">
        <v>50</v>
      </c>
      <c r="AJ106" s="288">
        <v>0.6</v>
      </c>
      <c r="AK106" s="287" t="str">
        <f t="shared" ref="AK106:AK130" si="15">IF($V$21="","",$V$21)</f>
        <v/>
      </c>
      <c r="AL106" s="287" t="str">
        <f t="shared" si="13"/>
        <v/>
      </c>
      <c r="AM106" s="287"/>
      <c r="AN106" s="287"/>
      <c r="AO106" s="287"/>
      <c r="AP106" s="287"/>
      <c r="AQ106" s="289" t="str">
        <f>Tables!Y170</f>
        <v/>
      </c>
    </row>
    <row r="107" spans="1:43" ht="14.1" customHeight="1">
      <c r="A107" s="153">
        <v>39</v>
      </c>
      <c r="B107" s="203"/>
      <c r="C107" s="303" t="str">
        <f>IF(LEN(Q447)&lt;=135,"",IF(LEN(Q447)&lt;=260,RIGHT(Q447,LEN(Q447)-SEARCH(" ",Q447,125)),MID(Q447,SEARCH(" ",Q447,130),IF(LEN(Q447)&lt;=265,LEN(Q447),SEARCH(" ",Q447,255)-SEARCH(" ",Q447,130)))))</f>
        <v/>
      </c>
      <c r="D107" s="304"/>
      <c r="E107" s="304"/>
      <c r="F107" s="304"/>
      <c r="G107" s="304"/>
      <c r="H107" s="304"/>
      <c r="I107" s="304"/>
      <c r="J107" s="304"/>
      <c r="K107" s="304"/>
      <c r="L107" s="304"/>
      <c r="M107" s="206"/>
      <c r="O107" s="234" t="s">
        <v>272</v>
      </c>
      <c r="P107" s="235" t="s">
        <v>273</v>
      </c>
      <c r="Q107" s="236" t="s">
        <v>230</v>
      </c>
      <c r="R107" s="237" t="s">
        <v>274</v>
      </c>
      <c r="S107" s="235" t="s">
        <v>273</v>
      </c>
      <c r="T107" s="236" t="s">
        <v>230</v>
      </c>
      <c r="U107" s="237" t="s">
        <v>274</v>
      </c>
      <c r="V107" s="235" t="s">
        <v>273</v>
      </c>
      <c r="W107" s="236" t="s">
        <v>230</v>
      </c>
      <c r="X107" s="237" t="s">
        <v>274</v>
      </c>
      <c r="Y107" s="167"/>
      <c r="AA107" s="170" t="s">
        <v>406</v>
      </c>
      <c r="AB107" s="201"/>
      <c r="AD107" s="202" t="str">
        <f>IF(U412="","",U412)</f>
        <v/>
      </c>
      <c r="AH107" s="223">
        <v>32</v>
      </c>
      <c r="AI107" s="224">
        <v>50</v>
      </c>
      <c r="AJ107" s="225">
        <v>0</v>
      </c>
      <c r="AK107" s="224" t="str">
        <f t="shared" si="15"/>
        <v/>
      </c>
      <c r="AL107" s="224" t="str">
        <f t="shared" si="13"/>
        <v/>
      </c>
      <c r="AM107" s="224"/>
      <c r="AN107" s="224"/>
      <c r="AO107" s="224"/>
      <c r="AP107" s="224"/>
      <c r="AQ107" s="226" t="str">
        <f>Tables!Y171</f>
        <v/>
      </c>
    </row>
    <row r="108" spans="1:43" ht="14.1" customHeight="1">
      <c r="A108" s="153">
        <v>40</v>
      </c>
      <c r="B108" s="203"/>
      <c r="C108" s="303" t="str">
        <f>IF(LEN(Q447)&lt;=265,"",RIGHT(Q447,LEN(Q447)-SEARCH(" ",Q447,255)))</f>
        <v/>
      </c>
      <c r="D108" s="304"/>
      <c r="E108" s="304"/>
      <c r="F108" s="304"/>
      <c r="G108" s="304"/>
      <c r="H108" s="304"/>
      <c r="I108" s="304"/>
      <c r="J108" s="304"/>
      <c r="K108" s="304"/>
      <c r="L108" s="304"/>
      <c r="M108" s="206"/>
      <c r="O108" s="238" t="s">
        <v>276</v>
      </c>
      <c r="P108" s="305"/>
      <c r="Q108" s="306"/>
      <c r="R108" s="307"/>
      <c r="S108" s="305"/>
      <c r="T108" s="306"/>
      <c r="U108" s="307"/>
      <c r="V108" s="305"/>
      <c r="W108" s="306"/>
      <c r="X108" s="307"/>
      <c r="Y108" s="167"/>
      <c r="AA108" s="220" t="s">
        <v>407</v>
      </c>
      <c r="AH108" s="286">
        <v>32</v>
      </c>
      <c r="AI108" s="287">
        <v>50</v>
      </c>
      <c r="AJ108" s="288">
        <v>0</v>
      </c>
      <c r="AK108" s="287" t="str">
        <f t="shared" si="15"/>
        <v/>
      </c>
      <c r="AL108" s="287" t="str">
        <f t="shared" si="13"/>
        <v/>
      </c>
      <c r="AM108" s="287"/>
      <c r="AN108" s="287"/>
      <c r="AO108" s="287"/>
      <c r="AP108" s="287"/>
      <c r="AQ108" s="289" t="str">
        <f>Tables!Y172</f>
        <v/>
      </c>
    </row>
    <row r="109" spans="1:43" ht="14.1" customHeight="1">
      <c r="A109" s="153">
        <v>41</v>
      </c>
      <c r="B109" s="203"/>
      <c r="C109" s="303" t="str">
        <f>IF(Q449="","",IF(LEN(Q449)&lt;=135,Q449,IF(LEN(Q449)&lt;=260,LEFT(Q449,SEARCH(" ",Q449,125)),LEFT(Q449,SEARCH(" ",Q449,130)))))</f>
        <v/>
      </c>
      <c r="D109" s="304"/>
      <c r="E109" s="304"/>
      <c r="F109" s="304"/>
      <c r="G109" s="304"/>
      <c r="H109" s="304"/>
      <c r="I109" s="304"/>
      <c r="J109" s="304"/>
      <c r="K109" s="304"/>
      <c r="L109" s="304"/>
      <c r="M109" s="206"/>
      <c r="O109" s="243" t="s">
        <v>279</v>
      </c>
      <c r="P109" s="308"/>
      <c r="Q109" s="309"/>
      <c r="R109" s="310"/>
      <c r="S109" s="308"/>
      <c r="T109" s="309"/>
      <c r="U109" s="310"/>
      <c r="V109" s="308"/>
      <c r="W109" s="309"/>
      <c r="X109" s="310"/>
      <c r="Y109" s="167"/>
      <c r="AA109" s="170" t="s">
        <v>408</v>
      </c>
      <c r="AB109" s="201"/>
      <c r="AD109" s="202">
        <f t="shared" ref="AD109:AD114" si="16">IF(P426="","",P426)</f>
        <v>0</v>
      </c>
      <c r="AH109" s="286">
        <v>32</v>
      </c>
      <c r="AI109" s="287">
        <v>50</v>
      </c>
      <c r="AJ109" s="288">
        <v>0.5</v>
      </c>
      <c r="AK109" s="287" t="str">
        <f t="shared" si="15"/>
        <v/>
      </c>
      <c r="AL109" s="287" t="str">
        <f t="shared" si="13"/>
        <v/>
      </c>
      <c r="AM109" s="287"/>
      <c r="AN109" s="287"/>
      <c r="AO109" s="287"/>
      <c r="AP109" s="287"/>
      <c r="AQ109" s="289" t="str">
        <f>Tables!Y173</f>
        <v/>
      </c>
    </row>
    <row r="110" spans="1:43" ht="14.1" customHeight="1">
      <c r="A110" s="153">
        <v>42</v>
      </c>
      <c r="B110" s="203"/>
      <c r="C110" s="303" t="str">
        <f>IF(LEN(Q449)&lt;=135,"",IF(LEN(Q449)&lt;=260,RIGHT(Q449,LEN(Q449)-SEARCH(" ",Q449,125)),MID(Q449,SEARCH(" ",Q449,130),IF(LEN(Q449)&lt;=265,LEN(Q449),SEARCH(" ",Q449,255)-SEARCH(" ",Q449,130)))))</f>
        <v/>
      </c>
      <c r="D110" s="304"/>
      <c r="E110" s="304"/>
      <c r="F110" s="304"/>
      <c r="G110" s="304"/>
      <c r="H110" s="304"/>
      <c r="I110" s="304"/>
      <c r="J110" s="304"/>
      <c r="K110" s="304"/>
      <c r="L110" s="304"/>
      <c r="M110" s="206"/>
      <c r="O110" s="243" t="s">
        <v>282</v>
      </c>
      <c r="P110" s="308"/>
      <c r="Q110" s="309"/>
      <c r="R110" s="310"/>
      <c r="S110" s="308"/>
      <c r="T110" s="309"/>
      <c r="U110" s="310"/>
      <c r="V110" s="308"/>
      <c r="W110" s="309"/>
      <c r="X110" s="310"/>
      <c r="Y110" s="167"/>
      <c r="AA110" s="170" t="s">
        <v>393</v>
      </c>
      <c r="AB110" s="201"/>
      <c r="AD110" s="202">
        <f t="shared" si="16"/>
        <v>0</v>
      </c>
      <c r="AH110" s="286">
        <v>32</v>
      </c>
      <c r="AI110" s="287">
        <v>50</v>
      </c>
      <c r="AJ110" s="288">
        <v>0.5</v>
      </c>
      <c r="AK110" s="287" t="str">
        <f t="shared" si="15"/>
        <v/>
      </c>
      <c r="AL110" s="287" t="str">
        <f t="shared" si="13"/>
        <v/>
      </c>
      <c r="AM110" s="287"/>
      <c r="AN110" s="287"/>
      <c r="AO110" s="287"/>
      <c r="AP110" s="287"/>
      <c r="AQ110" s="289" t="str">
        <f>Tables!Y174</f>
        <v/>
      </c>
    </row>
    <row r="111" spans="1:43" ht="14.1" customHeight="1">
      <c r="A111" s="153">
        <v>43</v>
      </c>
      <c r="B111" s="203"/>
      <c r="C111" s="303" t="str">
        <f>IF(LEN(Q449)&lt;=265,"",RIGHT(Q449,LEN(Q449)-SEARCH(" ",Q449,255)))</f>
        <v/>
      </c>
      <c r="D111" s="304"/>
      <c r="E111" s="304"/>
      <c r="F111" s="304"/>
      <c r="G111" s="304"/>
      <c r="H111" s="304"/>
      <c r="I111" s="304"/>
      <c r="J111" s="304"/>
      <c r="K111" s="304"/>
      <c r="L111" s="304"/>
      <c r="M111" s="206"/>
      <c r="O111" s="311" t="s">
        <v>285</v>
      </c>
      <c r="P111" s="312"/>
      <c r="Q111" s="313"/>
      <c r="R111" s="314"/>
      <c r="S111" s="312"/>
      <c r="T111" s="313"/>
      <c r="U111" s="314"/>
      <c r="V111" s="312"/>
      <c r="W111" s="313"/>
      <c r="X111" s="314"/>
      <c r="Y111" s="177"/>
      <c r="AA111" s="170" t="s">
        <v>409</v>
      </c>
      <c r="AB111" s="201"/>
      <c r="AD111" s="202">
        <f t="shared" si="16"/>
        <v>0</v>
      </c>
      <c r="AH111" s="286">
        <v>32</v>
      </c>
      <c r="AI111" s="287">
        <v>50</v>
      </c>
      <c r="AJ111" s="288">
        <v>0.6</v>
      </c>
      <c r="AK111" s="287" t="str">
        <f t="shared" si="15"/>
        <v/>
      </c>
      <c r="AL111" s="287" t="str">
        <f t="shared" si="13"/>
        <v/>
      </c>
      <c r="AM111" s="287"/>
      <c r="AN111" s="287"/>
      <c r="AO111" s="287"/>
      <c r="AP111" s="287"/>
      <c r="AQ111" s="289" t="str">
        <f>Tables!Y175</f>
        <v/>
      </c>
    </row>
    <row r="112" spans="1:43" ht="14.1" customHeight="1">
      <c r="A112" s="153">
        <v>44</v>
      </c>
      <c r="B112" s="203"/>
      <c r="C112" s="303" t="str">
        <f>IF(Q451="","",IF(LEN(Q451)&lt;=135,Q451,IF(LEN(Q451)&lt;=260,LEFT(Q451,SEARCH(" ",Q451,125)),LEFT(Q451,SEARCH(" ",Q451,130)))))</f>
        <v/>
      </c>
      <c r="D112" s="304"/>
      <c r="E112" s="304"/>
      <c r="F112" s="304"/>
      <c r="G112" s="304"/>
      <c r="H112" s="304"/>
      <c r="I112" s="304"/>
      <c r="J112" s="304"/>
      <c r="K112" s="304"/>
      <c r="L112" s="304"/>
      <c r="M112" s="206"/>
      <c r="O112" s="152"/>
      <c r="P112" s="152"/>
      <c r="Q112" s="152"/>
      <c r="R112" s="152"/>
      <c r="S112" s="152"/>
      <c r="T112" s="152"/>
      <c r="U112" s="152"/>
      <c r="V112" s="152"/>
      <c r="W112" s="152"/>
      <c r="X112" s="152"/>
      <c r="AA112" s="170" t="s">
        <v>404</v>
      </c>
      <c r="AB112" s="201"/>
      <c r="AD112" s="202" t="str">
        <f t="shared" si="16"/>
        <v/>
      </c>
      <c r="AH112" s="286">
        <v>32</v>
      </c>
      <c r="AI112" s="287">
        <v>50</v>
      </c>
      <c r="AJ112" s="288">
        <v>0.6</v>
      </c>
      <c r="AK112" s="287" t="str">
        <f t="shared" si="15"/>
        <v/>
      </c>
      <c r="AL112" s="287" t="str">
        <f t="shared" si="13"/>
        <v/>
      </c>
      <c r="AM112" s="287"/>
      <c r="AN112" s="287"/>
      <c r="AO112" s="287"/>
      <c r="AP112" s="287"/>
      <c r="AQ112" s="289" t="str">
        <f>Tables!Y176</f>
        <v/>
      </c>
    </row>
    <row r="113" spans="1:43" ht="14.1" customHeight="1">
      <c r="A113" s="153">
        <v>45</v>
      </c>
      <c r="B113" s="203"/>
      <c r="C113" s="303" t="str">
        <f>IF(LEN(Q451)&lt;=135,"",IF(LEN(Q451)&lt;=260,RIGHT(Q451,LEN(Q451)-SEARCH(" ",Q451,125)),MID(Q451,SEARCH(" ",Q451,130),IF(LEN(Q451)&lt;=265,LEN(Q451),SEARCH(" ",Q451,255)-SEARCH(" ",Q451,130)))))</f>
        <v/>
      </c>
      <c r="D113" s="304"/>
      <c r="E113" s="304"/>
      <c r="F113" s="304"/>
      <c r="G113" s="304"/>
      <c r="H113" s="304"/>
      <c r="I113" s="304"/>
      <c r="J113" s="304"/>
      <c r="K113" s="304"/>
      <c r="L113" s="304"/>
      <c r="M113" s="206"/>
      <c r="T113" s="189" t="s">
        <v>275</v>
      </c>
      <c r="AA113" s="170" t="s">
        <v>405</v>
      </c>
      <c r="AB113" s="201"/>
      <c r="AD113" s="202" t="str">
        <f t="shared" si="16"/>
        <v/>
      </c>
      <c r="AH113" s="286">
        <v>32</v>
      </c>
      <c r="AI113" s="287">
        <v>50</v>
      </c>
      <c r="AJ113" s="288">
        <v>0.7</v>
      </c>
      <c r="AK113" s="287" t="str">
        <f t="shared" si="15"/>
        <v/>
      </c>
      <c r="AL113" s="287" t="str">
        <f t="shared" si="13"/>
        <v/>
      </c>
      <c r="AM113" s="287"/>
      <c r="AN113" s="287"/>
      <c r="AO113" s="287"/>
      <c r="AP113" s="287"/>
      <c r="AQ113" s="289" t="str">
        <f>Tables!Y177</f>
        <v/>
      </c>
    </row>
    <row r="114" spans="1:43" ht="14.1" customHeight="1">
      <c r="A114" s="153">
        <v>46</v>
      </c>
      <c r="B114" s="203"/>
      <c r="C114" s="303" t="str">
        <f>IF(LEN(Q451)&lt;=265,"",RIGHT(Q451,LEN(Q451)-SEARCH(" ",Q451,255)))</f>
        <v/>
      </c>
      <c r="D114" s="304"/>
      <c r="E114" s="304"/>
      <c r="F114" s="304"/>
      <c r="G114" s="304"/>
      <c r="H114" s="304"/>
      <c r="I114" s="304"/>
      <c r="J114" s="304"/>
      <c r="K114" s="304"/>
      <c r="L114" s="304"/>
      <c r="M114" s="206"/>
      <c r="O114" s="315" t="s">
        <v>410</v>
      </c>
      <c r="P114" s="158"/>
      <c r="Q114" s="158"/>
      <c r="R114" s="158"/>
      <c r="S114" s="158"/>
      <c r="T114" s="158"/>
      <c r="U114" s="158"/>
      <c r="V114" s="158"/>
      <c r="W114" s="158"/>
      <c r="X114" s="158"/>
      <c r="Y114" s="159"/>
      <c r="AA114" s="170" t="s">
        <v>406</v>
      </c>
      <c r="AB114" s="201"/>
      <c r="AD114" s="202" t="str">
        <f t="shared" si="16"/>
        <v/>
      </c>
      <c r="AH114" s="286">
        <v>32</v>
      </c>
      <c r="AI114" s="287">
        <v>50</v>
      </c>
      <c r="AJ114" s="288">
        <v>0.7</v>
      </c>
      <c r="AK114" s="287" t="str">
        <f t="shared" si="15"/>
        <v/>
      </c>
      <c r="AL114" s="287" t="str">
        <f t="shared" si="13"/>
        <v/>
      </c>
      <c r="AM114" s="287"/>
      <c r="AN114" s="287"/>
      <c r="AO114" s="287"/>
      <c r="AP114" s="287"/>
      <c r="AQ114" s="289" t="str">
        <f>Tables!Y178</f>
        <v/>
      </c>
    </row>
    <row r="115" spans="1:43" ht="14.1" customHeight="1">
      <c r="A115" s="153">
        <v>47</v>
      </c>
      <c r="B115" s="203"/>
      <c r="C115" s="303" t="str">
        <f>IF(Q453="","",IF(LEN(Q453)&lt;=135,Q453,IF(LEN(Q453)&lt;=260,LEFT(Q453,SEARCH(" ",Q453,125)),LEFT(Q453,SEARCH(" ",Q453,130)))))</f>
        <v/>
      </c>
      <c r="D115" s="304"/>
      <c r="E115" s="304"/>
      <c r="F115" s="304"/>
      <c r="G115" s="304"/>
      <c r="H115" s="304"/>
      <c r="I115" s="304"/>
      <c r="J115" s="304"/>
      <c r="K115" s="304"/>
      <c r="L115" s="304"/>
      <c r="M115" s="206"/>
      <c r="O115" s="165"/>
      <c r="Q115" s="151" t="s">
        <v>411</v>
      </c>
      <c r="R115" s="151" t="s">
        <v>412</v>
      </c>
      <c r="S115" s="151" t="s">
        <v>413</v>
      </c>
      <c r="T115" s="151" t="s">
        <v>414</v>
      </c>
      <c r="Y115" s="167"/>
      <c r="AA115" s="170" t="s">
        <v>415</v>
      </c>
      <c r="AB115" s="201"/>
      <c r="AD115" s="202" t="str">
        <f t="shared" ref="AD115:AD120" si="17">IF(R426="","",R426)</f>
        <v/>
      </c>
      <c r="AH115" s="223">
        <v>34</v>
      </c>
      <c r="AI115" s="224">
        <v>50</v>
      </c>
      <c r="AJ115" s="225">
        <v>0</v>
      </c>
      <c r="AK115" s="224" t="str">
        <f t="shared" si="15"/>
        <v/>
      </c>
      <c r="AL115" s="224" t="str">
        <f t="shared" si="13"/>
        <v/>
      </c>
      <c r="AM115" s="224"/>
      <c r="AN115" s="224"/>
      <c r="AO115" s="224"/>
      <c r="AP115" s="224"/>
      <c r="AQ115" s="226" t="str">
        <f>Tables!Y179</f>
        <v/>
      </c>
    </row>
    <row r="116" spans="1:43" ht="14.1" customHeight="1">
      <c r="A116" s="153">
        <v>48</v>
      </c>
      <c r="B116" s="203"/>
      <c r="C116" s="303" t="str">
        <f>IF(LEN(Q453)&lt;=135,"",IF(LEN(Q453)&lt;=260,RIGHT(Q453,LEN(Q453)-SEARCH(" ",Q453,125)),MID(Q453,SEARCH(" ",Q453,130),IF(LEN(Q453)&lt;=265,LEN(Q453),SEARCH(" ",Q453,255)-SEARCH(" ",Q453,130)))))</f>
        <v/>
      </c>
      <c r="D116" s="304"/>
      <c r="E116" s="304"/>
      <c r="F116" s="304"/>
      <c r="G116" s="304"/>
      <c r="H116" s="304"/>
      <c r="I116" s="304"/>
      <c r="J116" s="304"/>
      <c r="K116" s="304"/>
      <c r="L116" s="304"/>
      <c r="M116" s="206"/>
      <c r="O116" s="165"/>
      <c r="P116" s="151" t="s">
        <v>416</v>
      </c>
      <c r="Q116" s="316"/>
      <c r="R116" s="316"/>
      <c r="S116" s="316"/>
      <c r="T116" s="316"/>
      <c r="Y116" s="167"/>
      <c r="AA116" s="170" t="s">
        <v>393</v>
      </c>
      <c r="AB116" s="201"/>
      <c r="AD116" s="202" t="str">
        <f t="shared" si="17"/>
        <v/>
      </c>
      <c r="AH116" s="286">
        <v>34</v>
      </c>
      <c r="AI116" s="287">
        <v>50</v>
      </c>
      <c r="AJ116" s="288">
        <v>0</v>
      </c>
      <c r="AK116" s="287" t="str">
        <f t="shared" si="15"/>
        <v/>
      </c>
      <c r="AL116" s="287" t="str">
        <f t="shared" si="13"/>
        <v/>
      </c>
      <c r="AM116" s="287"/>
      <c r="AN116" s="287"/>
      <c r="AO116" s="287"/>
      <c r="AP116" s="287"/>
      <c r="AQ116" s="289" t="str">
        <f>Tables!Y180</f>
        <v/>
      </c>
    </row>
    <row r="117" spans="1:43" ht="14.1" customHeight="1">
      <c r="A117" s="153">
        <v>49</v>
      </c>
      <c r="B117" s="203"/>
      <c r="C117" s="303" t="str">
        <f>IF(LEN(Q453)&lt;=265,"",RIGHT(Q453,LEN(Q453)-SEARCH(" ",Q453,255)))</f>
        <v/>
      </c>
      <c r="D117" s="304"/>
      <c r="E117" s="304"/>
      <c r="F117" s="304"/>
      <c r="G117" s="304"/>
      <c r="H117" s="304"/>
      <c r="I117" s="304"/>
      <c r="J117" s="304"/>
      <c r="K117" s="304"/>
      <c r="L117" s="304"/>
      <c r="M117" s="206"/>
      <c r="O117" s="165"/>
      <c r="P117" s="151" t="s">
        <v>417</v>
      </c>
      <c r="Q117" s="316"/>
      <c r="R117" s="316"/>
      <c r="S117" s="316"/>
      <c r="T117" s="316"/>
      <c r="Y117" s="167"/>
      <c r="AA117" s="170" t="s">
        <v>409</v>
      </c>
      <c r="AB117" s="201"/>
      <c r="AD117" s="202" t="str">
        <f t="shared" si="17"/>
        <v/>
      </c>
      <c r="AH117" s="286">
        <v>34</v>
      </c>
      <c r="AI117" s="287">
        <v>50</v>
      </c>
      <c r="AJ117" s="288">
        <v>0.5</v>
      </c>
      <c r="AK117" s="287" t="str">
        <f t="shared" si="15"/>
        <v/>
      </c>
      <c r="AL117" s="287" t="str">
        <f t="shared" si="13"/>
        <v/>
      </c>
      <c r="AM117" s="287"/>
      <c r="AN117" s="287"/>
      <c r="AO117" s="287"/>
      <c r="AP117" s="287"/>
      <c r="AQ117" s="289" t="str">
        <f>Tables!Y181</f>
        <v/>
      </c>
    </row>
    <row r="118" spans="1:43" ht="14.1" customHeight="1">
      <c r="A118" s="153">
        <v>50</v>
      </c>
      <c r="B118" s="203"/>
      <c r="C118" s="303" t="str">
        <f>IF(Q455="","",IF(LEN(Q455)&lt;=135,Q455,IF(LEN(Q455)&lt;=260,LEFT(Q455,SEARCH(" ",Q455,125)),LEFT(Q455,SEARCH(" ",Q455,130)))))</f>
        <v/>
      </c>
      <c r="D118" s="304"/>
      <c r="E118" s="304"/>
      <c r="F118" s="304"/>
      <c r="G118" s="304"/>
      <c r="H118" s="304"/>
      <c r="I118" s="304"/>
      <c r="J118" s="304"/>
      <c r="K118" s="304"/>
      <c r="L118" s="304"/>
      <c r="M118" s="206"/>
      <c r="O118" s="165"/>
      <c r="P118" s="162" t="s">
        <v>418</v>
      </c>
      <c r="Q118" s="162" t="s">
        <v>419</v>
      </c>
      <c r="Y118" s="167"/>
      <c r="AA118" s="170" t="s">
        <v>404</v>
      </c>
      <c r="AB118" s="201"/>
      <c r="AD118" s="202" t="str">
        <f t="shared" si="17"/>
        <v/>
      </c>
      <c r="AH118" s="286">
        <v>34</v>
      </c>
      <c r="AI118" s="287">
        <v>50</v>
      </c>
      <c r="AJ118" s="288">
        <v>0.5</v>
      </c>
      <c r="AK118" s="287" t="str">
        <f t="shared" si="15"/>
        <v/>
      </c>
      <c r="AL118" s="287" t="str">
        <f t="shared" si="13"/>
        <v/>
      </c>
      <c r="AM118" s="287"/>
      <c r="AN118" s="287"/>
      <c r="AO118" s="287"/>
      <c r="AP118" s="287"/>
      <c r="AQ118" s="289" t="str">
        <f>Tables!Y182</f>
        <v/>
      </c>
    </row>
    <row r="119" spans="1:43" ht="14.1" customHeight="1">
      <c r="A119" s="153">
        <v>51</v>
      </c>
      <c r="B119" s="203"/>
      <c r="C119" s="303" t="str">
        <f>IF(LEN(Q455)&lt;=135,"",IF(LEN(Q455)&lt;=260,RIGHT(Q455,LEN(Q455)-SEARCH(" ",Q455,125)),MID(Q455,SEARCH(" ",Q455,130),IF(LEN(Q455)&lt;=265,LEN(Q455),SEARCH(" ",Q455,255)-SEARCH(" ",Q455,130)))))</f>
        <v/>
      </c>
      <c r="D119" s="304"/>
      <c r="E119" s="304"/>
      <c r="F119" s="304"/>
      <c r="G119" s="304"/>
      <c r="H119" s="304"/>
      <c r="I119" s="304"/>
      <c r="J119" s="304"/>
      <c r="K119" s="304"/>
      <c r="L119" s="304"/>
      <c r="M119" s="206"/>
      <c r="O119" s="165"/>
      <c r="P119" s="162"/>
      <c r="Q119" s="162" t="s">
        <v>420</v>
      </c>
      <c r="Y119" s="167"/>
      <c r="AA119" s="170" t="s">
        <v>405</v>
      </c>
      <c r="AB119" s="201"/>
      <c r="AD119" s="202" t="str">
        <f t="shared" si="17"/>
        <v/>
      </c>
      <c r="AH119" s="286">
        <v>34</v>
      </c>
      <c r="AI119" s="287">
        <v>50</v>
      </c>
      <c r="AJ119" s="288">
        <v>0.6</v>
      </c>
      <c r="AK119" s="287" t="str">
        <f t="shared" si="15"/>
        <v/>
      </c>
      <c r="AL119" s="287" t="str">
        <f t="shared" si="13"/>
        <v/>
      </c>
      <c r="AM119" s="287"/>
      <c r="AN119" s="287"/>
      <c r="AO119" s="287"/>
      <c r="AP119" s="287"/>
      <c r="AQ119" s="289" t="str">
        <f>Tables!Y183</f>
        <v/>
      </c>
    </row>
    <row r="120" spans="1:43" ht="14.1" customHeight="1">
      <c r="A120" s="153">
        <v>52</v>
      </c>
      <c r="B120" s="203"/>
      <c r="C120" s="303" t="str">
        <f>IF(LEN(Q455)&lt;=265,"",RIGHT(Q455,LEN(Q455)-SEARCH(" ",Q455,255)))</f>
        <v/>
      </c>
      <c r="D120" s="304"/>
      <c r="E120" s="304"/>
      <c r="F120" s="304"/>
      <c r="G120" s="304"/>
      <c r="H120" s="304"/>
      <c r="I120" s="304"/>
      <c r="J120" s="304"/>
      <c r="K120" s="304"/>
      <c r="L120" s="304"/>
      <c r="M120" s="206"/>
      <c r="O120" s="165"/>
      <c r="Y120" s="167"/>
      <c r="AA120" s="170" t="s">
        <v>406</v>
      </c>
      <c r="AB120" s="201"/>
      <c r="AD120" s="202" t="str">
        <f t="shared" si="17"/>
        <v/>
      </c>
      <c r="AH120" s="286">
        <v>34</v>
      </c>
      <c r="AI120" s="287">
        <v>50</v>
      </c>
      <c r="AJ120" s="288">
        <v>0.6</v>
      </c>
      <c r="AK120" s="287" t="str">
        <f t="shared" si="15"/>
        <v/>
      </c>
      <c r="AL120" s="287" t="str">
        <f t="shared" si="13"/>
        <v/>
      </c>
      <c r="AM120" s="287"/>
      <c r="AN120" s="287"/>
      <c r="AO120" s="287"/>
      <c r="AP120" s="287"/>
      <c r="AQ120" s="289" t="str">
        <f>Tables!Y184</f>
        <v/>
      </c>
    </row>
    <row r="121" spans="1:43" ht="14.1" customHeight="1">
      <c r="A121" s="153">
        <v>53</v>
      </c>
      <c r="B121" s="203"/>
      <c r="C121" s="303" t="str">
        <f>IF(Q457="","",IF(LEN(Q457)&lt;=135,Q457,IF(LEN(Q457)&lt;=260,LEFT(Q457,SEARCH(" ",Q457,125)),LEFT(Q457,SEARCH(" ",Q457,130)))))</f>
        <v/>
      </c>
      <c r="D121" s="304"/>
      <c r="E121" s="304"/>
      <c r="F121" s="304"/>
      <c r="G121" s="304"/>
      <c r="H121" s="304"/>
      <c r="I121" s="304"/>
      <c r="J121" s="304"/>
      <c r="K121" s="304"/>
      <c r="L121" s="304"/>
      <c r="M121" s="206"/>
      <c r="O121" s="317" t="s">
        <v>98</v>
      </c>
      <c r="Y121" s="167"/>
      <c r="AA121" s="170" t="s">
        <v>421</v>
      </c>
      <c r="AB121" s="201"/>
      <c r="AD121" s="202" t="str">
        <f t="shared" ref="AD121:AD126" si="18">IF(T426="","",T426)</f>
        <v/>
      </c>
      <c r="AH121" s="286">
        <v>34</v>
      </c>
      <c r="AI121" s="287">
        <v>50</v>
      </c>
      <c r="AJ121" s="288">
        <v>0.7</v>
      </c>
      <c r="AK121" s="287" t="str">
        <f t="shared" si="15"/>
        <v/>
      </c>
      <c r="AL121" s="287" t="str">
        <f t="shared" si="13"/>
        <v/>
      </c>
      <c r="AM121" s="287"/>
      <c r="AN121" s="287"/>
      <c r="AO121" s="287"/>
      <c r="AP121" s="287"/>
      <c r="AQ121" s="289" t="str">
        <f>Tables!Y185</f>
        <v/>
      </c>
    </row>
    <row r="122" spans="1:43" ht="14.1" customHeight="1">
      <c r="A122" s="153">
        <v>54</v>
      </c>
      <c r="B122" s="203"/>
      <c r="C122" s="303" t="str">
        <f>IF(LEN(Q457)&lt;=135,"",IF(LEN(Q457)&lt;=260,RIGHT(Q457,LEN(Q457)-SEARCH(" ",Q457,125)),MID(Q457,SEARCH(" ",Q457,130),IF(LEN(Q457)&lt;=265,LEN(Q457),SEARCH(" ",Q457,255)-SEARCH(" ",Q457,130)))))</f>
        <v/>
      </c>
      <c r="D122" s="304"/>
      <c r="E122" s="304"/>
      <c r="F122" s="304"/>
      <c r="G122" s="304"/>
      <c r="H122" s="304"/>
      <c r="I122" s="304"/>
      <c r="J122" s="304"/>
      <c r="K122" s="304"/>
      <c r="L122" s="304"/>
      <c r="M122" s="206"/>
      <c r="O122" s="165"/>
      <c r="P122" s="151" t="s">
        <v>422</v>
      </c>
      <c r="Q122" s="150" t="s">
        <v>411</v>
      </c>
      <c r="R122" s="150" t="s">
        <v>423</v>
      </c>
      <c r="Y122" s="167"/>
      <c r="AA122" s="170" t="s">
        <v>393</v>
      </c>
      <c r="AB122" s="201"/>
      <c r="AD122" s="202" t="str">
        <f t="shared" si="18"/>
        <v/>
      </c>
      <c r="AH122" s="286">
        <v>34</v>
      </c>
      <c r="AI122" s="287">
        <v>50</v>
      </c>
      <c r="AJ122" s="288">
        <v>0.7</v>
      </c>
      <c r="AK122" s="287" t="str">
        <f t="shared" si="15"/>
        <v/>
      </c>
      <c r="AL122" s="287" t="str">
        <f t="shared" si="13"/>
        <v/>
      </c>
      <c r="AM122" s="287"/>
      <c r="AN122" s="287"/>
      <c r="AO122" s="287"/>
      <c r="AP122" s="287"/>
      <c r="AQ122" s="289" t="str">
        <f>Tables!Y186</f>
        <v/>
      </c>
    </row>
    <row r="123" spans="1:43" ht="14.1" customHeight="1">
      <c r="A123" s="153">
        <v>55</v>
      </c>
      <c r="B123" s="203"/>
      <c r="C123" s="303" t="str">
        <f>IF(LEN(Q457)&lt;=265,"",RIGHT(Q457,LEN(Q457)-SEARCH(" ",Q457,255)))</f>
        <v/>
      </c>
      <c r="D123" s="304"/>
      <c r="E123" s="304"/>
      <c r="F123" s="304"/>
      <c r="G123" s="304"/>
      <c r="H123" s="304"/>
      <c r="I123" s="304"/>
      <c r="J123" s="304"/>
      <c r="K123" s="304"/>
      <c r="L123" s="304"/>
      <c r="M123" s="206"/>
      <c r="O123" s="165"/>
      <c r="P123" s="150">
        <v>1</v>
      </c>
      <c r="Q123" s="318"/>
      <c r="R123" s="205" t="str">
        <f t="shared" ref="R123:R130" si="19">IF(Q123="","",ABS(Q123-P123))</f>
        <v/>
      </c>
      <c r="Y123" s="167"/>
      <c r="AA123" s="170" t="s">
        <v>409</v>
      </c>
      <c r="AB123" s="201"/>
      <c r="AD123" s="202" t="str">
        <f t="shared" si="18"/>
        <v/>
      </c>
      <c r="AH123" s="223">
        <v>38</v>
      </c>
      <c r="AI123" s="224">
        <v>50</v>
      </c>
      <c r="AJ123" s="225">
        <v>0</v>
      </c>
      <c r="AK123" s="224" t="str">
        <f t="shared" si="15"/>
        <v/>
      </c>
      <c r="AL123" s="224" t="str">
        <f t="shared" si="13"/>
        <v/>
      </c>
      <c r="AM123" s="224"/>
      <c r="AN123" s="224"/>
      <c r="AO123" s="224"/>
      <c r="AP123" s="224"/>
      <c r="AQ123" s="226" t="str">
        <f>Tables!Y187</f>
        <v/>
      </c>
    </row>
    <row r="124" spans="1:43" ht="14.1" customHeight="1">
      <c r="A124" s="153">
        <v>56</v>
      </c>
      <c r="B124" s="203"/>
      <c r="C124" s="303" t="str">
        <f>IF(Q459="","",IF(LEN(Q459)&lt;=135,Q459,IF(LEN(Q459)&lt;=260,LEFT(Q459,SEARCH(" ",Q459,125)),LEFT(Q459,SEARCH(" ",Q459,130)))))</f>
        <v/>
      </c>
      <c r="D124" s="304"/>
      <c r="E124" s="304"/>
      <c r="F124" s="304"/>
      <c r="G124" s="304"/>
      <c r="H124" s="304"/>
      <c r="I124" s="304"/>
      <c r="J124" s="304"/>
      <c r="K124" s="304"/>
      <c r="L124" s="304"/>
      <c r="M124" s="206"/>
      <c r="O124" s="165"/>
      <c r="P124" s="150">
        <v>2</v>
      </c>
      <c r="Q124" s="318"/>
      <c r="R124" s="205" t="str">
        <f t="shared" si="19"/>
        <v/>
      </c>
      <c r="Y124" s="167"/>
      <c r="AA124" s="170" t="s">
        <v>404</v>
      </c>
      <c r="AB124" s="201"/>
      <c r="AD124" s="202" t="str">
        <f t="shared" si="18"/>
        <v/>
      </c>
      <c r="AH124" s="286">
        <v>38</v>
      </c>
      <c r="AI124" s="287">
        <v>50</v>
      </c>
      <c r="AJ124" s="288">
        <v>0</v>
      </c>
      <c r="AK124" s="287" t="str">
        <f t="shared" si="15"/>
        <v/>
      </c>
      <c r="AL124" s="287" t="str">
        <f t="shared" si="13"/>
        <v/>
      </c>
      <c r="AM124" s="287"/>
      <c r="AN124" s="287"/>
      <c r="AO124" s="287"/>
      <c r="AP124" s="287"/>
      <c r="AQ124" s="289" t="str">
        <f>Tables!Y188</f>
        <v/>
      </c>
    </row>
    <row r="125" spans="1:43" ht="14.1" customHeight="1">
      <c r="A125" s="153">
        <v>57</v>
      </c>
      <c r="B125" s="203"/>
      <c r="C125" s="303" t="str">
        <f>IF(LEN(Q459)&lt;=135,"",IF(LEN(Q459)&lt;=260,RIGHT(Q459,LEN(Q459)-SEARCH(" ",Q459,125)),MID(Q459,SEARCH(" ",Q459,130),IF(LEN(Q459)&lt;=265,LEN(Q459),SEARCH(" ",Q459,255)-SEARCH(" ",Q459,130)))))</f>
        <v/>
      </c>
      <c r="D125" s="304"/>
      <c r="E125" s="304"/>
      <c r="F125" s="304"/>
      <c r="G125" s="304"/>
      <c r="H125" s="304"/>
      <c r="I125" s="304"/>
      <c r="J125" s="304"/>
      <c r="K125" s="304"/>
      <c r="L125" s="304"/>
      <c r="M125" s="206"/>
      <c r="O125" s="165"/>
      <c r="P125" s="150">
        <v>4</v>
      </c>
      <c r="Q125" s="318"/>
      <c r="R125" s="205" t="str">
        <f t="shared" si="19"/>
        <v/>
      </c>
      <c r="S125" s="170" t="s">
        <v>424</v>
      </c>
      <c r="T125" s="319" t="str">
        <f>IF(OR(Q125="",Q126="",Q127="",Q128=""),"",AVERAGE(Q125:Q128))</f>
        <v/>
      </c>
      <c r="Y125" s="167"/>
      <c r="AA125" s="170" t="s">
        <v>405</v>
      </c>
      <c r="AB125" s="201"/>
      <c r="AD125" s="202" t="str">
        <f t="shared" si="18"/>
        <v/>
      </c>
      <c r="AH125" s="286">
        <v>38</v>
      </c>
      <c r="AI125" s="287">
        <v>50</v>
      </c>
      <c r="AJ125" s="288">
        <v>0.6</v>
      </c>
      <c r="AK125" s="287" t="str">
        <f t="shared" si="15"/>
        <v/>
      </c>
      <c r="AL125" s="287" t="str">
        <f t="shared" si="13"/>
        <v/>
      </c>
      <c r="AM125" s="287"/>
      <c r="AN125" s="287"/>
      <c r="AO125" s="287"/>
      <c r="AP125" s="287"/>
      <c r="AQ125" s="289" t="str">
        <f>Tables!Y189</f>
        <v/>
      </c>
    </row>
    <row r="126" spans="1:43" ht="14.1" customHeight="1">
      <c r="A126" s="153">
        <v>58</v>
      </c>
      <c r="B126" s="203"/>
      <c r="C126" s="303" t="str">
        <f>IF(LEN(Q459)&lt;=265,"",RIGHT(Q459,LEN(Q459)-SEARCH(" ",Q459,255)))</f>
        <v/>
      </c>
      <c r="D126" s="304"/>
      <c r="E126" s="304"/>
      <c r="F126" s="304"/>
      <c r="G126" s="304"/>
      <c r="H126" s="304"/>
      <c r="I126" s="304"/>
      <c r="J126" s="304"/>
      <c r="K126" s="304"/>
      <c r="L126" s="304"/>
      <c r="M126" s="206"/>
      <c r="O126" s="165"/>
      <c r="P126" s="150">
        <v>4</v>
      </c>
      <c r="Q126" s="318"/>
      <c r="R126" s="205" t="str">
        <f t="shared" si="19"/>
        <v/>
      </c>
      <c r="S126" s="170" t="s">
        <v>425</v>
      </c>
      <c r="T126" s="320" t="str">
        <f>IF(OR(Q125="",Q126="",Q127="",Q128=""),"",STDEV(Q125:Q128))</f>
        <v/>
      </c>
      <c r="Y126" s="167"/>
      <c r="AA126" s="170" t="s">
        <v>406</v>
      </c>
      <c r="AB126" s="201"/>
      <c r="AD126" s="202" t="str">
        <f t="shared" si="18"/>
        <v/>
      </c>
      <c r="AH126" s="286">
        <v>38</v>
      </c>
      <c r="AI126" s="287">
        <v>50</v>
      </c>
      <c r="AJ126" s="288">
        <v>0.6</v>
      </c>
      <c r="AK126" s="287" t="str">
        <f t="shared" si="15"/>
        <v/>
      </c>
      <c r="AL126" s="287" t="str">
        <f t="shared" si="13"/>
        <v/>
      </c>
      <c r="AM126" s="287"/>
      <c r="AN126" s="287"/>
      <c r="AO126" s="287"/>
      <c r="AP126" s="287"/>
      <c r="AQ126" s="289" t="str">
        <f>Tables!Y190</f>
        <v/>
      </c>
    </row>
    <row r="127" spans="1:43" ht="14.1" customHeight="1">
      <c r="A127" s="153">
        <v>59</v>
      </c>
      <c r="B127" s="203"/>
      <c r="C127" s="303" t="str">
        <f>IF(Q461="","",IF(LEN(Q461)&lt;=135,Q461,IF(LEN(Q461)&lt;=260,LEFT(Q461,SEARCH(" ",Q461,125)),LEFT(Q461,SEARCH(" ",Q461,130)))))</f>
        <v/>
      </c>
      <c r="D127" s="304"/>
      <c r="E127" s="304"/>
      <c r="F127" s="304"/>
      <c r="G127" s="304"/>
      <c r="H127" s="304"/>
      <c r="I127" s="304"/>
      <c r="J127" s="304"/>
      <c r="K127" s="304"/>
      <c r="L127" s="304"/>
      <c r="M127" s="206"/>
      <c r="O127" s="165"/>
      <c r="P127" s="150">
        <v>4</v>
      </c>
      <c r="Q127" s="318"/>
      <c r="R127" s="205" t="str">
        <f t="shared" si="19"/>
        <v/>
      </c>
      <c r="Y127" s="167"/>
      <c r="AA127" s="97"/>
      <c r="AB127" s="97"/>
      <c r="AC127" s="97"/>
      <c r="AD127" s="97"/>
      <c r="AH127" s="286">
        <v>38</v>
      </c>
      <c r="AI127" s="287">
        <v>50</v>
      </c>
      <c r="AJ127" s="288">
        <v>0.7</v>
      </c>
      <c r="AK127" s="287" t="str">
        <f t="shared" si="15"/>
        <v/>
      </c>
      <c r="AL127" s="287" t="str">
        <f t="shared" si="13"/>
        <v/>
      </c>
      <c r="AM127" s="287"/>
      <c r="AN127" s="287"/>
      <c r="AO127" s="287"/>
      <c r="AP127" s="287"/>
      <c r="AQ127" s="289" t="str">
        <f>Tables!Y191</f>
        <v/>
      </c>
    </row>
    <row r="128" spans="1:43" ht="14.1" customHeight="1">
      <c r="A128" s="153">
        <v>60</v>
      </c>
      <c r="B128" s="203"/>
      <c r="C128" s="303" t="str">
        <f>IF(LEN(Q461)&lt;=135,"",IF(LEN(Q461)&lt;=260,RIGHT(Q461,LEN(Q461)-SEARCH(" ",Q461,125)),MID(Q461,SEARCH(" ",Q461,130),IF(LEN(Q461)&lt;=265,LEN(Q461),SEARCH(" ",Q461,255)-SEARCH(" ",Q461,130)))))</f>
        <v/>
      </c>
      <c r="D128" s="304"/>
      <c r="E128" s="304"/>
      <c r="F128" s="304"/>
      <c r="G128" s="304"/>
      <c r="H128" s="304"/>
      <c r="I128" s="304"/>
      <c r="J128" s="304"/>
      <c r="K128" s="304"/>
      <c r="L128" s="304"/>
      <c r="M128" s="206"/>
      <c r="O128" s="165"/>
      <c r="P128" s="150">
        <v>4</v>
      </c>
      <c r="Q128" s="318"/>
      <c r="R128" s="205" t="str">
        <f t="shared" si="19"/>
        <v/>
      </c>
      <c r="T128" s="271" t="s">
        <v>418</v>
      </c>
      <c r="U128" s="162" t="s">
        <v>426</v>
      </c>
      <c r="Y128" s="167"/>
      <c r="AA128" s="170" t="s">
        <v>427</v>
      </c>
      <c r="AB128" s="201"/>
      <c r="AD128" s="321" t="str">
        <f>IF(T441="","",T441)</f>
        <v/>
      </c>
      <c r="AH128" s="286">
        <v>38</v>
      </c>
      <c r="AI128" s="287">
        <v>50</v>
      </c>
      <c r="AJ128" s="288">
        <v>0.7</v>
      </c>
      <c r="AK128" s="287" t="str">
        <f t="shared" si="15"/>
        <v/>
      </c>
      <c r="AL128" s="287" t="str">
        <f t="shared" si="13"/>
        <v/>
      </c>
      <c r="AM128" s="287"/>
      <c r="AN128" s="287"/>
      <c r="AO128" s="287"/>
      <c r="AP128" s="287"/>
      <c r="AQ128" s="289" t="str">
        <f>Tables!Y192</f>
        <v/>
      </c>
    </row>
    <row r="129" spans="1:43" ht="14.1" customHeight="1">
      <c r="A129" s="153">
        <v>61</v>
      </c>
      <c r="B129" s="203"/>
      <c r="C129" s="303" t="str">
        <f>IF(LEN(Q461)&lt;=265,"",RIGHT(Q461,LEN(Q461)-SEARCH(" ",Q461,255)))</f>
        <v/>
      </c>
      <c r="D129" s="304"/>
      <c r="E129" s="304"/>
      <c r="F129" s="304"/>
      <c r="G129" s="304"/>
      <c r="H129" s="304"/>
      <c r="I129" s="304"/>
      <c r="J129" s="304"/>
      <c r="K129" s="304"/>
      <c r="L129" s="304"/>
      <c r="M129" s="206"/>
      <c r="O129" s="165"/>
      <c r="P129" s="150">
        <v>6</v>
      </c>
      <c r="Q129" s="318"/>
      <c r="R129" s="205" t="str">
        <f t="shared" si="19"/>
        <v/>
      </c>
      <c r="Y129" s="167"/>
      <c r="AA129" s="170" t="s">
        <v>428</v>
      </c>
      <c r="AB129" s="201"/>
      <c r="AD129" s="202" t="str">
        <f>IF(T442="","",T442)</f>
        <v/>
      </c>
      <c r="AH129" s="286">
        <v>38</v>
      </c>
      <c r="AI129" s="287">
        <v>50</v>
      </c>
      <c r="AJ129" s="288">
        <v>0.8</v>
      </c>
      <c r="AK129" s="287" t="str">
        <f t="shared" si="15"/>
        <v/>
      </c>
      <c r="AL129" s="287" t="str">
        <f t="shared" si="13"/>
        <v/>
      </c>
      <c r="AM129" s="287"/>
      <c r="AN129" s="287"/>
      <c r="AO129" s="287"/>
      <c r="AP129" s="287"/>
      <c r="AQ129" s="289" t="str">
        <f>Tables!Y193</f>
        <v/>
      </c>
    </row>
    <row r="130" spans="1:43" ht="14.1" customHeight="1">
      <c r="A130" s="153">
        <v>62</v>
      </c>
      <c r="B130" s="203"/>
      <c r="C130" s="303" t="str">
        <f>IF(Q463="","",IF(LEN(Q463)&lt;=135,Q463,IF(LEN(Q463)&lt;=260,LEFT(Q463,SEARCH(" ",Q463,125)),LEFT(Q463,SEARCH(" ",Q463,130)))))</f>
        <v/>
      </c>
      <c r="D130" s="304"/>
      <c r="E130" s="304"/>
      <c r="F130" s="304"/>
      <c r="G130" s="304"/>
      <c r="H130" s="304"/>
      <c r="I130" s="304"/>
      <c r="J130" s="304"/>
      <c r="K130" s="304"/>
      <c r="L130" s="304"/>
      <c r="M130" s="206"/>
      <c r="O130" s="165"/>
      <c r="P130" s="150">
        <v>8</v>
      </c>
      <c r="Q130" s="318"/>
      <c r="R130" s="205" t="str">
        <f t="shared" si="19"/>
        <v/>
      </c>
      <c r="Y130" s="167"/>
      <c r="AH130" s="322">
        <v>38</v>
      </c>
      <c r="AI130" s="323">
        <v>50</v>
      </c>
      <c r="AJ130" s="324">
        <v>0.8</v>
      </c>
      <c r="AK130" s="323" t="str">
        <f t="shared" si="15"/>
        <v/>
      </c>
      <c r="AL130" s="323" t="str">
        <f t="shared" si="13"/>
        <v/>
      </c>
      <c r="AM130" s="323"/>
      <c r="AN130" s="323"/>
      <c r="AO130" s="323"/>
      <c r="AP130" s="323"/>
      <c r="AQ130" s="325" t="str">
        <f>Tables!Y194</f>
        <v/>
      </c>
    </row>
    <row r="131" spans="1:43" ht="14.1" customHeight="1">
      <c r="A131" s="153">
        <v>63</v>
      </c>
      <c r="B131" s="203"/>
      <c r="C131" s="303" t="str">
        <f>IF(LEN(Q463)&lt;=135,"",IF(LEN(Q463)&lt;=260,RIGHT(Q463,LEN(Q463)-SEARCH(" ",Q463,125)),MID(Q463,SEARCH(" ",Q463,130),IF(LEN(Q463)&lt;=265,LEN(Q463),SEARCH(" ",Q463,255)-SEARCH(" ",Q463,130)))))</f>
        <v/>
      </c>
      <c r="D131" s="304"/>
      <c r="E131" s="304"/>
      <c r="F131" s="304"/>
      <c r="G131" s="304"/>
      <c r="H131" s="304"/>
      <c r="I131" s="304"/>
      <c r="J131" s="304"/>
      <c r="K131" s="304"/>
      <c r="L131" s="304"/>
      <c r="M131" s="206"/>
      <c r="O131" s="165"/>
      <c r="Y131" s="167"/>
      <c r="AA131" s="277" t="s">
        <v>429</v>
      </c>
      <c r="AB131" s="326"/>
      <c r="AC131" s="327" t="str">
        <f>IF(AB131&lt;&gt;AD131,"Change","")</f>
        <v/>
      </c>
      <c r="AD131" s="328" t="str">
        <f>IF(Q447="","",Q447)</f>
        <v/>
      </c>
    </row>
    <row r="132" spans="1:43" ht="14.1" customHeight="1">
      <c r="A132" s="153">
        <v>64</v>
      </c>
      <c r="B132" s="203"/>
      <c r="C132" s="329" t="str">
        <f>IF(LEN(Q463)&lt;=265,"",RIGHT(Q463,LEN(Q463)-SEARCH(" ",Q463,255)))</f>
        <v/>
      </c>
      <c r="D132" s="330"/>
      <c r="E132" s="330"/>
      <c r="F132" s="330"/>
      <c r="G132" s="330"/>
      <c r="H132" s="330"/>
      <c r="I132" s="330"/>
      <c r="J132" s="330"/>
      <c r="K132" s="330"/>
      <c r="L132" s="330"/>
      <c r="M132" s="206"/>
      <c r="O132" s="231"/>
      <c r="P132" s="151" t="s">
        <v>430</v>
      </c>
      <c r="S132" s="331" t="str">
        <f>IF(R123="","",IF(OR(R123&gt;0.5,R124&gt;0.5,R125&gt;0.5,R126&gt;0.5,R127&gt;0.5,R128&gt;0.5,R129&gt;0.5,R130&gt;0.5),"Fail","Pass"))</f>
        <v/>
      </c>
      <c r="T132" s="171" t="s">
        <v>431</v>
      </c>
      <c r="Y132" s="167"/>
      <c r="AA132" s="271"/>
      <c r="AB132" s="332"/>
      <c r="AC132" s="152"/>
      <c r="AD132" s="332"/>
    </row>
    <row r="133" spans="1:43" ht="14.1" customHeight="1">
      <c r="A133" s="153">
        <v>65</v>
      </c>
      <c r="B133" s="203"/>
      <c r="C133" s="97"/>
      <c r="D133" s="97"/>
      <c r="E133" s="97"/>
      <c r="F133" s="97"/>
      <c r="G133" s="97"/>
      <c r="H133" s="97"/>
      <c r="I133" s="97"/>
      <c r="J133" s="97"/>
      <c r="K133" s="97"/>
      <c r="L133" s="97"/>
      <c r="M133" s="206"/>
      <c r="O133" s="231"/>
      <c r="P133" s="151" t="s">
        <v>432</v>
      </c>
      <c r="Y133" s="167"/>
      <c r="AA133" s="271"/>
      <c r="AB133" s="326"/>
      <c r="AC133" s="327" t="str">
        <f>IF(AB133&lt;&gt;AD133,"Change","")</f>
        <v/>
      </c>
      <c r="AD133" s="328" t="str">
        <f>IF(Q449="","",Q449)</f>
        <v/>
      </c>
    </row>
    <row r="134" spans="1:43" ht="14.1" customHeight="1">
      <c r="A134" s="153">
        <v>66</v>
      </c>
      <c r="B134" s="228"/>
      <c r="C134" s="333"/>
      <c r="D134" s="173"/>
      <c r="E134" s="173"/>
      <c r="F134" s="173"/>
      <c r="G134" s="173"/>
      <c r="H134" s="173"/>
      <c r="I134" s="173"/>
      <c r="J134" s="173"/>
      <c r="K134" s="173"/>
      <c r="L134" s="173"/>
      <c r="M134" s="230"/>
      <c r="O134" s="165"/>
      <c r="Y134" s="167"/>
      <c r="AA134" s="271"/>
      <c r="AB134" s="332"/>
      <c r="AC134" s="152"/>
      <c r="AD134" s="332"/>
    </row>
    <row r="135" spans="1:43" ht="14.1" customHeight="1">
      <c r="A135" s="153">
        <v>67</v>
      </c>
      <c r="C135" s="271" t="s">
        <v>217</v>
      </c>
      <c r="D135" s="272" t="str">
        <f>IF($P$7="","",$P$7)</f>
        <v/>
      </c>
      <c r="E135" s="162"/>
      <c r="F135" s="162"/>
      <c r="G135" s="162"/>
      <c r="H135" s="162"/>
      <c r="I135" s="162"/>
      <c r="J135" s="162"/>
      <c r="K135" s="162"/>
      <c r="L135" s="271" t="s">
        <v>218</v>
      </c>
      <c r="M135" s="273" t="str">
        <f>IF($X$7="","",$X$7)</f>
        <v>Eugene Mah</v>
      </c>
      <c r="O135" s="317" t="s">
        <v>90</v>
      </c>
      <c r="Y135" s="167"/>
      <c r="AA135" s="271"/>
      <c r="AB135" s="326"/>
      <c r="AC135" s="327" t="str">
        <f>IF(AB135&lt;&gt;AD135,"Change","")</f>
        <v/>
      </c>
      <c r="AD135" s="328" t="str">
        <f>IF(Q451="","",Q451)</f>
        <v/>
      </c>
    </row>
    <row r="136" spans="1:43" ht="14.1" customHeight="1">
      <c r="A136" s="153">
        <v>68</v>
      </c>
      <c r="C136" s="271" t="s">
        <v>324</v>
      </c>
      <c r="D136" s="274" t="str">
        <f>IF($R$14="","",$R$14)</f>
        <v/>
      </c>
      <c r="E136" s="162"/>
      <c r="F136" s="162"/>
      <c r="G136" s="162"/>
      <c r="H136" s="162"/>
      <c r="I136" s="162"/>
      <c r="J136" s="162"/>
      <c r="K136" s="162"/>
      <c r="L136" s="271" t="s">
        <v>241</v>
      </c>
      <c r="M136" s="275" t="str">
        <f>IF($R$13="","",$R$13)</f>
        <v/>
      </c>
      <c r="O136" s="165"/>
      <c r="P136" s="170" t="s">
        <v>254</v>
      </c>
      <c r="Q136" s="316"/>
      <c r="R136" s="316"/>
      <c r="S136" s="316"/>
      <c r="T136" s="316"/>
      <c r="U136" s="316"/>
      <c r="V136" s="316"/>
      <c r="Y136" s="167"/>
      <c r="AA136" s="271"/>
      <c r="AB136" s="332"/>
      <c r="AC136" s="162"/>
      <c r="AD136" s="332"/>
    </row>
    <row r="137" spans="1:43" ht="14.1" customHeight="1">
      <c r="A137" s="153">
        <v>1</v>
      </c>
      <c r="M137" s="276" t="str">
        <f>$H$2</f>
        <v>Medical University of South Carolina</v>
      </c>
      <c r="O137" s="165"/>
      <c r="P137" s="170" t="s">
        <v>256</v>
      </c>
      <c r="Q137" s="316"/>
      <c r="R137" s="316"/>
      <c r="S137" s="316"/>
      <c r="T137" s="316"/>
      <c r="U137" s="316"/>
      <c r="V137" s="316"/>
      <c r="Y137" s="167"/>
      <c r="AA137" s="271"/>
      <c r="AB137" s="326"/>
      <c r="AC137" s="327" t="str">
        <f>IF(AB137&lt;&gt;AD137,"Change","")</f>
        <v/>
      </c>
      <c r="AD137" s="328" t="str">
        <f>IF(Q453="","",Q453)</f>
        <v/>
      </c>
    </row>
    <row r="138" spans="1:43" ht="14.1" customHeight="1">
      <c r="A138" s="153">
        <v>2</v>
      </c>
      <c r="H138" s="186" t="s">
        <v>275</v>
      </c>
      <c r="M138" s="277" t="str">
        <f>$H$5</f>
        <v>Mammography System Compliance Inspection</v>
      </c>
      <c r="O138" s="165"/>
      <c r="P138" s="170" t="s">
        <v>433</v>
      </c>
      <c r="Q138" s="316"/>
      <c r="R138" s="316"/>
      <c r="S138" s="316"/>
      <c r="T138" s="316"/>
      <c r="U138" s="316"/>
      <c r="V138" s="316"/>
      <c r="Y138" s="167"/>
      <c r="AA138" s="271"/>
      <c r="AB138" s="332"/>
      <c r="AC138" s="162"/>
      <c r="AD138" s="332"/>
    </row>
    <row r="139" spans="1:43" ht="14.1" customHeight="1">
      <c r="A139" s="153">
        <v>3</v>
      </c>
      <c r="B139" s="194"/>
      <c r="C139" s="196" t="s">
        <v>410</v>
      </c>
      <c r="D139" s="195"/>
      <c r="E139" s="195"/>
      <c r="F139" s="195"/>
      <c r="G139" s="195"/>
      <c r="H139" s="195"/>
      <c r="I139" s="195"/>
      <c r="J139" s="195"/>
      <c r="K139" s="195"/>
      <c r="L139" s="195"/>
      <c r="M139" s="197"/>
      <c r="O139" s="165"/>
      <c r="P139" s="170" t="s">
        <v>391</v>
      </c>
      <c r="Q139" s="334"/>
      <c r="R139" s="334"/>
      <c r="S139" s="334"/>
      <c r="T139" s="334"/>
      <c r="U139" s="334"/>
      <c r="V139" s="334"/>
      <c r="Y139" s="167"/>
      <c r="AA139" s="271"/>
      <c r="AB139" s="326"/>
      <c r="AC139" s="327" t="str">
        <f>IF(AB139&lt;&gt;AD139,"Change","")</f>
        <v/>
      </c>
      <c r="AD139" s="328" t="str">
        <f>IF(Q455="","",Q455)</f>
        <v/>
      </c>
    </row>
    <row r="140" spans="1:43" ht="14.1" customHeight="1">
      <c r="A140" s="153">
        <v>4</v>
      </c>
      <c r="B140" s="203"/>
      <c r="E140" s="150" t="s">
        <v>411</v>
      </c>
      <c r="F140" s="150" t="s">
        <v>412</v>
      </c>
      <c r="G140" s="150" t="s">
        <v>413</v>
      </c>
      <c r="H140" s="150" t="s">
        <v>414</v>
      </c>
      <c r="M140" s="206"/>
      <c r="O140" s="165"/>
      <c r="P140" s="170" t="s">
        <v>434</v>
      </c>
      <c r="Q140" s="334"/>
      <c r="R140" s="334"/>
      <c r="S140" s="334"/>
      <c r="T140" s="334"/>
      <c r="U140" s="334"/>
      <c r="V140" s="334"/>
      <c r="Y140" s="167"/>
      <c r="AA140" s="271"/>
      <c r="AB140" s="332"/>
      <c r="AC140" s="162"/>
      <c r="AD140" s="332"/>
    </row>
    <row r="141" spans="1:43" ht="14.1" customHeight="1">
      <c r="A141" s="153">
        <v>5</v>
      </c>
      <c r="B141" s="203"/>
      <c r="D141" s="151" t="s">
        <v>416</v>
      </c>
      <c r="E141" s="252" t="str">
        <f t="shared" ref="E141:H142" si="20">IF(Q116="","",Q116)</f>
        <v/>
      </c>
      <c r="F141" s="252" t="str">
        <f t="shared" si="20"/>
        <v/>
      </c>
      <c r="G141" s="252" t="str">
        <f t="shared" si="20"/>
        <v/>
      </c>
      <c r="H141" s="252" t="str">
        <f t="shared" si="20"/>
        <v/>
      </c>
      <c r="M141" s="206"/>
      <c r="O141" s="165"/>
      <c r="P141" s="170" t="s">
        <v>435</v>
      </c>
      <c r="Q141" s="334"/>
      <c r="R141" s="334"/>
      <c r="S141" s="334"/>
      <c r="T141" s="334"/>
      <c r="U141" s="334"/>
      <c r="V141" s="334"/>
      <c r="Y141" s="167"/>
      <c r="AA141" s="271"/>
      <c r="AB141" s="326"/>
      <c r="AC141" s="327" t="str">
        <f>IF(AB141&lt;&gt;AD141,"Change","")</f>
        <v/>
      </c>
      <c r="AD141" s="328" t="str">
        <f>IF(Q457="","",Q457)</f>
        <v/>
      </c>
    </row>
    <row r="142" spans="1:43" ht="14.1" customHeight="1">
      <c r="A142" s="153">
        <v>6</v>
      </c>
      <c r="B142" s="203"/>
      <c r="D142" s="151" t="s">
        <v>417</v>
      </c>
      <c r="E142" s="252" t="str">
        <f t="shared" si="20"/>
        <v/>
      </c>
      <c r="F142" s="252" t="str">
        <f t="shared" si="20"/>
        <v/>
      </c>
      <c r="G142" s="252" t="str">
        <f t="shared" si="20"/>
        <v/>
      </c>
      <c r="H142" s="252" t="str">
        <f t="shared" si="20"/>
        <v/>
      </c>
      <c r="J142" s="170" t="s">
        <v>436</v>
      </c>
      <c r="K142" s="335" t="str">
        <f>IF(OR(F141="",F142=""),"",IF(AND(F141&gt;=25,F142&lt;=45),"Pass","Fail"))</f>
        <v/>
      </c>
      <c r="M142" s="206"/>
      <c r="O142" s="165"/>
      <c r="P142" s="170" t="s">
        <v>436</v>
      </c>
      <c r="Q142" s="334"/>
      <c r="R142" s="334"/>
      <c r="S142" s="334"/>
      <c r="T142" s="334"/>
      <c r="U142" s="334"/>
      <c r="V142" s="334"/>
      <c r="Y142" s="167"/>
      <c r="AA142" s="271"/>
      <c r="AB142" s="332"/>
      <c r="AC142" s="162"/>
      <c r="AD142" s="332"/>
    </row>
    <row r="143" spans="1:43" ht="14.1" customHeight="1">
      <c r="A143" s="153">
        <v>7</v>
      </c>
      <c r="B143" s="203"/>
      <c r="D143" s="277" t="s">
        <v>418</v>
      </c>
      <c r="E143" s="162" t="s">
        <v>419</v>
      </c>
      <c r="M143" s="206"/>
      <c r="O143" s="165"/>
      <c r="P143" s="97"/>
      <c r="Q143" s="97"/>
      <c r="R143" s="97"/>
      <c r="S143" s="97"/>
      <c r="T143" s="97"/>
      <c r="U143" s="97"/>
      <c r="V143" s="97"/>
      <c r="Y143" s="167"/>
      <c r="AA143" s="271"/>
      <c r="AB143" s="326"/>
      <c r="AC143" s="327" t="str">
        <f>IF(AB143&lt;&gt;AD143,"Change","")</f>
        <v/>
      </c>
      <c r="AD143" s="328" t="str">
        <f>IF(Q459="","",Q459)</f>
        <v/>
      </c>
    </row>
    <row r="144" spans="1:43" ht="14.1" customHeight="1">
      <c r="A144" s="153">
        <v>8</v>
      </c>
      <c r="B144" s="203"/>
      <c r="D144" s="162"/>
      <c r="E144" s="162" t="s">
        <v>420</v>
      </c>
      <c r="M144" s="206"/>
      <c r="O144" s="165"/>
      <c r="Y144" s="167"/>
      <c r="AA144" s="271"/>
      <c r="AB144" s="332"/>
      <c r="AC144" s="162"/>
      <c r="AD144" s="332"/>
    </row>
    <row r="145" spans="1:30" ht="14.1" customHeight="1">
      <c r="A145" s="153">
        <v>9</v>
      </c>
      <c r="B145" s="203"/>
      <c r="M145" s="206"/>
      <c r="O145" s="165"/>
      <c r="P145" s="271" t="s">
        <v>437</v>
      </c>
      <c r="Q145" s="336" t="str">
        <f>IF(Q147&lt;&gt;"",Q147,IF(AB190="","",AB190))</f>
        <v/>
      </c>
      <c r="R145" s="337"/>
      <c r="S145" s="337"/>
      <c r="T145" s="337"/>
      <c r="U145" s="337"/>
      <c r="V145" s="337"/>
      <c r="W145" s="337"/>
      <c r="X145" s="337"/>
      <c r="Y145" s="167"/>
      <c r="AA145" s="271"/>
      <c r="AB145" s="326"/>
      <c r="AC145" s="327" t="str">
        <f>IF(AB145&lt;&gt;AD145,"Change","")</f>
        <v/>
      </c>
      <c r="AD145" s="328" t="str">
        <f>IF(Q461="","",Q461)</f>
        <v/>
      </c>
    </row>
    <row r="146" spans="1:30" ht="14.1" customHeight="1">
      <c r="A146" s="153">
        <v>10</v>
      </c>
      <c r="B146" s="203"/>
      <c r="C146" s="338" t="s">
        <v>98</v>
      </c>
      <c r="M146" s="206"/>
      <c r="O146" s="165"/>
      <c r="P146" s="339" t="s">
        <v>438</v>
      </c>
      <c r="Q146" s="340"/>
      <c r="R146" s="341"/>
      <c r="S146" s="341"/>
      <c r="T146" s="341"/>
      <c r="U146" s="341"/>
      <c r="V146" s="341"/>
      <c r="W146" s="341"/>
      <c r="X146" s="341"/>
      <c r="Y146" s="167"/>
      <c r="AA146" s="271"/>
      <c r="AB146" s="332"/>
      <c r="AC146" s="162"/>
      <c r="AD146" s="342"/>
    </row>
    <row r="147" spans="1:30" ht="14.1" customHeight="1">
      <c r="A147" s="153">
        <v>11</v>
      </c>
      <c r="B147" s="203"/>
      <c r="D147" s="151" t="s">
        <v>422</v>
      </c>
      <c r="E147" s="150" t="s">
        <v>411</v>
      </c>
      <c r="F147" s="150" t="s">
        <v>423</v>
      </c>
      <c r="I147" s="152"/>
      <c r="J147" s="170" t="s">
        <v>439</v>
      </c>
      <c r="K147" s="343" t="str">
        <f>IF(O132="","",IF(O132=1,"YES",IF(O132=3,"NA","")))</f>
        <v/>
      </c>
      <c r="L147" s="344" t="str">
        <f>IF(O132=2,"NO","")</f>
        <v/>
      </c>
      <c r="M147" s="206"/>
      <c r="O147" s="165"/>
      <c r="P147" s="271" t="s">
        <v>440</v>
      </c>
      <c r="Q147" s="345"/>
      <c r="R147" s="341"/>
      <c r="S147" s="341"/>
      <c r="T147" s="341"/>
      <c r="U147" s="341"/>
      <c r="V147" s="341"/>
      <c r="W147" s="341"/>
      <c r="X147" s="341"/>
      <c r="Y147" s="167"/>
      <c r="AA147" s="271"/>
      <c r="AB147" s="326"/>
      <c r="AC147" s="327" t="str">
        <f>IF(AB147&lt;&gt;AD147,"Change","")</f>
        <v/>
      </c>
      <c r="AD147" s="328" t="str">
        <f>IF(Q463="","",Q463)</f>
        <v/>
      </c>
    </row>
    <row r="148" spans="1:30" ht="14.1" customHeight="1">
      <c r="A148" s="153">
        <v>12</v>
      </c>
      <c r="B148" s="203"/>
      <c r="D148" s="150">
        <v>1</v>
      </c>
      <c r="E148" s="346" t="str">
        <f t="shared" ref="E148:F155" si="21">IF(Q123="","",Q123)</f>
        <v/>
      </c>
      <c r="F148" s="224" t="str">
        <f t="shared" si="21"/>
        <v/>
      </c>
      <c r="I148" s="152"/>
      <c r="J148" s="170" t="s">
        <v>441</v>
      </c>
      <c r="K148" s="343" t="str">
        <f>IF(O133="","",IF(O133=1,"YES",IF(O133=3,"NA","")))</f>
        <v/>
      </c>
      <c r="L148" s="344" t="str">
        <f>IF(O133=2,"NO","")</f>
        <v/>
      </c>
      <c r="M148" s="206"/>
      <c r="O148" s="175"/>
      <c r="P148" s="176"/>
      <c r="Q148" s="176"/>
      <c r="R148" s="176"/>
      <c r="S148" s="176"/>
      <c r="T148" s="176"/>
      <c r="U148" s="176"/>
      <c r="V148" s="176"/>
      <c r="W148" s="176"/>
      <c r="X148" s="176"/>
      <c r="Y148" s="177"/>
    </row>
    <row r="149" spans="1:30" ht="14.1" customHeight="1">
      <c r="A149" s="153">
        <v>13</v>
      </c>
      <c r="B149" s="203"/>
      <c r="D149" s="150">
        <v>2</v>
      </c>
      <c r="E149" s="346" t="str">
        <f t="shared" si="21"/>
        <v/>
      </c>
      <c r="F149" s="224" t="str">
        <f t="shared" si="21"/>
        <v/>
      </c>
      <c r="J149" s="170" t="s">
        <v>431</v>
      </c>
      <c r="K149" s="343" t="str">
        <f>IF(S132="","",S132)</f>
        <v/>
      </c>
      <c r="M149" s="206"/>
      <c r="O149" s="315" t="s">
        <v>442</v>
      </c>
      <c r="P149" s="158"/>
      <c r="Q149" s="158"/>
      <c r="R149" s="347"/>
      <c r="S149" s="199" t="s">
        <v>277</v>
      </c>
      <c r="T149" s="158"/>
      <c r="U149" s="158"/>
      <c r="V149" s="158"/>
      <c r="W149" s="158"/>
      <c r="X149" s="158"/>
      <c r="Y149" s="159"/>
    </row>
    <row r="150" spans="1:30" ht="14.1" customHeight="1">
      <c r="A150" s="153">
        <v>14</v>
      </c>
      <c r="B150" s="203"/>
      <c r="D150" s="150">
        <v>4</v>
      </c>
      <c r="E150" s="346" t="str">
        <f t="shared" si="21"/>
        <v/>
      </c>
      <c r="F150" s="224" t="str">
        <f t="shared" si="21"/>
        <v/>
      </c>
      <c r="G150" s="170" t="s">
        <v>424</v>
      </c>
      <c r="H150" s="319" t="str">
        <f>IF(T125="","",T125)</f>
        <v/>
      </c>
      <c r="M150" s="206"/>
      <c r="O150" s="165"/>
      <c r="P150" s="668" t="s">
        <v>443</v>
      </c>
      <c r="Q150" s="668"/>
      <c r="R150" s="668"/>
      <c r="S150" s="668"/>
      <c r="T150" s="349"/>
      <c r="U150" s="668" t="s">
        <v>444</v>
      </c>
      <c r="V150" s="668"/>
      <c r="Y150" s="167"/>
    </row>
    <row r="151" spans="1:30" ht="14.1" customHeight="1">
      <c r="A151" s="153">
        <v>15</v>
      </c>
      <c r="B151" s="203"/>
      <c r="D151" s="150">
        <v>4</v>
      </c>
      <c r="E151" s="346" t="str">
        <f t="shared" si="21"/>
        <v/>
      </c>
      <c r="F151" s="224" t="str">
        <f t="shared" si="21"/>
        <v/>
      </c>
      <c r="G151" s="170" t="s">
        <v>425</v>
      </c>
      <c r="H151" s="320" t="str">
        <f>IF(T126="","",T126)</f>
        <v/>
      </c>
      <c r="M151" s="206"/>
      <c r="O151" s="165"/>
      <c r="P151" s="350" t="s">
        <v>445</v>
      </c>
      <c r="Q151" s="350" t="s">
        <v>446</v>
      </c>
      <c r="R151" s="350" t="s">
        <v>447</v>
      </c>
      <c r="S151" s="351" t="s">
        <v>448</v>
      </c>
      <c r="T151" s="349"/>
      <c r="U151" s="669" t="s">
        <v>449</v>
      </c>
      <c r="V151" s="669"/>
      <c r="Y151" s="167"/>
    </row>
    <row r="152" spans="1:30" ht="14.1" customHeight="1">
      <c r="A152" s="153">
        <v>16</v>
      </c>
      <c r="B152" s="203"/>
      <c r="D152" s="150">
        <v>4</v>
      </c>
      <c r="E152" s="346" t="str">
        <f t="shared" si="21"/>
        <v/>
      </c>
      <c r="F152" s="224" t="str">
        <f t="shared" si="21"/>
        <v/>
      </c>
      <c r="G152" s="271" t="s">
        <v>418</v>
      </c>
      <c r="H152" s="162" t="s">
        <v>426</v>
      </c>
      <c r="M152" s="206"/>
      <c r="O152" s="165"/>
      <c r="P152" s="352"/>
      <c r="Q152" s="352"/>
      <c r="R152" s="352"/>
      <c r="S152" s="353"/>
      <c r="T152" s="349"/>
      <c r="U152" s="670" t="str">
        <f>IF(OR(R149=2,R149=3),"NA",IF(OR(P152="",Q152="",R152="",S152=""),"",AVERAGE(P152:S152)))</f>
        <v/>
      </c>
      <c r="V152" s="670"/>
      <c r="X152" s="170" t="s">
        <v>436</v>
      </c>
      <c r="Y152" s="354" t="str">
        <f>IF(U152="","",IF(U152&gt;=160,"Pass","Fail"))</f>
        <v/>
      </c>
    </row>
    <row r="153" spans="1:30" ht="14.1" customHeight="1">
      <c r="A153" s="153">
        <v>17</v>
      </c>
      <c r="B153" s="203"/>
      <c r="D153" s="150">
        <v>4</v>
      </c>
      <c r="E153" s="346" t="str">
        <f t="shared" si="21"/>
        <v/>
      </c>
      <c r="F153" s="224" t="str">
        <f t="shared" si="21"/>
        <v/>
      </c>
      <c r="M153" s="206"/>
      <c r="O153" s="165"/>
      <c r="Y153" s="167"/>
    </row>
    <row r="154" spans="1:30" ht="14.1" customHeight="1">
      <c r="A154" s="153">
        <v>18</v>
      </c>
      <c r="B154" s="203"/>
      <c r="D154" s="150">
        <v>6</v>
      </c>
      <c r="E154" s="346" t="str">
        <f t="shared" si="21"/>
        <v/>
      </c>
      <c r="F154" s="224" t="str">
        <f t="shared" si="21"/>
        <v/>
      </c>
      <c r="M154" s="206"/>
      <c r="O154" s="317" t="s">
        <v>450</v>
      </c>
      <c r="Y154" s="167"/>
    </row>
    <row r="155" spans="1:30" ht="14.1" customHeight="1">
      <c r="A155" s="153">
        <v>19</v>
      </c>
      <c r="B155" s="203"/>
      <c r="D155" s="150">
        <v>8</v>
      </c>
      <c r="E155" s="346" t="str">
        <f t="shared" si="21"/>
        <v/>
      </c>
      <c r="F155" s="224" t="str">
        <f t="shared" si="21"/>
        <v/>
      </c>
      <c r="M155" s="206"/>
      <c r="O155" s="355" t="s">
        <v>451</v>
      </c>
      <c r="P155" s="356">
        <f>IF($O$34=1,70,65)</f>
        <v>65</v>
      </c>
      <c r="U155" s="97"/>
      <c r="V155" s="97"/>
      <c r="W155" s="97"/>
      <c r="X155" s="97"/>
      <c r="Y155" s="357"/>
    </row>
    <row r="156" spans="1:30" ht="14.1" customHeight="1">
      <c r="A156" s="153">
        <v>20</v>
      </c>
      <c r="B156" s="358"/>
      <c r="C156" s="176"/>
      <c r="D156" s="176"/>
      <c r="E156" s="176"/>
      <c r="F156" s="176"/>
      <c r="G156" s="176"/>
      <c r="H156" s="176"/>
      <c r="I156" s="176"/>
      <c r="J156" s="176"/>
      <c r="K156" s="176"/>
      <c r="L156" s="176"/>
      <c r="M156" s="359"/>
      <c r="O156" s="165"/>
      <c r="P156" s="671" t="s">
        <v>452</v>
      </c>
      <c r="Q156" s="672" t="s">
        <v>453</v>
      </c>
      <c r="R156" s="672"/>
      <c r="S156" s="672"/>
      <c r="T156" s="360" t="s">
        <v>453</v>
      </c>
      <c r="U156" s="673" t="s">
        <v>454</v>
      </c>
      <c r="V156" s="97"/>
      <c r="W156" s="97"/>
      <c r="X156" s="97"/>
      <c r="Y156" s="357"/>
    </row>
    <row r="157" spans="1:30" ht="14.1" customHeight="1">
      <c r="A157" s="153">
        <v>21</v>
      </c>
      <c r="B157" s="203"/>
      <c r="C157" s="338" t="s">
        <v>90</v>
      </c>
      <c r="M157" s="206"/>
      <c r="O157" s="165"/>
      <c r="P157" s="671" t="s">
        <v>452</v>
      </c>
      <c r="Q157" s="360" t="s">
        <v>455</v>
      </c>
      <c r="R157" s="361" t="s">
        <v>456</v>
      </c>
      <c r="S157" s="361" t="s">
        <v>457</v>
      </c>
      <c r="T157" s="360" t="s">
        <v>458</v>
      </c>
      <c r="U157" s="673" t="s">
        <v>452</v>
      </c>
      <c r="V157" s="97"/>
      <c r="W157" s="97"/>
      <c r="X157" s="97"/>
      <c r="Y157" s="357"/>
    </row>
    <row r="158" spans="1:30" ht="14.1" customHeight="1">
      <c r="A158" s="153">
        <v>22</v>
      </c>
      <c r="B158" s="203"/>
      <c r="D158" s="170" t="s">
        <v>459</v>
      </c>
      <c r="E158" s="224" t="str">
        <f t="shared" ref="E158:J158" si="22">IF(Q136="","",Q136)</f>
        <v/>
      </c>
      <c r="F158" s="252" t="str">
        <f t="shared" si="22"/>
        <v/>
      </c>
      <c r="G158" s="252" t="str">
        <f t="shared" si="22"/>
        <v/>
      </c>
      <c r="H158" s="252" t="str">
        <f t="shared" si="22"/>
        <v/>
      </c>
      <c r="I158" s="252" t="str">
        <f t="shared" si="22"/>
        <v/>
      </c>
      <c r="J158" s="252" t="str">
        <f t="shared" si="22"/>
        <v/>
      </c>
      <c r="M158" s="206"/>
      <c r="O158" s="355" t="s">
        <v>460</v>
      </c>
      <c r="P158" s="362"/>
      <c r="Q158" s="363"/>
      <c r="R158" s="363"/>
      <c r="S158" s="364"/>
      <c r="T158" s="364"/>
      <c r="U158" s="365"/>
      <c r="V158" s="97"/>
      <c r="W158" s="97"/>
      <c r="X158" s="97"/>
      <c r="Y158" s="357"/>
    </row>
    <row r="159" spans="1:30" ht="14.1" customHeight="1">
      <c r="A159" s="153">
        <v>23</v>
      </c>
      <c r="B159" s="203"/>
      <c r="D159" s="170" t="s">
        <v>254</v>
      </c>
      <c r="E159" s="252" t="str">
        <f t="shared" ref="E159:J165" si="23">IF(Q136="","",Q136)</f>
        <v/>
      </c>
      <c r="F159" s="252" t="str">
        <f t="shared" si="23"/>
        <v/>
      </c>
      <c r="G159" s="252" t="str">
        <f t="shared" si="23"/>
        <v/>
      </c>
      <c r="H159" s="252" t="str">
        <f t="shared" si="23"/>
        <v/>
      </c>
      <c r="I159" s="252" t="str">
        <f t="shared" si="23"/>
        <v/>
      </c>
      <c r="J159" s="252" t="str">
        <f t="shared" si="23"/>
        <v/>
      </c>
      <c r="M159" s="206"/>
      <c r="O159" s="355" t="s">
        <v>461</v>
      </c>
      <c r="P159" s="366"/>
      <c r="Q159" s="367"/>
      <c r="R159" s="367"/>
      <c r="S159" s="368"/>
      <c r="T159" s="368"/>
      <c r="U159" s="369"/>
      <c r="V159" s="97"/>
      <c r="W159" s="97"/>
      <c r="X159" s="97"/>
      <c r="Y159" s="357"/>
    </row>
    <row r="160" spans="1:30" ht="14.1" customHeight="1">
      <c r="A160" s="153">
        <v>24</v>
      </c>
      <c r="B160" s="203"/>
      <c r="D160" s="170" t="s">
        <v>256</v>
      </c>
      <c r="E160" s="252" t="str">
        <f t="shared" si="23"/>
        <v/>
      </c>
      <c r="F160" s="252" t="str">
        <f t="shared" si="23"/>
        <v/>
      </c>
      <c r="G160" s="252" t="str">
        <f t="shared" si="23"/>
        <v/>
      </c>
      <c r="H160" s="252" t="str">
        <f t="shared" si="23"/>
        <v/>
      </c>
      <c r="I160" s="252" t="str">
        <f t="shared" si="23"/>
        <v/>
      </c>
      <c r="J160" s="252" t="str">
        <f t="shared" si="23"/>
        <v/>
      </c>
      <c r="M160" s="206"/>
      <c r="O160" s="355" t="s">
        <v>462</v>
      </c>
      <c r="P160" s="366"/>
      <c r="Q160" s="367"/>
      <c r="R160" s="367"/>
      <c r="S160" s="370"/>
      <c r="T160" s="370"/>
      <c r="U160" s="369"/>
      <c r="V160" s="97"/>
      <c r="W160" s="97"/>
      <c r="X160" s="97"/>
      <c r="Y160" s="357"/>
    </row>
    <row r="161" spans="1:25" ht="14.1" customHeight="1">
      <c r="A161" s="153">
        <v>25</v>
      </c>
      <c r="B161" s="203"/>
      <c r="D161" s="170" t="s">
        <v>433</v>
      </c>
      <c r="E161" s="252" t="str">
        <f t="shared" si="23"/>
        <v/>
      </c>
      <c r="F161" s="252" t="str">
        <f t="shared" si="23"/>
        <v/>
      </c>
      <c r="G161" s="252" t="str">
        <f t="shared" si="23"/>
        <v/>
      </c>
      <c r="H161" s="252" t="str">
        <f t="shared" si="23"/>
        <v/>
      </c>
      <c r="I161" s="252" t="str">
        <f t="shared" si="23"/>
        <v/>
      </c>
      <c r="J161" s="252" t="str">
        <f t="shared" si="23"/>
        <v/>
      </c>
      <c r="M161" s="206"/>
      <c r="O161" s="355" t="s">
        <v>463</v>
      </c>
      <c r="P161" s="371"/>
      <c r="Q161" s="372"/>
      <c r="R161" s="372"/>
      <c r="S161" s="373"/>
      <c r="T161" s="373"/>
      <c r="U161" s="374"/>
      <c r="V161" s="97"/>
      <c r="W161" s="97"/>
      <c r="X161" s="97"/>
      <c r="Y161" s="357"/>
    </row>
    <row r="162" spans="1:25" ht="14.1" customHeight="1">
      <c r="A162" s="153">
        <v>26</v>
      </c>
      <c r="B162" s="203"/>
      <c r="D162" s="170" t="s">
        <v>391</v>
      </c>
      <c r="E162" s="346" t="str">
        <f t="shared" si="23"/>
        <v/>
      </c>
      <c r="F162" s="346" t="str">
        <f t="shared" si="23"/>
        <v/>
      </c>
      <c r="G162" s="346" t="str">
        <f t="shared" si="23"/>
        <v/>
      </c>
      <c r="H162" s="346" t="str">
        <f t="shared" si="23"/>
        <v/>
      </c>
      <c r="I162" s="346" t="str">
        <f t="shared" si="23"/>
        <v/>
      </c>
      <c r="J162" s="346" t="str">
        <f t="shared" si="23"/>
        <v/>
      </c>
      <c r="M162" s="206"/>
      <c r="O162" s="165"/>
      <c r="Q162" s="162" t="s">
        <v>464</v>
      </c>
      <c r="T162" s="97"/>
      <c r="U162" s="97"/>
      <c r="V162" s="97"/>
      <c r="W162" s="97"/>
      <c r="X162" s="97"/>
      <c r="Y162" s="357"/>
    </row>
    <row r="163" spans="1:25" ht="14.1" customHeight="1">
      <c r="A163" s="153">
        <v>27</v>
      </c>
      <c r="B163" s="203"/>
      <c r="D163" s="170" t="s">
        <v>434</v>
      </c>
      <c r="E163" s="346" t="str">
        <f t="shared" si="23"/>
        <v/>
      </c>
      <c r="F163" s="346" t="str">
        <f t="shared" si="23"/>
        <v/>
      </c>
      <c r="G163" s="346" t="str">
        <f t="shared" si="23"/>
        <v/>
      </c>
      <c r="H163" s="346" t="str">
        <f t="shared" si="23"/>
        <v/>
      </c>
      <c r="I163" s="346" t="str">
        <f t="shared" si="23"/>
        <v/>
      </c>
      <c r="J163" s="346" t="str">
        <f t="shared" si="23"/>
        <v/>
      </c>
      <c r="M163" s="206"/>
      <c r="O163" s="165"/>
      <c r="T163" s="97"/>
      <c r="U163" s="97"/>
      <c r="V163" s="97"/>
      <c r="W163" s="97"/>
      <c r="X163" s="97"/>
      <c r="Y163" s="357"/>
    </row>
    <row r="164" spans="1:25" ht="14.1" customHeight="1">
      <c r="A164" s="153">
        <v>28</v>
      </c>
      <c r="B164" s="203"/>
      <c r="D164" s="170" t="s">
        <v>435</v>
      </c>
      <c r="E164" s="346" t="str">
        <f t="shared" si="23"/>
        <v/>
      </c>
      <c r="F164" s="346" t="str">
        <f t="shared" si="23"/>
        <v/>
      </c>
      <c r="G164" s="346" t="str">
        <f t="shared" si="23"/>
        <v/>
      </c>
      <c r="H164" s="346" t="str">
        <f t="shared" si="23"/>
        <v/>
      </c>
      <c r="I164" s="346" t="str">
        <f t="shared" si="23"/>
        <v/>
      </c>
      <c r="J164" s="346" t="str">
        <f t="shared" si="23"/>
        <v/>
      </c>
      <c r="M164" s="206"/>
      <c r="O164" s="375"/>
      <c r="P164" s="671" t="s">
        <v>465</v>
      </c>
      <c r="Q164" s="671"/>
      <c r="R164" s="671"/>
      <c r="S164" s="671"/>
      <c r="T164" s="671"/>
      <c r="U164" s="671"/>
      <c r="V164" s="97"/>
      <c r="W164" s="97"/>
      <c r="X164" s="97"/>
      <c r="Y164" s="357"/>
    </row>
    <row r="165" spans="1:25" ht="14.1" customHeight="1">
      <c r="A165" s="153">
        <v>29</v>
      </c>
      <c r="B165" s="203"/>
      <c r="D165" s="170" t="s">
        <v>436</v>
      </c>
      <c r="E165" s="346" t="str">
        <f t="shared" si="23"/>
        <v/>
      </c>
      <c r="F165" s="346" t="str">
        <f t="shared" si="23"/>
        <v/>
      </c>
      <c r="G165" s="346" t="str">
        <f t="shared" si="23"/>
        <v/>
      </c>
      <c r="H165" s="346" t="str">
        <f t="shared" si="23"/>
        <v/>
      </c>
      <c r="I165" s="346" t="str">
        <f t="shared" si="23"/>
        <v/>
      </c>
      <c r="J165" s="346" t="str">
        <f t="shared" si="23"/>
        <v/>
      </c>
      <c r="M165" s="206"/>
      <c r="O165" s="375"/>
      <c r="P165" s="671" t="s">
        <v>452</v>
      </c>
      <c r="Q165" s="674" t="s">
        <v>453</v>
      </c>
      <c r="R165" s="674"/>
      <c r="S165" s="674"/>
      <c r="T165" s="361" t="s">
        <v>453</v>
      </c>
      <c r="U165" s="673" t="s">
        <v>454</v>
      </c>
      <c r="V165" s="97"/>
      <c r="W165" s="97"/>
      <c r="X165" s="97"/>
      <c r="Y165" s="357"/>
    </row>
    <row r="166" spans="1:25" ht="14.1" customHeight="1">
      <c r="A166" s="153">
        <v>30</v>
      </c>
      <c r="B166" s="203"/>
      <c r="D166" s="277" t="s">
        <v>418</v>
      </c>
      <c r="E166" s="162" t="s">
        <v>466</v>
      </c>
      <c r="M166" s="206"/>
      <c r="O166" s="375"/>
      <c r="P166" s="671" t="s">
        <v>452</v>
      </c>
      <c r="Q166" s="361" t="s">
        <v>455</v>
      </c>
      <c r="R166" s="361" t="s">
        <v>456</v>
      </c>
      <c r="S166" s="361" t="s">
        <v>457</v>
      </c>
      <c r="T166" s="361" t="s">
        <v>458</v>
      </c>
      <c r="U166" s="673" t="s">
        <v>452</v>
      </c>
      <c r="V166" s="97"/>
      <c r="W166" s="97"/>
      <c r="X166" s="97"/>
      <c r="Y166" s="357"/>
    </row>
    <row r="167" spans="1:25" ht="14.1" customHeight="1">
      <c r="A167" s="153">
        <v>31</v>
      </c>
      <c r="B167" s="203"/>
      <c r="D167" s="271" t="str">
        <f>P145</f>
        <v>Comments:</v>
      </c>
      <c r="E167" s="274" t="str">
        <f>IF(Q145="","",IF(LEN(Q145)&lt;=135,Q145,IF(LEN(Q145)&lt;=260,LEFT(Q145,SEARCH(" ",Q145,125)),LEFT(Q145,SEARCH(" ",Q145,130)))))</f>
        <v/>
      </c>
      <c r="F167" s="376"/>
      <c r="G167" s="376"/>
      <c r="H167" s="376"/>
      <c r="I167" s="376"/>
      <c r="J167" s="376"/>
      <c r="K167" s="376"/>
      <c r="L167" s="376"/>
      <c r="M167" s="377"/>
      <c r="O167" s="355" t="s">
        <v>460</v>
      </c>
      <c r="P167" s="378" t="str">
        <f t="shared" ref="P167:U170" si="24">IF(OR(P158="",$P$155=""),"",P158/$P$155)</f>
        <v/>
      </c>
      <c r="Q167" s="379" t="str">
        <f t="shared" si="24"/>
        <v/>
      </c>
      <c r="R167" s="379" t="str">
        <f t="shared" si="24"/>
        <v/>
      </c>
      <c r="S167" s="379" t="str">
        <f t="shared" si="24"/>
        <v/>
      </c>
      <c r="T167" s="379" t="str">
        <f t="shared" si="24"/>
        <v/>
      </c>
      <c r="U167" s="380" t="str">
        <f t="shared" si="24"/>
        <v/>
      </c>
      <c r="V167" s="97"/>
      <c r="W167" s="97"/>
      <c r="X167" s="97"/>
      <c r="Y167" s="357"/>
    </row>
    <row r="168" spans="1:25" ht="14.1" customHeight="1">
      <c r="A168" s="153">
        <v>32</v>
      </c>
      <c r="B168" s="203"/>
      <c r="D168" s="162"/>
      <c r="E168" s="381" t="str">
        <f>IF(LEN(Q145)&lt;=135,"",IF(LEN(Q145)&lt;=260,RIGHT(Q145,LEN(Q145)-SEARCH(" ",Q145,125)),MID(Q145,SEARCH(" ",Q145,130),IF(LEN(Q145)&lt;=265,LEN(Q145),SEARCH(" ",Q145,255)-SEARCH(" ",Q145,130)))))</f>
        <v/>
      </c>
      <c r="F168" s="382"/>
      <c r="G168" s="382"/>
      <c r="H168" s="382"/>
      <c r="I168" s="382"/>
      <c r="J168" s="382"/>
      <c r="K168" s="382"/>
      <c r="L168" s="382"/>
      <c r="M168" s="383"/>
      <c r="O168" s="355" t="s">
        <v>461</v>
      </c>
      <c r="P168" s="384" t="str">
        <f t="shared" si="24"/>
        <v/>
      </c>
      <c r="Q168" s="385" t="str">
        <f t="shared" si="24"/>
        <v/>
      </c>
      <c r="R168" s="385" t="str">
        <f t="shared" si="24"/>
        <v/>
      </c>
      <c r="S168" s="385" t="str">
        <f t="shared" si="24"/>
        <v/>
      </c>
      <c r="T168" s="385" t="str">
        <f t="shared" si="24"/>
        <v/>
      </c>
      <c r="U168" s="386" t="str">
        <f t="shared" si="24"/>
        <v/>
      </c>
      <c r="V168" s="97"/>
      <c r="W168" s="97"/>
      <c r="X168" s="97"/>
      <c r="Y168" s="357"/>
    </row>
    <row r="169" spans="1:25" ht="14.1" customHeight="1">
      <c r="A169" s="153">
        <v>33</v>
      </c>
      <c r="B169" s="203"/>
      <c r="D169" s="162"/>
      <c r="E169" s="381" t="str">
        <f>IF(LEN(Q145)&lt;=265,"",RIGHT(Q145,LEN(Q145)-SEARCH(" ",Q145,255)))</f>
        <v/>
      </c>
      <c r="F169" s="382"/>
      <c r="G169" s="382"/>
      <c r="H169" s="382"/>
      <c r="I169" s="382"/>
      <c r="J169" s="382"/>
      <c r="K169" s="382"/>
      <c r="L169" s="382"/>
      <c r="M169" s="383"/>
      <c r="O169" s="355" t="s">
        <v>462</v>
      </c>
      <c r="P169" s="384" t="str">
        <f t="shared" si="24"/>
        <v/>
      </c>
      <c r="Q169" s="385" t="str">
        <f t="shared" si="24"/>
        <v/>
      </c>
      <c r="R169" s="385" t="str">
        <f t="shared" si="24"/>
        <v/>
      </c>
      <c r="S169" s="385" t="str">
        <f t="shared" si="24"/>
        <v/>
      </c>
      <c r="T169" s="385" t="str">
        <f t="shared" si="24"/>
        <v/>
      </c>
      <c r="U169" s="386" t="str">
        <f t="shared" si="24"/>
        <v/>
      </c>
      <c r="V169" s="97"/>
      <c r="W169" s="97"/>
      <c r="X169" s="97"/>
      <c r="Y169" s="357"/>
    </row>
    <row r="170" spans="1:25" ht="14.1" customHeight="1">
      <c r="A170" s="153">
        <v>34</v>
      </c>
      <c r="B170" s="358"/>
      <c r="C170" s="176"/>
      <c r="D170" s="176"/>
      <c r="E170" s="176"/>
      <c r="F170" s="176"/>
      <c r="G170" s="176"/>
      <c r="H170" s="176"/>
      <c r="I170" s="176"/>
      <c r="J170" s="176"/>
      <c r="K170" s="176"/>
      <c r="L170" s="176"/>
      <c r="M170" s="359"/>
      <c r="O170" s="355" t="s">
        <v>463</v>
      </c>
      <c r="P170" s="387" t="str">
        <f t="shared" si="24"/>
        <v/>
      </c>
      <c r="Q170" s="388" t="str">
        <f t="shared" si="24"/>
        <v/>
      </c>
      <c r="R170" s="388" t="str">
        <f t="shared" si="24"/>
        <v/>
      </c>
      <c r="S170" s="388" t="str">
        <f t="shared" si="24"/>
        <v/>
      </c>
      <c r="T170" s="388" t="str">
        <f t="shared" si="24"/>
        <v/>
      </c>
      <c r="U170" s="389" t="str">
        <f t="shared" si="24"/>
        <v/>
      </c>
      <c r="V170" s="97"/>
      <c r="W170" s="97"/>
      <c r="X170" s="97"/>
      <c r="Y170" s="357"/>
    </row>
    <row r="171" spans="1:25" ht="14.1" customHeight="1">
      <c r="A171" s="153">
        <v>35</v>
      </c>
      <c r="B171" s="203"/>
      <c r="C171" s="338" t="s">
        <v>442</v>
      </c>
      <c r="M171" s="206"/>
      <c r="O171" s="165" t="s">
        <v>467</v>
      </c>
      <c r="P171" s="390" t="str">
        <f t="shared" ref="P171:U171" si="25">IF(OR(P167="",P168=""),"",ABS(P167)+ABS(P168))</f>
        <v/>
      </c>
      <c r="Q171" s="391" t="str">
        <f t="shared" si="25"/>
        <v/>
      </c>
      <c r="R171" s="391" t="str">
        <f t="shared" si="25"/>
        <v/>
      </c>
      <c r="S171" s="391" t="str">
        <f t="shared" si="25"/>
        <v/>
      </c>
      <c r="T171" s="391" t="str">
        <f t="shared" si="25"/>
        <v/>
      </c>
      <c r="U171" s="392" t="str">
        <f t="shared" si="25"/>
        <v/>
      </c>
      <c r="V171" s="97"/>
      <c r="W171" s="97"/>
      <c r="X171" s="97"/>
      <c r="Y171" s="357"/>
    </row>
    <row r="172" spans="1:25" ht="14.1" customHeight="1">
      <c r="A172" s="153">
        <v>36</v>
      </c>
      <c r="B172" s="203"/>
      <c r="D172" s="668" t="s">
        <v>443</v>
      </c>
      <c r="E172" s="668"/>
      <c r="F172" s="668"/>
      <c r="G172" s="668"/>
      <c r="H172" s="349"/>
      <c r="I172" s="668" t="s">
        <v>444</v>
      </c>
      <c r="J172" s="668"/>
      <c r="M172" s="206"/>
      <c r="O172" s="165" t="s">
        <v>468</v>
      </c>
      <c r="P172" s="393" t="str">
        <f t="shared" ref="P172:U172" si="26">IF(OR(P169="",P170=""),"",ABS(P169)+ABS(P170))</f>
        <v/>
      </c>
      <c r="Q172" s="394" t="str">
        <f t="shared" si="26"/>
        <v/>
      </c>
      <c r="R172" s="394" t="str">
        <f t="shared" si="26"/>
        <v/>
      </c>
      <c r="S172" s="394" t="str">
        <f t="shared" si="26"/>
        <v/>
      </c>
      <c r="T172" s="394" t="str">
        <f t="shared" si="26"/>
        <v/>
      </c>
      <c r="U172" s="395" t="str">
        <f t="shared" si="26"/>
        <v/>
      </c>
      <c r="V172" s="97"/>
      <c r="W172" s="97"/>
      <c r="X172" s="97"/>
      <c r="Y172" s="357"/>
    </row>
    <row r="173" spans="1:25" ht="14.1" customHeight="1">
      <c r="A173" s="153">
        <v>37</v>
      </c>
      <c r="B173" s="203"/>
      <c r="D173" s="350" t="s">
        <v>445</v>
      </c>
      <c r="E173" s="350" t="s">
        <v>446</v>
      </c>
      <c r="F173" s="350" t="s">
        <v>447</v>
      </c>
      <c r="G173" s="351" t="s">
        <v>448</v>
      </c>
      <c r="H173" s="349"/>
      <c r="I173" s="669" t="s">
        <v>449</v>
      </c>
      <c r="J173" s="669"/>
      <c r="M173" s="206"/>
      <c r="O173" s="165"/>
      <c r="P173" s="271" t="s">
        <v>418</v>
      </c>
      <c r="Q173" s="162" t="s">
        <v>469</v>
      </c>
      <c r="Y173" s="167"/>
    </row>
    <row r="174" spans="1:25" ht="14.1" customHeight="1">
      <c r="A174" s="153">
        <v>38</v>
      </c>
      <c r="B174" s="203"/>
      <c r="D174" s="396" t="str">
        <f>IF(P152="","",P152)</f>
        <v/>
      </c>
      <c r="E174" s="396" t="str">
        <f>IF(Q152="","",Q152)</f>
        <v/>
      </c>
      <c r="F174" s="396" t="str">
        <f>IF(R152="","",R152)</f>
        <v/>
      </c>
      <c r="G174" s="397" t="str">
        <f>IF(S152="","",S152)</f>
        <v/>
      </c>
      <c r="H174" s="349"/>
      <c r="I174" s="675" t="str">
        <f>IF(U152="","",U152)</f>
        <v/>
      </c>
      <c r="J174" s="675"/>
      <c r="L174" s="170" t="s">
        <v>436</v>
      </c>
      <c r="M174" s="398" t="str">
        <f>IF(Y152="","",Y152)</f>
        <v/>
      </c>
      <c r="O174" s="165"/>
      <c r="P174" s="162"/>
      <c r="Q174" s="162" t="s">
        <v>470</v>
      </c>
      <c r="Y174" s="167"/>
    </row>
    <row r="175" spans="1:25" ht="14.1" customHeight="1">
      <c r="A175" s="153">
        <v>39</v>
      </c>
      <c r="B175" s="203"/>
      <c r="D175" s="277" t="s">
        <v>418</v>
      </c>
      <c r="E175" s="162" t="s">
        <v>471</v>
      </c>
      <c r="M175" s="206"/>
      <c r="O175" s="165"/>
      <c r="Q175" s="162" t="s">
        <v>472</v>
      </c>
      <c r="Y175" s="167"/>
    </row>
    <row r="176" spans="1:25" ht="14.1" customHeight="1">
      <c r="A176" s="153">
        <v>40</v>
      </c>
      <c r="B176" s="358"/>
      <c r="C176" s="176"/>
      <c r="D176" s="176"/>
      <c r="E176" s="176"/>
      <c r="F176" s="176"/>
      <c r="G176" s="176"/>
      <c r="H176" s="176"/>
      <c r="I176" s="176"/>
      <c r="J176" s="176"/>
      <c r="K176" s="176"/>
      <c r="L176" s="176"/>
      <c r="M176" s="359"/>
      <c r="O176" s="317" t="s">
        <v>473</v>
      </c>
      <c r="Y176" s="167"/>
    </row>
    <row r="177" spans="1:38" ht="14.1" customHeight="1">
      <c r="A177" s="153">
        <v>41</v>
      </c>
      <c r="B177" s="203"/>
      <c r="C177" s="338" t="s">
        <v>474</v>
      </c>
      <c r="G177" s="220" t="s">
        <v>473</v>
      </c>
      <c r="M177" s="206"/>
      <c r="O177" s="165"/>
      <c r="P177" s="152"/>
      <c r="U177" s="97"/>
      <c r="V177" s="97"/>
      <c r="W177" s="97"/>
      <c r="X177" s="97"/>
      <c r="Y177" s="357"/>
    </row>
    <row r="178" spans="1:38" ht="14.1" customHeight="1">
      <c r="A178" s="153">
        <v>42</v>
      </c>
      <c r="B178" s="203"/>
      <c r="C178" s="399" t="s">
        <v>451</v>
      </c>
      <c r="D178" s="152"/>
      <c r="M178" s="206"/>
      <c r="O178" s="165"/>
      <c r="P178" s="671" t="s">
        <v>452</v>
      </c>
      <c r="Q178" s="674" t="s">
        <v>453</v>
      </c>
      <c r="R178" s="674"/>
      <c r="S178" s="674"/>
      <c r="T178" s="361" t="s">
        <v>452</v>
      </c>
      <c r="U178" s="673" t="s">
        <v>454</v>
      </c>
      <c r="V178" s="97"/>
      <c r="W178" s="97"/>
      <c r="X178" s="97"/>
      <c r="Y178" s="357"/>
    </row>
    <row r="179" spans="1:38" ht="14.1" customHeight="1">
      <c r="A179" s="153">
        <v>43</v>
      </c>
      <c r="B179" s="203"/>
      <c r="C179" s="331">
        <f>IF(P155="","",P155)</f>
        <v>65</v>
      </c>
      <c r="D179" s="676" t="s">
        <v>475</v>
      </c>
      <c r="E179" s="676"/>
      <c r="F179" s="676"/>
      <c r="G179" s="676"/>
      <c r="H179" s="676"/>
      <c r="I179" s="676"/>
      <c r="J179" s="97"/>
      <c r="K179" s="97"/>
      <c r="L179" s="97"/>
      <c r="M179" s="206"/>
      <c r="O179" s="165"/>
      <c r="P179" s="671" t="s">
        <v>452</v>
      </c>
      <c r="Q179" s="361" t="s">
        <v>455</v>
      </c>
      <c r="R179" s="361" t="s">
        <v>456</v>
      </c>
      <c r="S179" s="361" t="s">
        <v>457</v>
      </c>
      <c r="T179" s="361" t="s">
        <v>458</v>
      </c>
      <c r="U179" s="673" t="s">
        <v>452</v>
      </c>
      <c r="V179" s="97"/>
      <c r="W179" s="97"/>
      <c r="X179" s="97"/>
      <c r="Y179" s="357"/>
    </row>
    <row r="180" spans="1:38" ht="14.1" customHeight="1">
      <c r="A180" s="153">
        <v>44</v>
      </c>
      <c r="B180" s="203"/>
      <c r="C180" s="152"/>
      <c r="D180" s="671" t="s">
        <v>452</v>
      </c>
      <c r="E180" s="672" t="s">
        <v>453</v>
      </c>
      <c r="F180" s="672"/>
      <c r="G180" s="672"/>
      <c r="H180" s="360" t="s">
        <v>452</v>
      </c>
      <c r="I180" s="677" t="s">
        <v>454</v>
      </c>
      <c r="J180" s="97"/>
      <c r="K180" s="97"/>
      <c r="L180" s="97"/>
      <c r="M180" s="206"/>
      <c r="O180" s="355" t="s">
        <v>460</v>
      </c>
      <c r="P180" s="400"/>
      <c r="Q180" s="401"/>
      <c r="R180" s="401"/>
      <c r="S180" s="401"/>
      <c r="T180" s="401"/>
      <c r="U180" s="365"/>
      <c r="V180" s="97"/>
      <c r="W180" s="97"/>
      <c r="X180" s="97"/>
      <c r="Y180" s="357"/>
    </row>
    <row r="181" spans="1:38" ht="14.1" customHeight="1">
      <c r="A181" s="153">
        <v>45</v>
      </c>
      <c r="B181" s="203"/>
      <c r="C181" s="152"/>
      <c r="D181" s="671" t="s">
        <v>452</v>
      </c>
      <c r="E181" s="360" t="s">
        <v>455</v>
      </c>
      <c r="F181" s="361" t="s">
        <v>456</v>
      </c>
      <c r="G181" s="361" t="s">
        <v>457</v>
      </c>
      <c r="H181" s="360" t="s">
        <v>458</v>
      </c>
      <c r="I181" s="677" t="s">
        <v>458</v>
      </c>
      <c r="J181" s="97"/>
      <c r="K181" s="97"/>
      <c r="L181" s="97"/>
      <c r="M181" s="206"/>
      <c r="O181" s="355" t="s">
        <v>461</v>
      </c>
      <c r="P181" s="402"/>
      <c r="Q181" s="403"/>
      <c r="R181" s="403"/>
      <c r="S181" s="403"/>
      <c r="T181" s="404"/>
      <c r="U181" s="369"/>
      <c r="V181" s="97"/>
      <c r="W181" s="97"/>
      <c r="X181" s="97"/>
      <c r="Y181" s="357"/>
    </row>
    <row r="182" spans="1:38" ht="14.1" customHeight="1">
      <c r="A182" s="153">
        <v>46</v>
      </c>
      <c r="B182" s="203"/>
      <c r="C182" s="170" t="s">
        <v>460</v>
      </c>
      <c r="D182" s="405" t="str">
        <f t="shared" ref="D182:I187" si="27">IF(P167="","",P167)</f>
        <v/>
      </c>
      <c r="E182" s="406" t="str">
        <f t="shared" si="27"/>
        <v/>
      </c>
      <c r="F182" s="406" t="str">
        <f t="shared" si="27"/>
        <v/>
      </c>
      <c r="G182" s="406" t="str">
        <f t="shared" si="27"/>
        <v/>
      </c>
      <c r="H182" s="407" t="str">
        <f t="shared" si="27"/>
        <v/>
      </c>
      <c r="I182" s="408" t="str">
        <f t="shared" si="27"/>
        <v/>
      </c>
      <c r="J182" s="97"/>
      <c r="K182" s="97"/>
      <c r="L182" s="97"/>
      <c r="M182" s="206"/>
      <c r="O182" s="355" t="s">
        <v>462</v>
      </c>
      <c r="P182" s="402"/>
      <c r="Q182" s="403"/>
      <c r="R182" s="403"/>
      <c r="S182" s="403"/>
      <c r="T182" s="403"/>
      <c r="U182" s="369"/>
      <c r="V182" s="97"/>
      <c r="W182" s="97"/>
      <c r="X182" s="97"/>
      <c r="Y182" s="357"/>
    </row>
    <row r="183" spans="1:38" ht="14.1" customHeight="1">
      <c r="A183" s="153">
        <v>47</v>
      </c>
      <c r="B183" s="203"/>
      <c r="C183" s="170" t="s">
        <v>461</v>
      </c>
      <c r="D183" s="405" t="str">
        <f t="shared" si="27"/>
        <v/>
      </c>
      <c r="E183" s="406" t="str">
        <f t="shared" si="27"/>
        <v/>
      </c>
      <c r="F183" s="406" t="str">
        <f t="shared" si="27"/>
        <v/>
      </c>
      <c r="G183" s="406" t="str">
        <f t="shared" si="27"/>
        <v/>
      </c>
      <c r="H183" s="407" t="str">
        <f t="shared" si="27"/>
        <v/>
      </c>
      <c r="I183" s="408" t="str">
        <f t="shared" si="27"/>
        <v/>
      </c>
      <c r="J183" s="97"/>
      <c r="K183" s="97"/>
      <c r="L183" s="97"/>
      <c r="M183" s="206"/>
      <c r="O183" s="355" t="s">
        <v>463</v>
      </c>
      <c r="P183" s="402"/>
      <c r="Q183" s="403"/>
      <c r="R183" s="403"/>
      <c r="S183" s="403"/>
      <c r="T183" s="403"/>
      <c r="U183" s="369"/>
      <c r="V183" s="97"/>
      <c r="W183" s="97"/>
      <c r="X183" s="97"/>
      <c r="Y183" s="357"/>
    </row>
    <row r="184" spans="1:38" ht="14.1" customHeight="1">
      <c r="A184" s="153">
        <v>48</v>
      </c>
      <c r="B184" s="203"/>
      <c r="C184" s="170" t="s">
        <v>462</v>
      </c>
      <c r="D184" s="405" t="str">
        <f t="shared" si="27"/>
        <v/>
      </c>
      <c r="E184" s="406" t="str">
        <f t="shared" si="27"/>
        <v/>
      </c>
      <c r="F184" s="406" t="str">
        <f t="shared" si="27"/>
        <v/>
      </c>
      <c r="G184" s="406" t="str">
        <f t="shared" si="27"/>
        <v/>
      </c>
      <c r="H184" s="407" t="str">
        <f t="shared" si="27"/>
        <v/>
      </c>
      <c r="I184" s="408" t="str">
        <f t="shared" si="27"/>
        <v/>
      </c>
      <c r="J184" s="97"/>
      <c r="K184" s="97"/>
      <c r="L184" s="97"/>
      <c r="M184" s="206"/>
      <c r="O184" s="355" t="s">
        <v>476</v>
      </c>
      <c r="P184" s="409"/>
      <c r="Q184" s="410"/>
      <c r="R184" s="410"/>
      <c r="S184" s="410"/>
      <c r="T184" s="410"/>
      <c r="U184" s="374"/>
      <c r="V184" s="97"/>
      <c r="W184" s="97"/>
      <c r="X184" s="97"/>
      <c r="Y184" s="357"/>
    </row>
    <row r="185" spans="1:38" ht="14.1" customHeight="1">
      <c r="A185" s="153">
        <v>49</v>
      </c>
      <c r="B185" s="203"/>
      <c r="C185" s="170" t="s">
        <v>463</v>
      </c>
      <c r="D185" s="405" t="str">
        <f t="shared" si="27"/>
        <v/>
      </c>
      <c r="E185" s="406" t="str">
        <f t="shared" si="27"/>
        <v/>
      </c>
      <c r="F185" s="406" t="str">
        <f t="shared" si="27"/>
        <v/>
      </c>
      <c r="G185" s="406" t="str">
        <f t="shared" si="27"/>
        <v/>
      </c>
      <c r="H185" s="407" t="str">
        <f t="shared" si="27"/>
        <v/>
      </c>
      <c r="I185" s="408" t="str">
        <f t="shared" si="27"/>
        <v/>
      </c>
      <c r="J185" s="97"/>
      <c r="K185" s="97"/>
      <c r="L185" s="97"/>
      <c r="M185" s="206"/>
      <c r="O185" s="165"/>
      <c r="Q185" s="162" t="s">
        <v>477</v>
      </c>
      <c r="U185" s="204"/>
      <c r="V185" s="204"/>
      <c r="W185" s="204"/>
      <c r="X185" s="204"/>
      <c r="Y185" s="167"/>
    </row>
    <row r="186" spans="1:38" ht="14.1" customHeight="1">
      <c r="A186" s="153">
        <v>50</v>
      </c>
      <c r="B186" s="203"/>
      <c r="C186" s="170" t="s">
        <v>478</v>
      </c>
      <c r="D186" s="390" t="str">
        <f t="shared" si="27"/>
        <v/>
      </c>
      <c r="E186" s="391" t="str">
        <f t="shared" si="27"/>
        <v/>
      </c>
      <c r="F186" s="391" t="str">
        <f t="shared" si="27"/>
        <v/>
      </c>
      <c r="G186" s="391" t="str">
        <f t="shared" si="27"/>
        <v/>
      </c>
      <c r="H186" s="411" t="str">
        <f t="shared" si="27"/>
        <v/>
      </c>
      <c r="I186" s="392" t="str">
        <f t="shared" si="27"/>
        <v/>
      </c>
      <c r="J186" s="97"/>
      <c r="K186" s="97"/>
      <c r="L186" s="97"/>
      <c r="M186" s="206"/>
      <c r="O186" s="375"/>
      <c r="P186" s="97"/>
      <c r="Q186" s="97"/>
      <c r="R186" s="97"/>
      <c r="S186" s="97"/>
      <c r="T186" s="97"/>
      <c r="U186" s="97"/>
      <c r="V186" s="97"/>
      <c r="W186" s="97"/>
      <c r="X186" s="97"/>
      <c r="Y186" s="357"/>
    </row>
    <row r="187" spans="1:38" ht="14.1" customHeight="1">
      <c r="A187" s="153">
        <v>51</v>
      </c>
      <c r="B187" s="203"/>
      <c r="C187" s="151" t="s">
        <v>479</v>
      </c>
      <c r="D187" s="393" t="str">
        <f t="shared" si="27"/>
        <v/>
      </c>
      <c r="E187" s="394" t="str">
        <f t="shared" si="27"/>
        <v/>
      </c>
      <c r="F187" s="394" t="str">
        <f t="shared" si="27"/>
        <v/>
      </c>
      <c r="G187" s="394" t="str">
        <f t="shared" si="27"/>
        <v/>
      </c>
      <c r="H187" s="412" t="str">
        <f t="shared" si="27"/>
        <v/>
      </c>
      <c r="I187" s="395" t="str">
        <f t="shared" si="27"/>
        <v/>
      </c>
      <c r="M187" s="206"/>
      <c r="O187" s="375"/>
      <c r="P187" s="678" t="s">
        <v>465</v>
      </c>
      <c r="Q187" s="678"/>
      <c r="R187" s="678"/>
      <c r="S187" s="678"/>
      <c r="T187" s="678"/>
      <c r="U187" s="678"/>
      <c r="V187" s="97"/>
      <c r="W187" s="97"/>
      <c r="X187" s="97"/>
      <c r="Y187" s="357"/>
    </row>
    <row r="188" spans="1:38" ht="14.1" customHeight="1">
      <c r="A188" s="153">
        <v>52</v>
      </c>
      <c r="B188" s="203"/>
      <c r="C188" s="170" t="s">
        <v>436</v>
      </c>
      <c r="D188" s="413" t="str">
        <f t="shared" ref="D188:I188" si="28">IF(OR(D186="",D187=""),"",IF(OR(D186&gt;0.02,D187&gt;0.02),"NO","YES"))</f>
        <v/>
      </c>
      <c r="E188" s="414" t="str">
        <f t="shared" si="28"/>
        <v/>
      </c>
      <c r="F188" s="414" t="str">
        <f t="shared" si="28"/>
        <v/>
      </c>
      <c r="G188" s="414" t="str">
        <f t="shared" si="28"/>
        <v/>
      </c>
      <c r="H188" s="415" t="str">
        <f t="shared" si="28"/>
        <v/>
      </c>
      <c r="I188" s="416" t="str">
        <f t="shared" si="28"/>
        <v/>
      </c>
      <c r="M188" s="206"/>
      <c r="O188" s="375"/>
      <c r="P188" s="671" t="s">
        <v>452</v>
      </c>
      <c r="Q188" s="674" t="s">
        <v>453</v>
      </c>
      <c r="R188" s="674"/>
      <c r="S188" s="674"/>
      <c r="T188" s="361" t="s">
        <v>452</v>
      </c>
      <c r="U188" s="673" t="s">
        <v>454</v>
      </c>
      <c r="V188" s="97"/>
      <c r="W188" s="97"/>
      <c r="X188" s="97"/>
      <c r="Y188" s="357"/>
      <c r="AA188" s="204"/>
      <c r="AC188" s="97"/>
      <c r="AD188" s="97"/>
      <c r="AL188" s="204"/>
    </row>
    <row r="189" spans="1:38" ht="14.1" customHeight="1">
      <c r="A189" s="153">
        <v>53</v>
      </c>
      <c r="B189" s="417"/>
      <c r="C189" s="152"/>
      <c r="D189" s="676" t="s">
        <v>480</v>
      </c>
      <c r="E189" s="676"/>
      <c r="F189" s="676"/>
      <c r="G189" s="676"/>
      <c r="H189" s="676"/>
      <c r="I189" s="676"/>
      <c r="J189" s="97"/>
      <c r="K189" s="97"/>
      <c r="L189" s="97"/>
      <c r="M189" s="269"/>
      <c r="O189" s="375"/>
      <c r="P189" s="671" t="s">
        <v>452</v>
      </c>
      <c r="Q189" s="361" t="s">
        <v>455</v>
      </c>
      <c r="R189" s="361" t="s">
        <v>456</v>
      </c>
      <c r="S189" s="361" t="s">
        <v>457</v>
      </c>
      <c r="T189" s="361" t="s">
        <v>458</v>
      </c>
      <c r="U189" s="673"/>
      <c r="V189" s="97"/>
      <c r="W189" s="97"/>
      <c r="X189" s="97"/>
      <c r="Y189" s="357"/>
      <c r="AA189" s="204"/>
      <c r="AC189" s="97"/>
      <c r="AD189" s="97"/>
      <c r="AL189" s="204"/>
    </row>
    <row r="190" spans="1:38" ht="14.1" customHeight="1">
      <c r="A190" s="153">
        <v>54</v>
      </c>
      <c r="B190" s="417"/>
      <c r="C190" s="170" t="s">
        <v>460</v>
      </c>
      <c r="D190" s="405" t="str">
        <f t="shared" ref="D190:I194" si="29">IF(P190="","",P190)</f>
        <v/>
      </c>
      <c r="E190" s="406" t="str">
        <f t="shared" si="29"/>
        <v/>
      </c>
      <c r="F190" s="406" t="str">
        <f t="shared" si="29"/>
        <v/>
      </c>
      <c r="G190" s="406" t="str">
        <f t="shared" si="29"/>
        <v/>
      </c>
      <c r="H190" s="407" t="str">
        <f t="shared" si="29"/>
        <v/>
      </c>
      <c r="I190" s="408" t="str">
        <f t="shared" si="29"/>
        <v/>
      </c>
      <c r="J190" s="97"/>
      <c r="K190" s="97"/>
      <c r="L190" s="97"/>
      <c r="M190" s="269"/>
      <c r="O190" s="355" t="s">
        <v>460</v>
      </c>
      <c r="P190" s="378" t="str">
        <f t="shared" ref="P190:U194" si="30">IF(OR(P180="",$P$155=""),"",P180/$P$155)</f>
        <v/>
      </c>
      <c r="Q190" s="379" t="str">
        <f t="shared" si="30"/>
        <v/>
      </c>
      <c r="R190" s="379" t="str">
        <f t="shared" si="30"/>
        <v/>
      </c>
      <c r="S190" s="379" t="str">
        <f t="shared" si="30"/>
        <v/>
      </c>
      <c r="T190" s="379" t="str">
        <f t="shared" si="30"/>
        <v/>
      </c>
      <c r="U190" s="380" t="str">
        <f t="shared" si="30"/>
        <v/>
      </c>
      <c r="V190" s="97"/>
      <c r="W190" s="97"/>
      <c r="X190" s="97"/>
      <c r="Y190" s="357"/>
      <c r="AA190" s="204"/>
      <c r="AC190" s="97"/>
      <c r="AD190" s="97"/>
      <c r="AL190" s="204"/>
    </row>
    <row r="191" spans="1:38" ht="14.1" customHeight="1">
      <c r="A191" s="153">
        <v>55</v>
      </c>
      <c r="B191" s="417"/>
      <c r="C191" s="170" t="s">
        <v>461</v>
      </c>
      <c r="D191" s="405" t="str">
        <f t="shared" si="29"/>
        <v/>
      </c>
      <c r="E191" s="406" t="str">
        <f t="shared" si="29"/>
        <v/>
      </c>
      <c r="F191" s="406" t="str">
        <f t="shared" si="29"/>
        <v/>
      </c>
      <c r="G191" s="406" t="str">
        <f t="shared" si="29"/>
        <v/>
      </c>
      <c r="H191" s="407" t="str">
        <f t="shared" si="29"/>
        <v/>
      </c>
      <c r="I191" s="408" t="str">
        <f t="shared" si="29"/>
        <v/>
      </c>
      <c r="J191" s="97"/>
      <c r="K191" s="97"/>
      <c r="L191" s="97"/>
      <c r="M191" s="269"/>
      <c r="O191" s="355" t="s">
        <v>461</v>
      </c>
      <c r="P191" s="384" t="str">
        <f t="shared" si="30"/>
        <v/>
      </c>
      <c r="Q191" s="385" t="str">
        <f t="shared" si="30"/>
        <v/>
      </c>
      <c r="R191" s="385" t="str">
        <f t="shared" si="30"/>
        <v/>
      </c>
      <c r="S191" s="385" t="str">
        <f t="shared" si="30"/>
        <v/>
      </c>
      <c r="T191" s="385" t="str">
        <f t="shared" si="30"/>
        <v/>
      </c>
      <c r="U191" s="386" t="str">
        <f t="shared" si="30"/>
        <v/>
      </c>
      <c r="V191" s="97"/>
      <c r="W191" s="97"/>
      <c r="X191" s="97"/>
      <c r="Y191" s="357"/>
      <c r="AA191" s="204"/>
      <c r="AC191" s="97"/>
      <c r="AD191" s="97"/>
      <c r="AL191" s="204"/>
    </row>
    <row r="192" spans="1:38" ht="14.1" customHeight="1">
      <c r="A192" s="153">
        <v>56</v>
      </c>
      <c r="B192" s="417"/>
      <c r="C192" s="170" t="s">
        <v>462</v>
      </c>
      <c r="D192" s="405" t="str">
        <f t="shared" si="29"/>
        <v/>
      </c>
      <c r="E192" s="406" t="str">
        <f t="shared" si="29"/>
        <v/>
      </c>
      <c r="F192" s="406" t="str">
        <f t="shared" si="29"/>
        <v/>
      </c>
      <c r="G192" s="406" t="str">
        <f t="shared" si="29"/>
        <v/>
      </c>
      <c r="H192" s="407" t="str">
        <f t="shared" si="29"/>
        <v/>
      </c>
      <c r="I192" s="408" t="str">
        <f t="shared" si="29"/>
        <v/>
      </c>
      <c r="J192" s="97"/>
      <c r="K192" s="97"/>
      <c r="L192" s="97"/>
      <c r="M192" s="269"/>
      <c r="O192" s="355" t="s">
        <v>462</v>
      </c>
      <c r="P192" s="384" t="str">
        <f t="shared" si="30"/>
        <v/>
      </c>
      <c r="Q192" s="385" t="str">
        <f t="shared" si="30"/>
        <v/>
      </c>
      <c r="R192" s="385" t="str">
        <f t="shared" si="30"/>
        <v/>
      </c>
      <c r="S192" s="385" t="str">
        <f t="shared" si="30"/>
        <v/>
      </c>
      <c r="T192" s="385" t="str">
        <f t="shared" si="30"/>
        <v/>
      </c>
      <c r="U192" s="386" t="str">
        <f t="shared" si="30"/>
        <v/>
      </c>
      <c r="V192" s="97"/>
      <c r="W192" s="97"/>
      <c r="X192" s="97"/>
      <c r="Y192" s="357"/>
      <c r="AA192" s="204"/>
      <c r="AC192" s="97"/>
      <c r="AD192" s="97"/>
      <c r="AL192" s="204"/>
    </row>
    <row r="193" spans="1:38" ht="14.1" customHeight="1">
      <c r="A193" s="153">
        <v>57</v>
      </c>
      <c r="B193" s="417"/>
      <c r="C193" s="170" t="s">
        <v>463</v>
      </c>
      <c r="D193" s="405" t="str">
        <f t="shared" si="29"/>
        <v/>
      </c>
      <c r="E193" s="406" t="str">
        <f t="shared" si="29"/>
        <v/>
      </c>
      <c r="F193" s="406" t="str">
        <f t="shared" si="29"/>
        <v/>
      </c>
      <c r="G193" s="406" t="str">
        <f t="shared" si="29"/>
        <v/>
      </c>
      <c r="H193" s="407" t="str">
        <f t="shared" si="29"/>
        <v/>
      </c>
      <c r="I193" s="408" t="str">
        <f t="shared" si="29"/>
        <v/>
      </c>
      <c r="J193" s="97"/>
      <c r="K193" s="97"/>
      <c r="L193" s="97"/>
      <c r="M193" s="269"/>
      <c r="O193" s="355" t="s">
        <v>463</v>
      </c>
      <c r="P193" s="384" t="str">
        <f t="shared" si="30"/>
        <v/>
      </c>
      <c r="Q193" s="385" t="str">
        <f t="shared" si="30"/>
        <v/>
      </c>
      <c r="R193" s="385" t="str">
        <f t="shared" si="30"/>
        <v/>
      </c>
      <c r="S193" s="385" t="str">
        <f t="shared" si="30"/>
        <v/>
      </c>
      <c r="T193" s="385" t="str">
        <f t="shared" si="30"/>
        <v/>
      </c>
      <c r="U193" s="386" t="str">
        <f t="shared" si="30"/>
        <v/>
      </c>
      <c r="V193" s="97"/>
      <c r="W193" s="97"/>
      <c r="X193" s="97"/>
      <c r="Y193" s="357"/>
      <c r="AA193" s="204"/>
      <c r="AB193" s="204"/>
      <c r="AC193" s="97"/>
      <c r="AD193" s="97"/>
      <c r="AE193" s="204"/>
      <c r="AF193" s="204"/>
      <c r="AG193" s="204"/>
      <c r="AH193" s="204"/>
      <c r="AI193" s="204"/>
      <c r="AJ193" s="204"/>
      <c r="AK193" s="204"/>
      <c r="AL193" s="204"/>
    </row>
    <row r="194" spans="1:38" ht="14.1" customHeight="1">
      <c r="A194" s="153">
        <v>58</v>
      </c>
      <c r="B194" s="417"/>
      <c r="C194" s="170" t="s">
        <v>476</v>
      </c>
      <c r="D194" s="393" t="str">
        <f t="shared" si="29"/>
        <v/>
      </c>
      <c r="E194" s="394" t="str">
        <f t="shared" si="29"/>
        <v/>
      </c>
      <c r="F194" s="394" t="str">
        <f t="shared" si="29"/>
        <v/>
      </c>
      <c r="G194" s="394" t="str">
        <f t="shared" si="29"/>
        <v/>
      </c>
      <c r="H194" s="412" t="str">
        <f t="shared" si="29"/>
        <v/>
      </c>
      <c r="I194" s="395" t="str">
        <f t="shared" si="29"/>
        <v/>
      </c>
      <c r="J194" s="97"/>
      <c r="K194" s="97"/>
      <c r="L194" s="97"/>
      <c r="M194" s="269"/>
      <c r="O194" s="355" t="s">
        <v>476</v>
      </c>
      <c r="P194" s="387" t="str">
        <f t="shared" si="30"/>
        <v/>
      </c>
      <c r="Q194" s="388" t="str">
        <f t="shared" si="30"/>
        <v/>
      </c>
      <c r="R194" s="388" t="str">
        <f t="shared" si="30"/>
        <v/>
      </c>
      <c r="S194" s="388" t="str">
        <f t="shared" si="30"/>
        <v/>
      </c>
      <c r="T194" s="388" t="str">
        <f t="shared" si="30"/>
        <v/>
      </c>
      <c r="U194" s="389" t="str">
        <f t="shared" si="30"/>
        <v/>
      </c>
      <c r="V194" s="97"/>
      <c r="W194" s="97"/>
      <c r="X194" s="97"/>
      <c r="Y194" s="357"/>
      <c r="AA194" s="97"/>
      <c r="AB194" s="97"/>
      <c r="AC194" s="97"/>
      <c r="AD194" s="97"/>
      <c r="AE194" s="97"/>
      <c r="AF194" s="97"/>
      <c r="AG194" s="97"/>
      <c r="AH194" s="97"/>
      <c r="AI194" s="97"/>
      <c r="AJ194" s="97"/>
      <c r="AK194" s="97"/>
      <c r="AL194" s="97"/>
    </row>
    <row r="195" spans="1:38" ht="14.1" customHeight="1">
      <c r="A195" s="153">
        <v>59</v>
      </c>
      <c r="B195" s="417"/>
      <c r="C195" s="170" t="s">
        <v>436</v>
      </c>
      <c r="D195" s="418" t="str">
        <f t="shared" ref="D195:I195" si="31">IF(OR(D190="",D191="",D192="",D193="",D194=""),"",IF($O$34=1,IF(AND(D190&lt;=0.02,D191&lt;=0.02,D192&lt;=0.02,D193&lt;=0.02,D194&lt;=0.01),"YES","NO"),IF(AND(D190&lt;=0.02,D191&lt;=0.02,D192&lt;=0.04,D193&lt;=0.02,D194&lt;=0.01),"YES","NO")))</f>
        <v/>
      </c>
      <c r="E195" s="414" t="str">
        <f t="shared" si="31"/>
        <v/>
      </c>
      <c r="F195" s="414" t="str">
        <f t="shared" si="31"/>
        <v/>
      </c>
      <c r="G195" s="414" t="str">
        <f t="shared" si="31"/>
        <v/>
      </c>
      <c r="H195" s="415" t="str">
        <f t="shared" si="31"/>
        <v/>
      </c>
      <c r="I195" s="416" t="str">
        <f t="shared" si="31"/>
        <v/>
      </c>
      <c r="J195" s="97"/>
      <c r="K195" s="97"/>
      <c r="L195" s="97"/>
      <c r="M195" s="269"/>
      <c r="O195" s="231"/>
      <c r="P195" s="291" t="s">
        <v>351</v>
      </c>
      <c r="Q195" s="97"/>
      <c r="R195" s="97"/>
      <c r="S195" s="97"/>
      <c r="T195" s="97"/>
      <c r="U195" s="97"/>
      <c r="V195" s="97"/>
      <c r="W195" s="97"/>
      <c r="X195" s="97"/>
      <c r="Y195" s="167"/>
      <c r="AA195" s="97"/>
      <c r="AB195" s="97"/>
      <c r="AC195" s="97"/>
      <c r="AD195" s="97"/>
      <c r="AE195" s="97"/>
      <c r="AF195" s="97"/>
      <c r="AG195" s="97"/>
      <c r="AH195" s="97"/>
      <c r="AI195" s="97"/>
      <c r="AJ195" s="97"/>
      <c r="AK195" s="97"/>
      <c r="AL195" s="97"/>
    </row>
    <row r="196" spans="1:38" ht="14.1" customHeight="1">
      <c r="A196" s="153">
        <v>60</v>
      </c>
      <c r="B196" s="417"/>
      <c r="C196" s="277" t="s">
        <v>418</v>
      </c>
      <c r="D196" s="162" t="s">
        <v>481</v>
      </c>
      <c r="E196" s="97"/>
      <c r="F196" s="97"/>
      <c r="G196" s="97"/>
      <c r="H196" s="97"/>
      <c r="I196" s="97"/>
      <c r="J196" s="97"/>
      <c r="K196" s="97"/>
      <c r="L196" s="97"/>
      <c r="M196" s="269"/>
      <c r="O196" s="231"/>
      <c r="P196" s="291" t="s">
        <v>482</v>
      </c>
      <c r="Q196" s="97"/>
      <c r="R196" s="97"/>
      <c r="S196" s="97"/>
      <c r="T196" s="97"/>
      <c r="U196" s="97"/>
      <c r="V196" s="97"/>
      <c r="W196" s="97"/>
      <c r="X196" s="97"/>
      <c r="Y196" s="167"/>
      <c r="AA196" s="97"/>
      <c r="AB196" s="97"/>
      <c r="AC196" s="97"/>
      <c r="AD196" s="97"/>
      <c r="AE196" s="97"/>
      <c r="AF196" s="97"/>
      <c r="AG196" s="97"/>
      <c r="AH196" s="97"/>
      <c r="AI196" s="97"/>
      <c r="AJ196" s="97"/>
      <c r="AK196" s="97"/>
      <c r="AL196" s="97"/>
    </row>
    <row r="197" spans="1:38" ht="14.1" customHeight="1">
      <c r="A197" s="153">
        <v>61</v>
      </c>
      <c r="B197" s="417"/>
      <c r="D197" s="162" t="s">
        <v>483</v>
      </c>
      <c r="E197" s="97"/>
      <c r="F197" s="97"/>
      <c r="G197" s="97"/>
      <c r="H197" s="97"/>
      <c r="I197" s="97"/>
      <c r="J197" s="97"/>
      <c r="K197" s="97"/>
      <c r="L197" s="97"/>
      <c r="M197" s="269"/>
      <c r="O197" s="375"/>
      <c r="P197" s="97"/>
      <c r="Q197" s="97"/>
      <c r="R197" s="97"/>
      <c r="S197" s="97"/>
      <c r="T197" s="97"/>
      <c r="U197" s="97"/>
      <c r="V197" s="97"/>
      <c r="W197" s="97"/>
      <c r="X197" s="97"/>
      <c r="Y197" s="167"/>
      <c r="AA197" s="97"/>
      <c r="AB197" s="97"/>
      <c r="AC197" s="97"/>
      <c r="AD197" s="97"/>
      <c r="AE197" s="97"/>
      <c r="AF197" s="97"/>
      <c r="AG197" s="97"/>
      <c r="AH197" s="97"/>
      <c r="AI197" s="97"/>
      <c r="AJ197" s="97"/>
      <c r="AK197" s="97"/>
      <c r="AL197" s="97"/>
    </row>
    <row r="198" spans="1:38" ht="14.1" customHeight="1">
      <c r="A198" s="153">
        <v>62</v>
      </c>
      <c r="B198" s="417"/>
      <c r="D198" s="162" t="s">
        <v>484</v>
      </c>
      <c r="E198" s="97"/>
      <c r="F198" s="97"/>
      <c r="G198" s="97"/>
      <c r="H198" s="97"/>
      <c r="I198" s="97"/>
      <c r="J198" s="97"/>
      <c r="K198" s="97"/>
      <c r="L198" s="97"/>
      <c r="M198" s="269"/>
      <c r="O198" s="165"/>
      <c r="P198" s="271" t="s">
        <v>418</v>
      </c>
      <c r="Q198" s="162" t="s">
        <v>483</v>
      </c>
      <c r="U198" s="204"/>
      <c r="V198" s="204"/>
      <c r="W198" s="204"/>
      <c r="X198" s="204"/>
      <c r="Y198" s="167"/>
      <c r="AA198" s="97"/>
      <c r="AB198" s="97"/>
      <c r="AC198" s="97"/>
      <c r="AD198" s="97"/>
      <c r="AE198" s="97"/>
      <c r="AF198" s="97"/>
      <c r="AG198" s="97"/>
      <c r="AH198" s="97"/>
      <c r="AI198" s="97"/>
      <c r="AJ198" s="97"/>
      <c r="AK198" s="97"/>
      <c r="AL198" s="97"/>
    </row>
    <row r="199" spans="1:38" ht="14.1" customHeight="1">
      <c r="A199" s="153">
        <v>63</v>
      </c>
      <c r="B199" s="417"/>
      <c r="D199" s="162" t="s">
        <v>485</v>
      </c>
      <c r="E199" s="97"/>
      <c r="F199" s="97"/>
      <c r="G199" s="97"/>
      <c r="H199" s="97"/>
      <c r="I199" s="97"/>
      <c r="J199" s="97"/>
      <c r="K199" s="97"/>
      <c r="L199" s="97"/>
      <c r="M199" s="269"/>
      <c r="O199" s="165"/>
      <c r="Q199" s="162" t="s">
        <v>484</v>
      </c>
      <c r="Y199" s="167"/>
      <c r="AA199" s="97"/>
      <c r="AB199" s="97"/>
      <c r="AC199" s="97"/>
      <c r="AD199" s="97"/>
      <c r="AE199" s="97"/>
      <c r="AF199" s="97"/>
      <c r="AG199" s="97"/>
      <c r="AH199" s="97"/>
      <c r="AI199" s="97"/>
      <c r="AJ199" s="97"/>
      <c r="AK199" s="97"/>
      <c r="AL199" s="97"/>
    </row>
    <row r="200" spans="1:38" ht="14.1" customHeight="1">
      <c r="A200" s="153">
        <v>64</v>
      </c>
      <c r="B200" s="417"/>
      <c r="D200" s="162" t="s">
        <v>486</v>
      </c>
      <c r="E200" s="97"/>
      <c r="F200" s="97"/>
      <c r="G200" s="97"/>
      <c r="H200" s="97"/>
      <c r="I200" s="97"/>
      <c r="J200" s="97"/>
      <c r="K200" s="97"/>
      <c r="L200" s="97"/>
      <c r="M200" s="269"/>
      <c r="O200" s="165"/>
      <c r="Q200" s="162" t="s">
        <v>485</v>
      </c>
      <c r="Y200" s="167"/>
      <c r="AA200" s="97"/>
      <c r="AB200" s="97"/>
      <c r="AC200" s="97"/>
      <c r="AD200" s="97"/>
      <c r="AE200" s="97"/>
      <c r="AF200" s="97"/>
      <c r="AG200" s="97"/>
      <c r="AH200" s="97"/>
      <c r="AI200" s="97"/>
      <c r="AJ200" s="97"/>
      <c r="AK200" s="97"/>
      <c r="AL200" s="97"/>
    </row>
    <row r="201" spans="1:38" ht="14.1" customHeight="1">
      <c r="A201" s="153">
        <v>65</v>
      </c>
      <c r="B201" s="417"/>
      <c r="C201" s="204"/>
      <c r="D201" s="419" t="s">
        <v>487</v>
      </c>
      <c r="E201" s="97"/>
      <c r="F201" s="97"/>
      <c r="G201" s="97"/>
      <c r="H201" s="97"/>
      <c r="I201" s="97"/>
      <c r="J201" s="97"/>
      <c r="K201" s="97"/>
      <c r="L201" s="97"/>
      <c r="M201" s="269"/>
      <c r="O201" s="165"/>
      <c r="Q201" s="162" t="s">
        <v>486</v>
      </c>
      <c r="Y201" s="167"/>
      <c r="AA201" s="97"/>
      <c r="AB201" s="97"/>
      <c r="AC201" s="97"/>
      <c r="AD201" s="97"/>
      <c r="AE201" s="97"/>
      <c r="AF201" s="97"/>
      <c r="AG201" s="97"/>
      <c r="AH201" s="97"/>
      <c r="AI201" s="97"/>
      <c r="AJ201" s="97"/>
      <c r="AK201" s="97"/>
      <c r="AL201" s="97"/>
    </row>
    <row r="202" spans="1:38" ht="14.1" customHeight="1">
      <c r="A202" s="153">
        <v>66</v>
      </c>
      <c r="B202" s="420"/>
      <c r="C202" s="421"/>
      <c r="D202" s="421"/>
      <c r="E202" s="421"/>
      <c r="F202" s="421"/>
      <c r="G202" s="421"/>
      <c r="H202" s="421"/>
      <c r="I202" s="421"/>
      <c r="J202" s="421"/>
      <c r="K202" s="421"/>
      <c r="L202" s="421"/>
      <c r="M202" s="422"/>
      <c r="O202" s="165"/>
      <c r="Q202" s="162" t="s">
        <v>487</v>
      </c>
      <c r="Y202" s="167"/>
      <c r="AA202" s="97"/>
      <c r="AB202" s="97"/>
      <c r="AC202" s="97"/>
      <c r="AD202" s="97"/>
      <c r="AE202" s="97"/>
      <c r="AF202" s="97"/>
      <c r="AG202" s="97"/>
      <c r="AH202" s="97"/>
      <c r="AI202" s="97"/>
      <c r="AJ202" s="97"/>
      <c r="AK202" s="97"/>
      <c r="AL202" s="97"/>
    </row>
    <row r="203" spans="1:38" ht="14.1" customHeight="1">
      <c r="A203" s="153">
        <v>67</v>
      </c>
      <c r="C203" s="271" t="s">
        <v>217</v>
      </c>
      <c r="D203" s="272" t="str">
        <f>IF($P$7="","",$P$7)</f>
        <v/>
      </c>
      <c r="E203" s="162"/>
      <c r="F203" s="162"/>
      <c r="G203" s="162"/>
      <c r="H203" s="162"/>
      <c r="I203" s="162"/>
      <c r="J203" s="162"/>
      <c r="K203" s="162"/>
      <c r="L203" s="271" t="s">
        <v>218</v>
      </c>
      <c r="M203" s="273" t="str">
        <f>IF($X$7="","",$X$7)</f>
        <v>Eugene Mah</v>
      </c>
      <c r="O203" s="175"/>
      <c r="P203" s="176"/>
      <c r="Q203" s="423"/>
      <c r="R203" s="176"/>
      <c r="S203" s="176"/>
      <c r="T203" s="176"/>
      <c r="U203" s="176"/>
      <c r="V203" s="176"/>
      <c r="W203" s="176"/>
      <c r="X203" s="176"/>
      <c r="Y203" s="177"/>
      <c r="AA203" s="97"/>
      <c r="AB203" s="97"/>
      <c r="AC203" s="97"/>
      <c r="AD203" s="97"/>
      <c r="AE203" s="97"/>
      <c r="AF203" s="97"/>
      <c r="AG203" s="97"/>
      <c r="AH203" s="97"/>
      <c r="AI203" s="97"/>
      <c r="AJ203" s="97"/>
      <c r="AK203" s="97"/>
      <c r="AL203" s="97"/>
    </row>
    <row r="204" spans="1:38" ht="14.1" customHeight="1">
      <c r="A204" s="153">
        <v>68</v>
      </c>
      <c r="C204" s="271" t="s">
        <v>324</v>
      </c>
      <c r="D204" s="274" t="str">
        <f>IF($R$14="","",$R$14)</f>
        <v/>
      </c>
      <c r="E204" s="162"/>
      <c r="F204" s="162"/>
      <c r="G204" s="162"/>
      <c r="H204" s="162"/>
      <c r="I204" s="162"/>
      <c r="J204" s="162"/>
      <c r="K204" s="162"/>
      <c r="L204" s="271" t="s">
        <v>241</v>
      </c>
      <c r="M204" s="275" t="str">
        <f>IF($R$13="","",$R$13)</f>
        <v/>
      </c>
      <c r="O204" s="317" t="s">
        <v>384</v>
      </c>
      <c r="Y204" s="167"/>
      <c r="AA204" s="97"/>
      <c r="AB204" s="97"/>
      <c r="AC204" s="97"/>
      <c r="AD204" s="97"/>
      <c r="AE204" s="97"/>
      <c r="AF204" s="97"/>
      <c r="AG204" s="97"/>
      <c r="AH204" s="97"/>
      <c r="AI204" s="97"/>
      <c r="AJ204" s="97"/>
      <c r="AK204" s="97"/>
      <c r="AL204" s="97"/>
    </row>
    <row r="205" spans="1:38" ht="14.1" customHeight="1">
      <c r="A205" s="153">
        <v>1</v>
      </c>
      <c r="M205" s="276" t="str">
        <f>$H$2</f>
        <v>Medical University of South Carolina</v>
      </c>
      <c r="O205" s="165"/>
      <c r="P205" s="170" t="s">
        <v>488</v>
      </c>
      <c r="Q205" s="334"/>
      <c r="R205" s="334"/>
      <c r="S205" s="334"/>
      <c r="T205" s="97"/>
      <c r="U205" s="97"/>
      <c r="V205" s="97"/>
      <c r="W205" s="97"/>
      <c r="X205" s="97"/>
      <c r="Y205" s="167"/>
      <c r="AA205" s="97"/>
      <c r="AB205" s="97"/>
      <c r="AC205" s="97"/>
      <c r="AD205" s="97"/>
      <c r="AE205" s="97"/>
      <c r="AF205" s="97"/>
      <c r="AG205" s="97"/>
      <c r="AH205" s="97"/>
      <c r="AI205" s="97"/>
      <c r="AJ205" s="97"/>
      <c r="AK205" s="97"/>
      <c r="AL205" s="97"/>
    </row>
    <row r="206" spans="1:38" ht="14.1" customHeight="1">
      <c r="A206" s="153">
        <v>2</v>
      </c>
      <c r="H206" s="186" t="s">
        <v>275</v>
      </c>
      <c r="M206" s="277" t="str">
        <f>$H$5</f>
        <v>Mammography System Compliance Inspection</v>
      </c>
      <c r="O206" s="165"/>
      <c r="P206" s="170" t="s">
        <v>254</v>
      </c>
      <c r="Q206" s="334"/>
      <c r="R206" s="334"/>
      <c r="S206" s="334"/>
      <c r="Y206" s="167"/>
      <c r="AA206" s="97"/>
      <c r="AB206" s="97"/>
      <c r="AC206" s="97"/>
      <c r="AD206" s="97"/>
      <c r="AE206" s="97"/>
      <c r="AF206" s="97"/>
      <c r="AG206" s="97"/>
      <c r="AH206" s="97"/>
      <c r="AI206" s="97"/>
      <c r="AJ206" s="97"/>
      <c r="AK206" s="97"/>
      <c r="AL206" s="97"/>
    </row>
    <row r="207" spans="1:38" ht="14.1" customHeight="1">
      <c r="A207" s="153">
        <v>3</v>
      </c>
      <c r="B207" s="194"/>
      <c r="C207" s="196" t="str">
        <f>O215</f>
        <v>AEC Thickness Tracking – 2D</v>
      </c>
      <c r="D207" s="195"/>
      <c r="E207" s="195"/>
      <c r="F207" s="195"/>
      <c r="G207" s="195"/>
      <c r="H207" s="195"/>
      <c r="I207" s="195"/>
      <c r="J207" s="195"/>
      <c r="K207" s="195"/>
      <c r="L207" s="195"/>
      <c r="M207" s="197"/>
      <c r="O207" s="165"/>
      <c r="P207" s="170" t="s">
        <v>391</v>
      </c>
      <c r="Q207" s="334"/>
      <c r="R207" s="334"/>
      <c r="S207" s="334"/>
      <c r="Y207" s="167"/>
      <c r="AA207" s="97"/>
      <c r="AB207" s="97"/>
      <c r="AC207" s="97"/>
      <c r="AD207" s="97"/>
      <c r="AE207" s="97"/>
      <c r="AF207" s="97"/>
      <c r="AG207" s="97"/>
      <c r="AH207" s="97"/>
      <c r="AI207" s="97"/>
      <c r="AJ207" s="97"/>
      <c r="AK207" s="97"/>
      <c r="AL207" s="97"/>
    </row>
    <row r="208" spans="1:38" ht="14.1" customHeight="1">
      <c r="A208" s="153">
        <v>4</v>
      </c>
      <c r="B208" s="203"/>
      <c r="C208" s="170" t="s">
        <v>489</v>
      </c>
      <c r="D208" s="424" t="str">
        <f>IF(P216="","",P216)</f>
        <v/>
      </c>
      <c r="F208" s="170" t="s">
        <v>490</v>
      </c>
      <c r="G208" s="424" t="str">
        <f>IF(S216="","",S216)</f>
        <v/>
      </c>
      <c r="M208" s="206"/>
      <c r="O208" s="165"/>
      <c r="P208" s="170" t="s">
        <v>434</v>
      </c>
      <c r="Q208" s="334"/>
      <c r="R208" s="334"/>
      <c r="S208" s="334"/>
      <c r="Y208" s="167"/>
      <c r="AA208" s="97"/>
      <c r="AB208" s="97"/>
      <c r="AC208" s="97"/>
      <c r="AD208" s="97"/>
      <c r="AE208" s="97"/>
      <c r="AF208" s="97"/>
      <c r="AG208" s="97"/>
      <c r="AH208" s="97"/>
      <c r="AI208" s="97"/>
      <c r="AJ208" s="97"/>
      <c r="AK208" s="97"/>
      <c r="AL208" s="97"/>
    </row>
    <row r="209" spans="1:38" ht="14.1" customHeight="1">
      <c r="A209" s="153">
        <v>5</v>
      </c>
      <c r="B209" s="203"/>
      <c r="D209" s="150" t="s">
        <v>272</v>
      </c>
      <c r="I209" s="150" t="s">
        <v>491</v>
      </c>
      <c r="K209" s="152"/>
      <c r="M209" s="206"/>
      <c r="O209" s="165"/>
      <c r="P209" s="170" t="s">
        <v>492</v>
      </c>
      <c r="Q209" s="334"/>
      <c r="R209" s="334"/>
      <c r="S209" s="334"/>
      <c r="Y209" s="167"/>
      <c r="AA209" s="97"/>
      <c r="AB209" s="97"/>
      <c r="AC209" s="97"/>
      <c r="AD209" s="97"/>
      <c r="AE209" s="97"/>
      <c r="AF209" s="97"/>
      <c r="AG209" s="97"/>
      <c r="AH209" s="97"/>
      <c r="AI209" s="97"/>
      <c r="AJ209" s="97"/>
      <c r="AK209" s="97"/>
      <c r="AL209" s="97"/>
    </row>
    <row r="210" spans="1:38" ht="14.1" customHeight="1">
      <c r="A210" s="153">
        <v>6</v>
      </c>
      <c r="B210" s="203"/>
      <c r="D210" s="150" t="s">
        <v>493</v>
      </c>
      <c r="E210" s="150" t="s">
        <v>229</v>
      </c>
      <c r="F210" s="150" t="s">
        <v>494</v>
      </c>
      <c r="G210" s="150" t="s">
        <v>274</v>
      </c>
      <c r="H210" s="150" t="s">
        <v>495</v>
      </c>
      <c r="I210" s="150" t="s">
        <v>496</v>
      </c>
      <c r="J210" s="150" t="s">
        <v>497</v>
      </c>
      <c r="K210" s="152"/>
      <c r="M210" s="206"/>
      <c r="O210" s="165"/>
      <c r="P210" s="170" t="s">
        <v>436</v>
      </c>
      <c r="Q210" s="224" t="str">
        <f>IF(Q209="","",IF(AND(Q205="2D",Q209&gt;=7),"Pass",IF(AND(Q205="3D",Q209&gt;=3),"Pass","Fail")))</f>
        <v/>
      </c>
      <c r="R210" s="224" t="str">
        <f>IF(R209="","",IF(AND(R205="2D",R209&gt;=7),"Pass",IF(AND(R205="3D",R209&gt;=3),"Pass","Fail")))</f>
        <v/>
      </c>
      <c r="S210" s="224" t="str">
        <f>IF(S209="","",IF(AND(S205="2D",S209&gt;=7),"Pass",IF(AND(S205="3D",S209&gt;=3),"Pass","Fail")))</f>
        <v/>
      </c>
      <c r="Y210" s="167"/>
      <c r="AA210" s="97"/>
      <c r="AB210" s="97"/>
      <c r="AC210" s="97"/>
      <c r="AD210" s="97"/>
      <c r="AE210" s="97"/>
      <c r="AF210" s="97"/>
      <c r="AG210" s="97"/>
      <c r="AH210" s="97"/>
      <c r="AI210" s="97"/>
      <c r="AJ210" s="97"/>
      <c r="AK210" s="97"/>
      <c r="AL210" s="97"/>
    </row>
    <row r="211" spans="1:38" ht="14.1" customHeight="1">
      <c r="A211" s="153">
        <v>7</v>
      </c>
      <c r="B211" s="203"/>
      <c r="D211" s="207">
        <f t="shared" ref="D211:H218" si="32">IF(P219="","",P219)</f>
        <v>2</v>
      </c>
      <c r="E211" s="208" t="str">
        <f t="shared" si="32"/>
        <v/>
      </c>
      <c r="F211" s="208" t="str">
        <f t="shared" si="32"/>
        <v/>
      </c>
      <c r="G211" s="208" t="str">
        <f t="shared" si="32"/>
        <v/>
      </c>
      <c r="H211" s="208" t="str">
        <f t="shared" si="32"/>
        <v/>
      </c>
      <c r="I211" s="208" t="str">
        <f t="shared" ref="I211:J218" si="33">IF(V219="","",V219)</f>
        <v/>
      </c>
      <c r="J211" s="392" t="str">
        <f t="shared" si="33"/>
        <v/>
      </c>
      <c r="K211" s="152"/>
      <c r="M211" s="206"/>
      <c r="O211" s="165"/>
      <c r="P211" s="170" t="s">
        <v>498</v>
      </c>
      <c r="Q211" s="425" t="str">
        <f>IF(AB94="","",AB94)</f>
        <v/>
      </c>
      <c r="R211" s="425" t="str">
        <f>IF(AB95="","",AB95)</f>
        <v/>
      </c>
      <c r="S211" s="425" t="str">
        <f>IF(AB96="","",AB96)</f>
        <v/>
      </c>
      <c r="T211" s="97"/>
      <c r="U211" s="97"/>
      <c r="V211" s="97"/>
      <c r="W211" s="97"/>
      <c r="X211" s="97"/>
      <c r="Y211" s="167"/>
      <c r="AA211" s="97"/>
      <c r="AB211" s="97"/>
      <c r="AC211" s="97"/>
      <c r="AD211" s="97"/>
      <c r="AE211" s="97"/>
      <c r="AF211" s="97"/>
      <c r="AG211" s="97"/>
      <c r="AH211" s="97"/>
      <c r="AI211" s="97"/>
      <c r="AJ211" s="97"/>
      <c r="AK211" s="97"/>
      <c r="AL211" s="97"/>
    </row>
    <row r="212" spans="1:38" ht="14.1" customHeight="1">
      <c r="A212" s="153">
        <v>8</v>
      </c>
      <c r="B212" s="203"/>
      <c r="D212" s="223">
        <f t="shared" si="32"/>
        <v>4</v>
      </c>
      <c r="E212" s="224" t="str">
        <f t="shared" si="32"/>
        <v/>
      </c>
      <c r="F212" s="224" t="str">
        <f t="shared" si="32"/>
        <v/>
      </c>
      <c r="G212" s="224" t="str">
        <f t="shared" si="32"/>
        <v/>
      </c>
      <c r="H212" s="224" t="str">
        <f t="shared" si="32"/>
        <v/>
      </c>
      <c r="I212" s="224" t="str">
        <f t="shared" si="33"/>
        <v/>
      </c>
      <c r="J212" s="408" t="str">
        <f t="shared" si="33"/>
        <v/>
      </c>
      <c r="K212" s="152"/>
      <c r="M212" s="206"/>
      <c r="O212" s="165"/>
      <c r="P212" s="97"/>
      <c r="Q212" s="97"/>
      <c r="R212" s="97"/>
      <c r="S212" s="97"/>
      <c r="T212" s="97"/>
      <c r="U212" s="97"/>
      <c r="V212" s="97"/>
      <c r="W212" s="97"/>
      <c r="X212" s="97"/>
      <c r="Y212" s="167"/>
      <c r="AA212" s="97"/>
      <c r="AB212" s="97"/>
      <c r="AC212" s="97"/>
      <c r="AD212" s="97"/>
      <c r="AE212" s="97"/>
      <c r="AF212" s="97"/>
      <c r="AG212" s="97"/>
      <c r="AH212" s="97"/>
      <c r="AI212" s="97"/>
      <c r="AJ212" s="97"/>
      <c r="AK212" s="97"/>
      <c r="AL212" s="97"/>
    </row>
    <row r="213" spans="1:38" ht="14.1" customHeight="1">
      <c r="A213" s="153">
        <v>9</v>
      </c>
      <c r="B213" s="203"/>
      <c r="D213" s="223">
        <f t="shared" si="32"/>
        <v>4</v>
      </c>
      <c r="E213" s="224">
        <f t="shared" si="32"/>
        <v>0</v>
      </c>
      <c r="F213" s="224">
        <f t="shared" si="32"/>
        <v>0</v>
      </c>
      <c r="G213" s="224" t="str">
        <f t="shared" si="32"/>
        <v/>
      </c>
      <c r="H213" s="224" t="str">
        <f t="shared" si="32"/>
        <v/>
      </c>
      <c r="I213" s="224" t="str">
        <f t="shared" si="33"/>
        <v/>
      </c>
      <c r="J213" s="408" t="str">
        <f t="shared" si="33"/>
        <v/>
      </c>
      <c r="K213" s="152"/>
      <c r="M213" s="206"/>
      <c r="O213" s="165"/>
      <c r="P213" s="426" t="s">
        <v>418</v>
      </c>
      <c r="Q213" s="419" t="s">
        <v>499</v>
      </c>
      <c r="R213" s="204"/>
      <c r="S213" s="204"/>
      <c r="T213" s="204"/>
      <c r="U213" s="204"/>
      <c r="V213" s="204"/>
      <c r="W213" s="204"/>
      <c r="X213" s="204"/>
      <c r="Y213" s="167"/>
      <c r="AA213" s="97"/>
      <c r="AB213" s="97"/>
      <c r="AC213" s="97"/>
      <c r="AD213" s="97"/>
      <c r="AE213" s="97"/>
      <c r="AF213" s="97"/>
      <c r="AG213" s="97"/>
      <c r="AH213" s="97"/>
      <c r="AI213" s="97"/>
      <c r="AJ213" s="97"/>
      <c r="AK213" s="97"/>
      <c r="AL213" s="97"/>
    </row>
    <row r="214" spans="1:38" ht="14.1" customHeight="1">
      <c r="A214" s="153">
        <v>10</v>
      </c>
      <c r="B214" s="203"/>
      <c r="D214" s="223">
        <f t="shared" si="32"/>
        <v>4</v>
      </c>
      <c r="E214" s="224">
        <f t="shared" si="32"/>
        <v>0</v>
      </c>
      <c r="F214" s="224">
        <f t="shared" si="32"/>
        <v>0</v>
      </c>
      <c r="G214" s="224" t="str">
        <f t="shared" si="32"/>
        <v/>
      </c>
      <c r="H214" s="224" t="str">
        <f t="shared" si="32"/>
        <v/>
      </c>
      <c r="I214" s="224" t="str">
        <f t="shared" si="33"/>
        <v/>
      </c>
      <c r="J214" s="408" t="str">
        <f t="shared" si="33"/>
        <v/>
      </c>
      <c r="K214" s="152"/>
      <c r="M214" s="206"/>
      <c r="O214" s="175"/>
      <c r="P214" s="176"/>
      <c r="Q214" s="423" t="s">
        <v>500</v>
      </c>
      <c r="R214" s="176"/>
      <c r="S214" s="176"/>
      <c r="T214" s="176"/>
      <c r="U214" s="176"/>
      <c r="V214" s="176"/>
      <c r="W214" s="176"/>
      <c r="X214" s="176"/>
      <c r="Y214" s="177"/>
      <c r="AA214" s="150"/>
      <c r="AB214" s="150"/>
      <c r="AC214" s="150"/>
    </row>
    <row r="215" spans="1:38" ht="14.1" customHeight="1">
      <c r="A215" s="153">
        <v>11</v>
      </c>
      <c r="B215" s="203"/>
      <c r="D215" s="223">
        <f t="shared" si="32"/>
        <v>4</v>
      </c>
      <c r="E215" s="224">
        <f t="shared" si="32"/>
        <v>0</v>
      </c>
      <c r="F215" s="224">
        <f t="shared" si="32"/>
        <v>0</v>
      </c>
      <c r="G215" s="224" t="str">
        <f t="shared" si="32"/>
        <v/>
      </c>
      <c r="H215" s="224" t="str">
        <f t="shared" si="32"/>
        <v/>
      </c>
      <c r="I215" s="224" t="str">
        <f t="shared" si="33"/>
        <v/>
      </c>
      <c r="J215" s="408" t="str">
        <f t="shared" si="33"/>
        <v/>
      </c>
      <c r="K215" s="152"/>
      <c r="M215" s="206"/>
      <c r="O215" s="317" t="s">
        <v>501</v>
      </c>
      <c r="Y215" s="167"/>
      <c r="AA215" s="150"/>
      <c r="AB215" s="150"/>
      <c r="AC215" s="150"/>
    </row>
    <row r="216" spans="1:38" ht="14.1" customHeight="1">
      <c r="A216" s="153">
        <v>12</v>
      </c>
      <c r="B216" s="203"/>
      <c r="D216" s="223">
        <f t="shared" si="32"/>
        <v>6</v>
      </c>
      <c r="E216" s="224" t="str">
        <f t="shared" si="32"/>
        <v/>
      </c>
      <c r="F216" s="224" t="str">
        <f t="shared" si="32"/>
        <v/>
      </c>
      <c r="G216" s="224" t="str">
        <f t="shared" si="32"/>
        <v/>
      </c>
      <c r="H216" s="224" t="str">
        <f t="shared" si="32"/>
        <v/>
      </c>
      <c r="I216" s="224" t="str">
        <f t="shared" si="33"/>
        <v/>
      </c>
      <c r="J216" s="408" t="str">
        <f t="shared" si="33"/>
        <v/>
      </c>
      <c r="K216" s="152"/>
      <c r="M216" s="206"/>
      <c r="O216" s="165" t="s">
        <v>489</v>
      </c>
      <c r="P216" s="427"/>
      <c r="R216" s="170" t="s">
        <v>490</v>
      </c>
      <c r="S216" s="318"/>
      <c r="U216" s="428" t="s">
        <v>502</v>
      </c>
      <c r="V216" s="318"/>
      <c r="W216" s="151" t="s">
        <v>503</v>
      </c>
      <c r="Y216" s="167"/>
      <c r="AA216" s="150"/>
      <c r="AB216" s="150"/>
      <c r="AC216" s="150"/>
    </row>
    <row r="217" spans="1:38" ht="14.1" customHeight="1">
      <c r="A217" s="153">
        <v>13</v>
      </c>
      <c r="B217" s="203"/>
      <c r="D217" s="223">
        <f t="shared" si="32"/>
        <v>8</v>
      </c>
      <c r="E217" s="224" t="str">
        <f t="shared" si="32"/>
        <v/>
      </c>
      <c r="F217" s="224" t="str">
        <f t="shared" si="32"/>
        <v/>
      </c>
      <c r="G217" s="224" t="str">
        <f t="shared" si="32"/>
        <v/>
      </c>
      <c r="H217" s="224" t="str">
        <f t="shared" si="32"/>
        <v/>
      </c>
      <c r="I217" s="224" t="str">
        <f t="shared" si="33"/>
        <v/>
      </c>
      <c r="J217" s="408" t="str">
        <f t="shared" si="33"/>
        <v/>
      </c>
      <c r="K217" s="152"/>
      <c r="M217" s="206"/>
      <c r="O217" s="165"/>
      <c r="P217" s="150" t="s">
        <v>272</v>
      </c>
      <c r="U217" s="150" t="s">
        <v>504</v>
      </c>
      <c r="V217" s="150" t="s">
        <v>491</v>
      </c>
      <c r="Y217" s="167"/>
    </row>
    <row r="218" spans="1:38" ht="14.1" customHeight="1">
      <c r="A218" s="153">
        <v>14</v>
      </c>
      <c r="B218" s="203"/>
      <c r="D218" s="282">
        <f t="shared" si="32"/>
        <v>4</v>
      </c>
      <c r="E218" s="283" t="str">
        <f t="shared" si="32"/>
        <v/>
      </c>
      <c r="F218" s="283" t="str">
        <f t="shared" si="32"/>
        <v/>
      </c>
      <c r="G218" s="283" t="str">
        <f t="shared" si="32"/>
        <v/>
      </c>
      <c r="H218" s="283" t="str">
        <f t="shared" si="32"/>
        <v/>
      </c>
      <c r="I218" s="283" t="str">
        <f t="shared" si="33"/>
        <v/>
      </c>
      <c r="J218" s="395" t="str">
        <f t="shared" si="33"/>
        <v/>
      </c>
      <c r="K218" s="152"/>
      <c r="M218" s="206"/>
      <c r="O218" s="165"/>
      <c r="P218" s="150" t="s">
        <v>493</v>
      </c>
      <c r="Q218" s="150" t="s">
        <v>229</v>
      </c>
      <c r="R218" s="150" t="s">
        <v>494</v>
      </c>
      <c r="S218" s="150" t="s">
        <v>274</v>
      </c>
      <c r="T218" s="150" t="s">
        <v>495</v>
      </c>
      <c r="U218" s="150" t="s">
        <v>495</v>
      </c>
      <c r="V218" s="150" t="s">
        <v>496</v>
      </c>
      <c r="W218" s="150" t="s">
        <v>497</v>
      </c>
      <c r="Y218" s="167"/>
    </row>
    <row r="219" spans="1:38" ht="14.1" customHeight="1">
      <c r="A219" s="153">
        <v>15</v>
      </c>
      <c r="B219" s="203"/>
      <c r="G219" s="170" t="s">
        <v>505</v>
      </c>
      <c r="H219" s="429" t="str">
        <f>IF(U227="","",U227)</f>
        <v/>
      </c>
      <c r="J219" s="429" t="str">
        <f>IF(W227="","",W227)</f>
        <v/>
      </c>
      <c r="K219" s="152"/>
      <c r="M219" s="206"/>
      <c r="O219" s="165"/>
      <c r="P219" s="430">
        <v>2</v>
      </c>
      <c r="Q219" s="431"/>
      <c r="R219" s="432"/>
      <c r="S219" s="432"/>
      <c r="T219" s="432"/>
      <c r="U219" s="433" t="str">
        <f>IF(T219="","",IF($V$216=-1,T219,T219/VLOOKUP(P219,Tables!$A$130:$H$134,MATCH($V$216,Tables!$A$130:$H$130))))</f>
        <v/>
      </c>
      <c r="V219" s="432"/>
      <c r="W219" s="392" t="str">
        <f t="shared" ref="W219:W226" si="34">IF(OR(U219="",$U$227=""),"",ABS((U219-$U$227)/$U$227))</f>
        <v/>
      </c>
      <c r="Y219" s="167"/>
    </row>
    <row r="220" spans="1:38" ht="14.1" customHeight="1">
      <c r="A220" s="153">
        <v>16</v>
      </c>
      <c r="B220" s="203"/>
      <c r="D220" s="277" t="s">
        <v>418</v>
      </c>
      <c r="E220" s="162" t="s">
        <v>506</v>
      </c>
      <c r="M220" s="206"/>
      <c r="O220" s="165"/>
      <c r="P220" s="434">
        <v>4</v>
      </c>
      <c r="Q220" s="435"/>
      <c r="R220" s="316"/>
      <c r="S220" s="316"/>
      <c r="T220" s="316"/>
      <c r="U220" s="436" t="str">
        <f>IF(T220="","",IF($V$216=-1,T220,T220/VLOOKUP(P220,Tables!$A$130:$H$134,MATCH($V$216,Tables!$A$130:$H$130))))</f>
        <v/>
      </c>
      <c r="V220" s="316"/>
      <c r="W220" s="408" t="str">
        <f t="shared" si="34"/>
        <v/>
      </c>
      <c r="Y220" s="167"/>
    </row>
    <row r="221" spans="1:38" ht="14.1" customHeight="1">
      <c r="A221" s="153">
        <v>17</v>
      </c>
      <c r="B221" s="203"/>
      <c r="M221" s="206"/>
      <c r="O221" s="165"/>
      <c r="P221" s="434">
        <v>4</v>
      </c>
      <c r="Q221" s="251">
        <f t="shared" ref="Q221:R223" si="35">Q220</f>
        <v>0</v>
      </c>
      <c r="R221" s="252">
        <f t="shared" si="35"/>
        <v>0</v>
      </c>
      <c r="S221" s="316"/>
      <c r="T221" s="316"/>
      <c r="U221" s="436" t="str">
        <f>IF(T221="","",IF($V$216=-1,T221,T221/VLOOKUP(P221,Tables!$A$130:$H$134,MATCH($V$216,Tables!$A$130:$H$130))))</f>
        <v/>
      </c>
      <c r="V221" s="316"/>
      <c r="W221" s="408" t="str">
        <f t="shared" si="34"/>
        <v/>
      </c>
      <c r="Y221" s="167"/>
    </row>
    <row r="222" spans="1:38" ht="14.1" customHeight="1">
      <c r="A222" s="153">
        <v>18</v>
      </c>
      <c r="B222" s="417"/>
      <c r="C222" s="220" t="str">
        <f>O230</f>
        <v>AEC Thickness Tracking – 3D</v>
      </c>
      <c r="D222" s="97"/>
      <c r="E222" s="97"/>
      <c r="F222" s="97"/>
      <c r="G222" s="97"/>
      <c r="H222" s="97"/>
      <c r="I222" s="97"/>
      <c r="J222" s="97"/>
      <c r="K222" s="97"/>
      <c r="L222" s="97"/>
      <c r="M222" s="269"/>
      <c r="O222" s="165"/>
      <c r="P222" s="434">
        <v>4</v>
      </c>
      <c r="Q222" s="251">
        <f t="shared" si="35"/>
        <v>0</v>
      </c>
      <c r="R222" s="252">
        <f t="shared" si="35"/>
        <v>0</v>
      </c>
      <c r="S222" s="316"/>
      <c r="T222" s="316"/>
      <c r="U222" s="436" t="str">
        <f>IF(T222="","",IF($V$216=-1,T222,T222/VLOOKUP(P222,Tables!$A$130:$H$134,MATCH($V$216,Tables!$A$130:$H$130))))</f>
        <v/>
      </c>
      <c r="V222" s="316"/>
      <c r="W222" s="408" t="str">
        <f t="shared" si="34"/>
        <v/>
      </c>
      <c r="Y222" s="167"/>
    </row>
    <row r="223" spans="1:38" ht="14.1" customHeight="1">
      <c r="A223" s="153">
        <v>19</v>
      </c>
      <c r="B223" s="417"/>
      <c r="C223" s="170" t="s">
        <v>489</v>
      </c>
      <c r="D223" s="424" t="str">
        <f>IF(P231="","",P231)</f>
        <v/>
      </c>
      <c r="F223" s="170" t="s">
        <v>490</v>
      </c>
      <c r="G223" s="424" t="str">
        <f>IF(S231="","",S231)</f>
        <v/>
      </c>
      <c r="K223" s="97"/>
      <c r="L223" s="97"/>
      <c r="M223" s="269"/>
      <c r="O223" s="165"/>
      <c r="P223" s="434">
        <v>4</v>
      </c>
      <c r="Q223" s="251">
        <f t="shared" si="35"/>
        <v>0</v>
      </c>
      <c r="R223" s="252">
        <f t="shared" si="35"/>
        <v>0</v>
      </c>
      <c r="S223" s="316"/>
      <c r="T223" s="316"/>
      <c r="U223" s="436" t="str">
        <f>IF(T223="","",IF($V$216=-1,T223,T223/VLOOKUP(P223,Tables!$A$130:$H$134,MATCH($V$216,Tables!$A$130:$H$130))))</f>
        <v/>
      </c>
      <c r="V223" s="316"/>
      <c r="W223" s="408" t="str">
        <f t="shared" si="34"/>
        <v/>
      </c>
      <c r="Y223" s="167"/>
      <c r="Z223" s="97"/>
      <c r="AA223" s="97"/>
      <c r="AB223" s="97"/>
      <c r="AC223" s="97"/>
    </row>
    <row r="224" spans="1:38" ht="14.1" customHeight="1">
      <c r="A224" s="153">
        <v>20</v>
      </c>
      <c r="B224" s="417"/>
      <c r="D224" s="150" t="s">
        <v>272</v>
      </c>
      <c r="I224" s="150" t="s">
        <v>491</v>
      </c>
      <c r="K224" s="97"/>
      <c r="L224" s="97"/>
      <c r="M224" s="269"/>
      <c r="O224" s="165"/>
      <c r="P224" s="434">
        <v>6</v>
      </c>
      <c r="Q224" s="435"/>
      <c r="R224" s="316"/>
      <c r="S224" s="316"/>
      <c r="T224" s="437"/>
      <c r="U224" s="436" t="str">
        <f>IF(T224="","",IF($V$216=-1,T224,T224/VLOOKUP(P224,Tables!$A$130:$H$134,MATCH($V$216,Tables!$A$130:$H$130))))</f>
        <v/>
      </c>
      <c r="V224" s="316"/>
      <c r="W224" s="408" t="str">
        <f t="shared" si="34"/>
        <v/>
      </c>
      <c r="Y224" s="167"/>
      <c r="Z224" s="97"/>
      <c r="AA224" s="97"/>
      <c r="AB224" s="97"/>
      <c r="AC224" s="97"/>
    </row>
    <row r="225" spans="1:29" ht="14.1" customHeight="1">
      <c r="A225" s="153">
        <v>21</v>
      </c>
      <c r="B225" s="417"/>
      <c r="D225" s="150" t="s">
        <v>493</v>
      </c>
      <c r="E225" s="150" t="s">
        <v>229</v>
      </c>
      <c r="F225" s="150" t="s">
        <v>494</v>
      </c>
      <c r="G225" s="150" t="s">
        <v>274</v>
      </c>
      <c r="H225" s="150" t="s">
        <v>495</v>
      </c>
      <c r="I225" s="150" t="s">
        <v>496</v>
      </c>
      <c r="J225" s="150" t="s">
        <v>497</v>
      </c>
      <c r="K225" s="97"/>
      <c r="L225" s="97"/>
      <c r="M225" s="269"/>
      <c r="O225" s="165"/>
      <c r="P225" s="434">
        <v>8</v>
      </c>
      <c r="Q225" s="435"/>
      <c r="R225" s="316"/>
      <c r="S225" s="316"/>
      <c r="T225" s="437"/>
      <c r="U225" s="436" t="str">
        <f>IF(T225="","",IF($V$216=-1,T225,T225/VLOOKUP(P225,Tables!$A$130:$H$134,MATCH($V$216,Tables!$A$130:$H$130))))</f>
        <v/>
      </c>
      <c r="V225" s="316"/>
      <c r="W225" s="408" t="str">
        <f t="shared" si="34"/>
        <v/>
      </c>
      <c r="Y225" s="167"/>
      <c r="Z225" s="97"/>
      <c r="AA225" s="97"/>
      <c r="AB225" s="97"/>
      <c r="AC225" s="97"/>
    </row>
    <row r="226" spans="1:29" ht="14.1" customHeight="1">
      <c r="A226" s="153">
        <v>22</v>
      </c>
      <c r="B226" s="417"/>
      <c r="D226" s="207">
        <f t="shared" ref="D226:H232" si="36">IF(P234="","",P234)</f>
        <v>2</v>
      </c>
      <c r="E226" s="208" t="str">
        <f t="shared" si="36"/>
        <v/>
      </c>
      <c r="F226" s="208" t="str">
        <f t="shared" si="36"/>
        <v/>
      </c>
      <c r="G226" s="208" t="str">
        <f t="shared" si="36"/>
        <v/>
      </c>
      <c r="H226" s="208" t="str">
        <f t="shared" si="36"/>
        <v/>
      </c>
      <c r="I226" s="208" t="str">
        <f t="shared" ref="I226:J232" si="37">IF(V234="","",V234)</f>
        <v/>
      </c>
      <c r="J226" s="392" t="str">
        <f t="shared" si="37"/>
        <v/>
      </c>
      <c r="K226" s="97"/>
      <c r="L226" s="97"/>
      <c r="M226" s="269"/>
      <c r="O226" s="355" t="s">
        <v>507</v>
      </c>
      <c r="P226" s="438">
        <v>4</v>
      </c>
      <c r="Q226" s="439"/>
      <c r="R226" s="440"/>
      <c r="S226" s="440"/>
      <c r="T226" s="441"/>
      <c r="U226" s="442" t="str">
        <f>IF(T226="","",IF($V$216=-1,T226,T226/VLOOKUP(P226,Tables!$A$130:$H$134,MATCH($V$216,Tables!$A$130:$H$130))))</f>
        <v/>
      </c>
      <c r="V226" s="440"/>
      <c r="W226" s="395" t="str">
        <f t="shared" si="34"/>
        <v/>
      </c>
      <c r="Y226" s="167"/>
      <c r="Z226" s="97"/>
      <c r="AA226" s="97"/>
      <c r="AB226" s="97"/>
      <c r="AC226" s="97"/>
    </row>
    <row r="227" spans="1:29" ht="14.1" customHeight="1">
      <c r="A227" s="153">
        <v>23</v>
      </c>
      <c r="B227" s="417"/>
      <c r="D227" s="223">
        <f t="shared" si="36"/>
        <v>4</v>
      </c>
      <c r="E227" s="224" t="str">
        <f t="shared" si="36"/>
        <v/>
      </c>
      <c r="F227" s="224" t="str">
        <f t="shared" si="36"/>
        <v/>
      </c>
      <c r="G227" s="224" t="str">
        <f t="shared" si="36"/>
        <v/>
      </c>
      <c r="H227" s="224" t="str">
        <f t="shared" si="36"/>
        <v/>
      </c>
      <c r="I227" s="224" t="str">
        <f t="shared" si="37"/>
        <v/>
      </c>
      <c r="J227" s="408" t="str">
        <f t="shared" si="37"/>
        <v/>
      </c>
      <c r="K227" s="97"/>
      <c r="L227" s="97"/>
      <c r="M227" s="269"/>
      <c r="O227" s="165"/>
      <c r="S227" s="97"/>
      <c r="T227" s="170" t="s">
        <v>505</v>
      </c>
      <c r="U227" s="443" t="str">
        <f>IF(U219="","",IF(O35=1,AVERAGE(U219:U225),AVERAGE(U219:U226)))</f>
        <v/>
      </c>
      <c r="W227" s="444" t="str">
        <f>IF(W219="","",IF(MAX(W219:W226)&gt;0.1,"Fail","Pass"))</f>
        <v/>
      </c>
      <c r="Y227" s="167"/>
      <c r="Z227" s="97"/>
      <c r="AA227" s="97"/>
      <c r="AB227" s="97"/>
      <c r="AC227" s="97"/>
    </row>
    <row r="228" spans="1:29" ht="14.1" customHeight="1">
      <c r="A228" s="153">
        <v>24</v>
      </c>
      <c r="B228" s="417"/>
      <c r="D228" s="223">
        <f t="shared" si="36"/>
        <v>4</v>
      </c>
      <c r="E228" s="224">
        <f t="shared" si="36"/>
        <v>0</v>
      </c>
      <c r="F228" s="224">
        <f t="shared" si="36"/>
        <v>0</v>
      </c>
      <c r="G228" s="224" t="str">
        <f t="shared" si="36"/>
        <v/>
      </c>
      <c r="H228" s="224" t="str">
        <f t="shared" si="36"/>
        <v/>
      </c>
      <c r="I228" s="224" t="str">
        <f t="shared" si="37"/>
        <v/>
      </c>
      <c r="J228" s="408" t="str">
        <f t="shared" si="37"/>
        <v/>
      </c>
      <c r="K228" s="97"/>
      <c r="L228" s="97"/>
      <c r="M228" s="269"/>
      <c r="O228" s="165"/>
      <c r="P228" s="271" t="s">
        <v>418</v>
      </c>
      <c r="Q228" s="162" t="s">
        <v>506</v>
      </c>
      <c r="Y228" s="167"/>
      <c r="Z228" s="97"/>
      <c r="AA228" s="97"/>
      <c r="AB228" s="97"/>
      <c r="AC228" s="97"/>
    </row>
    <row r="229" spans="1:29" ht="14.1" customHeight="1">
      <c r="A229" s="153">
        <v>25</v>
      </c>
      <c r="B229" s="417"/>
      <c r="D229" s="223">
        <f t="shared" si="36"/>
        <v>4</v>
      </c>
      <c r="E229" s="224">
        <f t="shared" si="36"/>
        <v>0</v>
      </c>
      <c r="F229" s="224">
        <f t="shared" si="36"/>
        <v>0</v>
      </c>
      <c r="G229" s="224" t="str">
        <f t="shared" si="36"/>
        <v/>
      </c>
      <c r="H229" s="224" t="str">
        <f t="shared" si="36"/>
        <v/>
      </c>
      <c r="I229" s="224" t="str">
        <f t="shared" si="37"/>
        <v/>
      </c>
      <c r="J229" s="408" t="str">
        <f t="shared" si="37"/>
        <v/>
      </c>
      <c r="K229" s="97"/>
      <c r="L229" s="97"/>
      <c r="M229" s="269"/>
      <c r="O229" s="165"/>
      <c r="Y229" s="167"/>
      <c r="Z229" s="97"/>
      <c r="AA229" s="97"/>
      <c r="AB229" s="97"/>
      <c r="AC229" s="97"/>
    </row>
    <row r="230" spans="1:29" ht="14.1" customHeight="1">
      <c r="A230" s="153">
        <v>26</v>
      </c>
      <c r="B230" s="417"/>
      <c r="D230" s="223">
        <f t="shared" si="36"/>
        <v>4</v>
      </c>
      <c r="E230" s="224">
        <f t="shared" si="36"/>
        <v>0</v>
      </c>
      <c r="F230" s="224">
        <f t="shared" si="36"/>
        <v>0</v>
      </c>
      <c r="G230" s="224" t="str">
        <f t="shared" si="36"/>
        <v/>
      </c>
      <c r="H230" s="224" t="str">
        <f t="shared" si="36"/>
        <v/>
      </c>
      <c r="I230" s="224" t="str">
        <f t="shared" si="37"/>
        <v/>
      </c>
      <c r="J230" s="408" t="str">
        <f t="shared" si="37"/>
        <v/>
      </c>
      <c r="K230" s="97"/>
      <c r="L230" s="97"/>
      <c r="M230" s="269"/>
      <c r="O230" s="317" t="s">
        <v>508</v>
      </c>
      <c r="Y230" s="167"/>
      <c r="Z230" s="97"/>
      <c r="AA230" s="97"/>
      <c r="AB230" s="97"/>
      <c r="AC230" s="97"/>
    </row>
    <row r="231" spans="1:29" ht="14.1" customHeight="1">
      <c r="A231" s="153">
        <v>27</v>
      </c>
      <c r="B231" s="417"/>
      <c r="D231" s="223">
        <f t="shared" si="36"/>
        <v>6</v>
      </c>
      <c r="E231" s="224" t="str">
        <f t="shared" si="36"/>
        <v/>
      </c>
      <c r="F231" s="224" t="str">
        <f t="shared" si="36"/>
        <v/>
      </c>
      <c r="G231" s="224" t="str">
        <f t="shared" si="36"/>
        <v/>
      </c>
      <c r="H231" s="224" t="str">
        <f t="shared" si="36"/>
        <v/>
      </c>
      <c r="I231" s="224" t="str">
        <f t="shared" si="37"/>
        <v/>
      </c>
      <c r="J231" s="408" t="str">
        <f t="shared" si="37"/>
        <v/>
      </c>
      <c r="K231" s="97"/>
      <c r="L231" s="97"/>
      <c r="M231" s="269"/>
      <c r="O231" s="165" t="s">
        <v>489</v>
      </c>
      <c r="P231" s="427"/>
      <c r="R231" s="170" t="s">
        <v>490</v>
      </c>
      <c r="S231" s="318"/>
      <c r="U231" s="428" t="s">
        <v>502</v>
      </c>
      <c r="V231" s="318"/>
      <c r="Y231" s="167"/>
      <c r="Z231" s="97"/>
      <c r="AA231" s="97"/>
      <c r="AB231" s="97"/>
      <c r="AC231" s="97"/>
    </row>
    <row r="232" spans="1:29" ht="14.1" customHeight="1">
      <c r="A232" s="153">
        <v>28</v>
      </c>
      <c r="B232" s="417"/>
      <c r="D232" s="282">
        <f t="shared" si="36"/>
        <v>8</v>
      </c>
      <c r="E232" s="283" t="str">
        <f t="shared" si="36"/>
        <v/>
      </c>
      <c r="F232" s="283" t="str">
        <f t="shared" si="36"/>
        <v/>
      </c>
      <c r="G232" s="283" t="str">
        <f t="shared" si="36"/>
        <v/>
      </c>
      <c r="H232" s="283" t="str">
        <f t="shared" si="36"/>
        <v/>
      </c>
      <c r="I232" s="283" t="str">
        <f t="shared" si="37"/>
        <v/>
      </c>
      <c r="J232" s="395" t="str">
        <f t="shared" si="37"/>
        <v/>
      </c>
      <c r="K232" s="97"/>
      <c r="L232" s="97"/>
      <c r="M232" s="269"/>
      <c r="O232" s="165"/>
      <c r="P232" s="150" t="s">
        <v>272</v>
      </c>
      <c r="U232" s="150" t="s">
        <v>504</v>
      </c>
      <c r="V232" s="150" t="s">
        <v>491</v>
      </c>
      <c r="Y232" s="167"/>
      <c r="Z232" s="97"/>
      <c r="AA232" s="97"/>
      <c r="AB232" s="97"/>
      <c r="AC232" s="97"/>
    </row>
    <row r="233" spans="1:29" ht="14.1" customHeight="1">
      <c r="A233" s="153">
        <v>29</v>
      </c>
      <c r="B233" s="417"/>
      <c r="G233" s="170" t="s">
        <v>505</v>
      </c>
      <c r="H233" s="429" t="str">
        <f>IF(U241="","",U241)</f>
        <v/>
      </c>
      <c r="J233" s="429" t="str">
        <f>IF(W241="","",W241)</f>
        <v/>
      </c>
      <c r="K233" s="97"/>
      <c r="L233" s="97"/>
      <c r="M233" s="269"/>
      <c r="O233" s="165"/>
      <c r="P233" s="150" t="s">
        <v>493</v>
      </c>
      <c r="Q233" s="150" t="s">
        <v>229</v>
      </c>
      <c r="R233" s="150" t="s">
        <v>494</v>
      </c>
      <c r="S233" s="150" t="s">
        <v>274</v>
      </c>
      <c r="T233" s="150" t="s">
        <v>495</v>
      </c>
      <c r="U233" s="150" t="s">
        <v>495</v>
      </c>
      <c r="V233" s="150" t="s">
        <v>496</v>
      </c>
      <c r="W233" s="150" t="s">
        <v>497</v>
      </c>
      <c r="Y233" s="167"/>
      <c r="Z233" s="97"/>
      <c r="AA233" s="97"/>
      <c r="AB233" s="97"/>
      <c r="AC233" s="97"/>
    </row>
    <row r="234" spans="1:29" ht="14.1" customHeight="1">
      <c r="A234" s="153">
        <v>30</v>
      </c>
      <c r="B234" s="417"/>
      <c r="D234" s="277" t="s">
        <v>418</v>
      </c>
      <c r="E234" s="162" t="s">
        <v>506</v>
      </c>
      <c r="K234" s="97"/>
      <c r="L234" s="97"/>
      <c r="M234" s="269"/>
      <c r="O234" s="165"/>
      <c r="P234" s="430">
        <v>2</v>
      </c>
      <c r="Q234" s="431"/>
      <c r="R234" s="432"/>
      <c r="S234" s="432"/>
      <c r="T234" s="445"/>
      <c r="U234" s="433" t="str">
        <f>IF(T234="","",T234/VLOOKUP(P234,Tables!$A$148:$C$152,MATCH($V$231,Tables!$A$148:$C$148)))</f>
        <v/>
      </c>
      <c r="V234" s="432"/>
      <c r="W234" s="392" t="str">
        <f t="shared" ref="W234:W240" si="38">IF(OR(U234="",$U$241=""),"",ABS((U234-$U$241)/$U$241))</f>
        <v/>
      </c>
      <c r="Y234" s="167"/>
      <c r="Z234" s="97"/>
      <c r="AA234" s="97"/>
      <c r="AB234" s="97"/>
      <c r="AC234" s="97"/>
    </row>
    <row r="235" spans="1:29" ht="14.1" customHeight="1">
      <c r="A235" s="153">
        <v>31</v>
      </c>
      <c r="B235" s="417"/>
      <c r="D235" s="97"/>
      <c r="E235" s="97"/>
      <c r="F235" s="97"/>
      <c r="G235" s="97"/>
      <c r="H235" s="97"/>
      <c r="I235" s="97"/>
      <c r="J235" s="97"/>
      <c r="K235" s="97"/>
      <c r="L235" s="97"/>
      <c r="M235" s="269"/>
      <c r="O235" s="165"/>
      <c r="P235" s="434">
        <v>4</v>
      </c>
      <c r="Q235" s="435"/>
      <c r="R235" s="316"/>
      <c r="S235" s="316"/>
      <c r="T235" s="437"/>
      <c r="U235" s="436" t="str">
        <f>IF(T235="","",T235/VLOOKUP(P235,Tables!$A$148:$C$152,MATCH($V$231,Tables!$A$148:$C$148)))</f>
        <v/>
      </c>
      <c r="V235" s="316"/>
      <c r="W235" s="408" t="str">
        <f t="shared" si="38"/>
        <v/>
      </c>
      <c r="Y235" s="167"/>
      <c r="Z235" s="97"/>
      <c r="AA235" s="97"/>
      <c r="AB235" s="97"/>
      <c r="AC235" s="97"/>
    </row>
    <row r="236" spans="1:29" ht="14.1" customHeight="1">
      <c r="A236" s="153">
        <v>32</v>
      </c>
      <c r="B236" s="203"/>
      <c r="C236" s="220" t="s">
        <v>509</v>
      </c>
      <c r="I236" s="150"/>
      <c r="M236" s="206"/>
      <c r="O236" s="165"/>
      <c r="P236" s="434">
        <v>4</v>
      </c>
      <c r="Q236" s="251">
        <f t="shared" ref="Q236:R238" si="39">Q235</f>
        <v>0</v>
      </c>
      <c r="R236" s="252">
        <f t="shared" si="39"/>
        <v>0</v>
      </c>
      <c r="S236" s="316"/>
      <c r="T236" s="437"/>
      <c r="U236" s="436" t="str">
        <f>IF(T236="","",T236/VLOOKUP(P236,Tables!$A$148:$C$152,MATCH($V$231,Tables!$A$148:$C$148)))</f>
        <v/>
      </c>
      <c r="V236" s="316"/>
      <c r="W236" s="408" t="str">
        <f t="shared" si="38"/>
        <v/>
      </c>
      <c r="Y236" s="167"/>
      <c r="AA236" s="446"/>
    </row>
    <row r="237" spans="1:29" ht="14.1" customHeight="1">
      <c r="A237" s="153">
        <v>33</v>
      </c>
      <c r="B237" s="203"/>
      <c r="C237" s="170" t="s">
        <v>489</v>
      </c>
      <c r="D237" s="424">
        <f>IF(P246="","",P246)</f>
        <v>0</v>
      </c>
      <c r="F237" s="170" t="s">
        <v>490</v>
      </c>
      <c r="G237" s="331">
        <f>IF(S246="","",S246)</f>
        <v>0</v>
      </c>
      <c r="H237" s="150"/>
      <c r="I237" s="170" t="s">
        <v>391</v>
      </c>
      <c r="J237" s="331" t="str">
        <f>IF(Q248="","",Q248)</f>
        <v/>
      </c>
      <c r="M237" s="206"/>
      <c r="O237" s="165"/>
      <c r="P237" s="434">
        <v>4</v>
      </c>
      <c r="Q237" s="251">
        <f t="shared" si="39"/>
        <v>0</v>
      </c>
      <c r="R237" s="252">
        <f t="shared" si="39"/>
        <v>0</v>
      </c>
      <c r="S237" s="316"/>
      <c r="T237" s="437"/>
      <c r="U237" s="436" t="str">
        <f>IF(T237="","",T237/VLOOKUP(P237,Tables!$A$148:$C$152,MATCH($V$231,Tables!$A$148:$C$148)))</f>
        <v/>
      </c>
      <c r="V237" s="316"/>
      <c r="W237" s="408" t="str">
        <f t="shared" si="38"/>
        <v/>
      </c>
      <c r="Y237" s="167"/>
      <c r="AA237" s="446"/>
    </row>
    <row r="238" spans="1:29" ht="14.1" customHeight="1">
      <c r="A238" s="153">
        <v>34</v>
      </c>
      <c r="B238" s="203"/>
      <c r="D238" s="152"/>
      <c r="E238" s="152"/>
      <c r="F238" s="152"/>
      <c r="G238" s="150" t="s">
        <v>491</v>
      </c>
      <c r="H238" s="152"/>
      <c r="J238" s="152"/>
      <c r="M238" s="206"/>
      <c r="O238" s="165"/>
      <c r="P238" s="434">
        <v>4</v>
      </c>
      <c r="Q238" s="251">
        <f t="shared" si="39"/>
        <v>0</v>
      </c>
      <c r="R238" s="252">
        <f t="shared" si="39"/>
        <v>0</v>
      </c>
      <c r="S238" s="316"/>
      <c r="T238" s="437"/>
      <c r="U238" s="436" t="str">
        <f>IF(T238="","",T238/VLOOKUP(P238,Tables!$A$148:$C$152,MATCH($V$231,Tables!$A$148:$C$148)))</f>
        <v/>
      </c>
      <c r="V238" s="316"/>
      <c r="W238" s="408" t="str">
        <f t="shared" si="38"/>
        <v/>
      </c>
      <c r="Y238" s="167"/>
      <c r="AA238" s="446"/>
    </row>
    <row r="239" spans="1:29" ht="14.1" customHeight="1">
      <c r="A239" s="153">
        <v>35</v>
      </c>
      <c r="B239" s="203"/>
      <c r="D239" s="207" t="s">
        <v>510</v>
      </c>
      <c r="E239" s="208" t="s">
        <v>274</v>
      </c>
      <c r="F239" s="208" t="s">
        <v>495</v>
      </c>
      <c r="G239" s="208" t="s">
        <v>496</v>
      </c>
      <c r="H239" s="208" t="s">
        <v>511</v>
      </c>
      <c r="I239" s="447" t="s">
        <v>512</v>
      </c>
      <c r="J239" s="152"/>
      <c r="M239" s="206"/>
      <c r="O239" s="165"/>
      <c r="P239" s="434">
        <v>6</v>
      </c>
      <c r="Q239" s="435"/>
      <c r="R239" s="316"/>
      <c r="S239" s="316"/>
      <c r="T239" s="437"/>
      <c r="U239" s="436" t="str">
        <f>IF(T239="","",T239/VLOOKUP(P239,Tables!$A$148:$C$152,MATCH($V$231,Tables!$A$148:$C$148)))</f>
        <v/>
      </c>
      <c r="V239" s="316"/>
      <c r="W239" s="408" t="str">
        <f t="shared" si="38"/>
        <v/>
      </c>
      <c r="Y239" s="167"/>
      <c r="AA239" s="446"/>
    </row>
    <row r="240" spans="1:29" ht="14.1" customHeight="1">
      <c r="A240" s="153">
        <v>36</v>
      </c>
      <c r="B240" s="203"/>
      <c r="D240" s="223">
        <f t="shared" ref="D240:D247" si="40">P248</f>
        <v>-3</v>
      </c>
      <c r="E240" s="224" t="str">
        <f t="shared" ref="E240:H247" si="41">IF(R248="","",R248)</f>
        <v/>
      </c>
      <c r="F240" s="224" t="str">
        <f t="shared" si="41"/>
        <v/>
      </c>
      <c r="G240" s="448" t="str">
        <f t="shared" si="41"/>
        <v/>
      </c>
      <c r="H240" s="448" t="str">
        <f t="shared" si="41"/>
        <v/>
      </c>
      <c r="I240" s="449" t="str">
        <f>IF(U248="","",IF(AND(U248&gt;=X248,U248&lt;=Y248),"Pass","Fail"))</f>
        <v/>
      </c>
      <c r="J240" s="152"/>
      <c r="M240" s="206"/>
      <c r="O240" s="165"/>
      <c r="P240" s="438">
        <v>8</v>
      </c>
      <c r="Q240" s="439"/>
      <c r="R240" s="440"/>
      <c r="S240" s="440"/>
      <c r="T240" s="441"/>
      <c r="U240" s="442" t="str">
        <f>IF(T240="","",T240/VLOOKUP(P240,Tables!$A$148:$C$152,MATCH($V$231,Tables!$A$148:$C$148)))</f>
        <v/>
      </c>
      <c r="V240" s="440"/>
      <c r="W240" s="395" t="str">
        <f t="shared" si="38"/>
        <v/>
      </c>
      <c r="Y240" s="167"/>
      <c r="AA240" s="446"/>
    </row>
    <row r="241" spans="1:38" ht="14.1" customHeight="1">
      <c r="A241" s="153">
        <v>37</v>
      </c>
      <c r="B241" s="203"/>
      <c r="D241" s="223">
        <f t="shared" si="40"/>
        <v>-2</v>
      </c>
      <c r="E241" s="224" t="str">
        <f t="shared" si="41"/>
        <v/>
      </c>
      <c r="F241" s="224" t="str">
        <f t="shared" si="41"/>
        <v/>
      </c>
      <c r="G241" s="448" t="str">
        <f t="shared" si="41"/>
        <v/>
      </c>
      <c r="H241" s="448" t="str">
        <f t="shared" si="41"/>
        <v/>
      </c>
      <c r="I241" s="449" t="str">
        <f>IF(U249="","",IF(AND(U249&gt;=X249,U249&lt;=Y249),"Pass","Fail"))</f>
        <v/>
      </c>
      <c r="J241" s="152"/>
      <c r="M241" s="206"/>
      <c r="O241" s="165"/>
      <c r="S241" s="97"/>
      <c r="T241" s="170" t="s">
        <v>505</v>
      </c>
      <c r="U241" s="443" t="str">
        <f>IF(U234="","",AVERAGE(U234:U240))</f>
        <v/>
      </c>
      <c r="V241" s="450"/>
      <c r="W241" s="444" t="str">
        <f>IF(W234="","",IF(MAX(W234:W240)&gt;0.1,"Fail","Pass"))</f>
        <v/>
      </c>
      <c r="Y241" s="167"/>
    </row>
    <row r="242" spans="1:38" ht="14.1" customHeight="1">
      <c r="A242" s="153">
        <v>38</v>
      </c>
      <c r="B242" s="203"/>
      <c r="D242" s="223">
        <f t="shared" si="40"/>
        <v>-1</v>
      </c>
      <c r="E242" s="224" t="str">
        <f t="shared" si="41"/>
        <v/>
      </c>
      <c r="F242" s="224" t="str">
        <f t="shared" si="41"/>
        <v/>
      </c>
      <c r="G242" s="224" t="str">
        <f t="shared" si="41"/>
        <v/>
      </c>
      <c r="H242" s="448" t="str">
        <f t="shared" si="41"/>
        <v/>
      </c>
      <c r="I242" s="449" t="str">
        <f>IF(U250="","",IF(AND(U250&gt;=X250,U250&lt;=Y250),"Pass","Fail"))</f>
        <v/>
      </c>
      <c r="J242" s="152"/>
      <c r="M242" s="206"/>
      <c r="O242" s="165"/>
      <c r="P242" s="271" t="s">
        <v>418</v>
      </c>
      <c r="Q242" s="162" t="s">
        <v>506</v>
      </c>
      <c r="W242" s="152"/>
      <c r="Y242" s="167"/>
    </row>
    <row r="243" spans="1:38" ht="14.1" customHeight="1">
      <c r="A243" s="153">
        <v>39</v>
      </c>
      <c r="B243" s="203"/>
      <c r="D243" s="223">
        <f t="shared" si="40"/>
        <v>0</v>
      </c>
      <c r="E243" s="225" t="str">
        <f t="shared" si="41"/>
        <v/>
      </c>
      <c r="F243" s="451" t="str">
        <f t="shared" si="41"/>
        <v/>
      </c>
      <c r="G243" s="448" t="str">
        <f t="shared" si="41"/>
        <v/>
      </c>
      <c r="H243" s="448" t="str">
        <f t="shared" si="41"/>
        <v/>
      </c>
      <c r="I243" s="452"/>
      <c r="J243" s="152"/>
      <c r="M243" s="206"/>
      <c r="O243" s="165"/>
      <c r="P243" s="97"/>
      <c r="Q243" s="97"/>
      <c r="R243" s="97"/>
      <c r="S243" s="97"/>
      <c r="T243" s="97"/>
      <c r="U243" s="97"/>
      <c r="V243" s="97"/>
      <c r="Y243" s="167"/>
      <c r="AA243" s="97"/>
      <c r="AB243" s="97"/>
      <c r="AC243" s="97"/>
      <c r="AD243" s="97"/>
      <c r="AE243" s="97"/>
      <c r="AF243" s="97"/>
      <c r="AG243" s="97"/>
      <c r="AH243" s="97"/>
      <c r="AI243" s="97"/>
      <c r="AJ243" s="97"/>
      <c r="AK243" s="97"/>
      <c r="AL243" s="97"/>
    </row>
    <row r="244" spans="1:38" ht="14.1" customHeight="1">
      <c r="A244" s="153">
        <v>40</v>
      </c>
      <c r="B244" s="203"/>
      <c r="D244" s="223">
        <f t="shared" si="40"/>
        <v>1</v>
      </c>
      <c r="E244" s="224" t="str">
        <f t="shared" si="41"/>
        <v/>
      </c>
      <c r="F244" s="224" t="str">
        <f t="shared" si="41"/>
        <v/>
      </c>
      <c r="G244" s="224" t="str">
        <f t="shared" si="41"/>
        <v/>
      </c>
      <c r="H244" s="448" t="str">
        <f t="shared" si="41"/>
        <v/>
      </c>
      <c r="I244" s="449" t="str">
        <f>IF(U252="","",IF(AND(U252&gt;=X252,U252&lt;=Y252),"Pass","Fail"))</f>
        <v/>
      </c>
      <c r="J244" s="152"/>
      <c r="M244" s="206"/>
      <c r="O244" s="165"/>
      <c r="P244" s="97"/>
      <c r="Q244" s="97"/>
      <c r="R244" s="97"/>
      <c r="S244" s="97"/>
      <c r="T244" s="97"/>
      <c r="U244" s="97"/>
      <c r="V244" s="97"/>
      <c r="W244" s="97"/>
      <c r="X244" s="97"/>
      <c r="Y244" s="167"/>
      <c r="Z244" s="97"/>
      <c r="AA244" s="97"/>
      <c r="AB244" s="97"/>
      <c r="AC244" s="97"/>
      <c r="AD244" s="97"/>
      <c r="AE244" s="97"/>
      <c r="AF244" s="97"/>
      <c r="AG244" s="97"/>
      <c r="AH244" s="97"/>
      <c r="AI244" s="97"/>
      <c r="AJ244" s="97"/>
      <c r="AK244" s="97"/>
      <c r="AL244" s="97"/>
    </row>
    <row r="245" spans="1:38" ht="14.1" customHeight="1">
      <c r="A245" s="153">
        <v>41</v>
      </c>
      <c r="B245" s="203"/>
      <c r="D245" s="223">
        <f t="shared" si="40"/>
        <v>2</v>
      </c>
      <c r="E245" s="224" t="str">
        <f t="shared" si="41"/>
        <v/>
      </c>
      <c r="F245" s="224" t="str">
        <f t="shared" si="41"/>
        <v/>
      </c>
      <c r="G245" s="224" t="str">
        <f t="shared" si="41"/>
        <v/>
      </c>
      <c r="H245" s="448" t="str">
        <f t="shared" si="41"/>
        <v/>
      </c>
      <c r="I245" s="449" t="str">
        <f>IF(U253="","",IF(AND(U253&gt;=X253,U253&lt;=Y253),"Pass","Fail"))</f>
        <v/>
      </c>
      <c r="J245" s="152"/>
      <c r="M245" s="206"/>
      <c r="O245" s="317" t="s">
        <v>509</v>
      </c>
      <c r="Y245" s="167"/>
      <c r="Z245" s="97"/>
      <c r="AA245" s="97"/>
      <c r="AB245" s="97"/>
      <c r="AC245" s="97"/>
      <c r="AD245" s="97"/>
      <c r="AE245" s="97"/>
      <c r="AF245" s="97"/>
      <c r="AG245" s="97"/>
      <c r="AH245" s="97"/>
      <c r="AI245" s="97"/>
      <c r="AJ245" s="97"/>
      <c r="AK245" s="97"/>
      <c r="AL245" s="97"/>
    </row>
    <row r="246" spans="1:38" ht="14.1" customHeight="1">
      <c r="A246" s="153">
        <v>42</v>
      </c>
      <c r="B246" s="203"/>
      <c r="D246" s="223">
        <f t="shared" si="40"/>
        <v>3</v>
      </c>
      <c r="E246" s="224" t="str">
        <f t="shared" si="41"/>
        <v/>
      </c>
      <c r="F246" s="224" t="str">
        <f t="shared" si="41"/>
        <v/>
      </c>
      <c r="G246" s="224" t="str">
        <f t="shared" si="41"/>
        <v/>
      </c>
      <c r="H246" s="448" t="str">
        <f t="shared" si="41"/>
        <v/>
      </c>
      <c r="I246" s="449" t="str">
        <f>IF(U254="","",IF(AND(U254&gt;=X254,U254&lt;=Y254),"Pass","Fail"))</f>
        <v/>
      </c>
      <c r="J246" s="152"/>
      <c r="M246" s="206"/>
      <c r="O246" s="165" t="s">
        <v>489</v>
      </c>
      <c r="P246" s="356">
        <f>P216</f>
        <v>0</v>
      </c>
      <c r="R246" s="170" t="s">
        <v>490</v>
      </c>
      <c r="S246" s="356">
        <f>S216</f>
        <v>0</v>
      </c>
      <c r="T246" s="150" t="s">
        <v>491</v>
      </c>
      <c r="U246" s="152"/>
      <c r="X246" s="679" t="str">
        <f>IF($O$34=1,AB246,Z246)</f>
        <v>Selenia</v>
      </c>
      <c r="Y246" s="679"/>
      <c r="Z246" s="678" t="s">
        <v>513</v>
      </c>
      <c r="AA246" s="678"/>
      <c r="AB246" s="678" t="s">
        <v>514</v>
      </c>
      <c r="AC246" s="678"/>
      <c r="AD246" s="97"/>
      <c r="AE246" s="97"/>
      <c r="AF246" s="97"/>
      <c r="AG246" s="97"/>
      <c r="AH246" s="97"/>
      <c r="AI246" s="97"/>
      <c r="AJ246" s="97"/>
      <c r="AK246" s="97"/>
      <c r="AL246" s="97"/>
    </row>
    <row r="247" spans="1:38" ht="14.1" customHeight="1">
      <c r="A247" s="153">
        <v>43</v>
      </c>
      <c r="B247" s="203"/>
      <c r="D247" s="282">
        <f t="shared" si="40"/>
        <v>4</v>
      </c>
      <c r="E247" s="283" t="str">
        <f t="shared" si="41"/>
        <v/>
      </c>
      <c r="F247" s="283" t="str">
        <f t="shared" si="41"/>
        <v/>
      </c>
      <c r="G247" s="283" t="str">
        <f t="shared" si="41"/>
        <v/>
      </c>
      <c r="H247" s="454" t="str">
        <f t="shared" si="41"/>
        <v/>
      </c>
      <c r="I247" s="455" t="str">
        <f>IF(U255="","",IF(AND(U255&gt;=X255,U255&lt;=Y255),"Pass","Fail"))</f>
        <v/>
      </c>
      <c r="J247" s="152"/>
      <c r="M247" s="206"/>
      <c r="O247" s="165"/>
      <c r="P247" s="150" t="s">
        <v>510</v>
      </c>
      <c r="Q247" s="150" t="s">
        <v>494</v>
      </c>
      <c r="R247" s="150" t="s">
        <v>274</v>
      </c>
      <c r="S247" s="150" t="s">
        <v>495</v>
      </c>
      <c r="T247" s="150" t="s">
        <v>496</v>
      </c>
      <c r="U247" s="150" t="s">
        <v>511</v>
      </c>
      <c r="V247" s="152"/>
      <c r="X247" s="456" t="s">
        <v>515</v>
      </c>
      <c r="Y247" s="453" t="s">
        <v>516</v>
      </c>
      <c r="Z247" s="150" t="s">
        <v>515</v>
      </c>
      <c r="AA247" s="399" t="s">
        <v>516</v>
      </c>
      <c r="AB247" s="150" t="s">
        <v>515</v>
      </c>
      <c r="AC247" s="453" t="s">
        <v>516</v>
      </c>
      <c r="AD247" s="97"/>
      <c r="AE247" s="97"/>
      <c r="AF247" s="97"/>
      <c r="AG247" s="97"/>
      <c r="AH247" s="97"/>
      <c r="AI247" s="97"/>
      <c r="AJ247" s="97"/>
      <c r="AK247" s="97"/>
      <c r="AL247" s="97"/>
    </row>
    <row r="248" spans="1:38" ht="14.1" customHeight="1">
      <c r="A248" s="153">
        <v>44</v>
      </c>
      <c r="B248" s="203"/>
      <c r="D248" s="277" t="s">
        <v>418</v>
      </c>
      <c r="E248" s="419" t="s">
        <v>517</v>
      </c>
      <c r="M248" s="206"/>
      <c r="O248" s="165"/>
      <c r="P248" s="207">
        <v>-3</v>
      </c>
      <c r="Q248" s="432"/>
      <c r="R248" s="432"/>
      <c r="S248" s="432"/>
      <c r="T248" s="457"/>
      <c r="U248" s="210" t="str">
        <f>IF(OR(S248="",$S$251=""),"",S248/$S$251)</f>
        <v/>
      </c>
      <c r="V248" s="152"/>
      <c r="X248" s="456">
        <f t="shared" ref="X248:Y250" si="42">IF($O$34=1,AB248,Z248)</f>
        <v>0.5</v>
      </c>
      <c r="Y248" s="453">
        <f t="shared" si="42"/>
        <v>0.61</v>
      </c>
      <c r="Z248" s="150">
        <v>0.5</v>
      </c>
      <c r="AA248" s="399">
        <v>0.61</v>
      </c>
      <c r="AB248" s="458">
        <v>0.56000000000000005</v>
      </c>
      <c r="AC248" s="458">
        <v>0.66</v>
      </c>
      <c r="AD248" s="97"/>
      <c r="AE248" s="97"/>
      <c r="AF248" s="97"/>
      <c r="AG248" s="97"/>
      <c r="AH248" s="97"/>
      <c r="AI248" s="97"/>
      <c r="AJ248" s="97"/>
      <c r="AK248" s="97"/>
      <c r="AL248" s="97"/>
    </row>
    <row r="249" spans="1:38" ht="14.1" customHeight="1">
      <c r="A249" s="153">
        <v>45</v>
      </c>
      <c r="B249" s="358"/>
      <c r="C249" s="176"/>
      <c r="D249" s="176"/>
      <c r="E249" s="176"/>
      <c r="F249" s="176"/>
      <c r="G249" s="176"/>
      <c r="H249" s="176"/>
      <c r="I249" s="176"/>
      <c r="J249" s="176"/>
      <c r="K249" s="176"/>
      <c r="L249" s="176"/>
      <c r="M249" s="359"/>
      <c r="O249" s="165"/>
      <c r="P249" s="223">
        <v>-2</v>
      </c>
      <c r="Q249" s="459"/>
      <c r="R249" s="316"/>
      <c r="S249" s="316"/>
      <c r="T249" s="460"/>
      <c r="U249" s="226" t="str">
        <f>IF(OR(S249="",$S$251=""),"",S249/$S$251)</f>
        <v/>
      </c>
      <c r="V249" s="152"/>
      <c r="X249" s="456">
        <f t="shared" si="42"/>
        <v>0.63</v>
      </c>
      <c r="Y249" s="453">
        <f t="shared" si="42"/>
        <v>0.77</v>
      </c>
      <c r="Z249" s="150">
        <v>0.63</v>
      </c>
      <c r="AA249" s="399">
        <v>0.77</v>
      </c>
      <c r="AB249" s="458">
        <v>0.66</v>
      </c>
      <c r="AC249" s="458">
        <v>0.78</v>
      </c>
      <c r="AD249" s="97"/>
      <c r="AE249" s="97"/>
      <c r="AF249" s="97"/>
      <c r="AG249" s="97"/>
      <c r="AH249" s="97"/>
      <c r="AI249" s="97"/>
      <c r="AJ249" s="97"/>
      <c r="AK249" s="97"/>
      <c r="AL249" s="97"/>
    </row>
    <row r="250" spans="1:38" ht="14.1" customHeight="1">
      <c r="A250" s="153">
        <v>46</v>
      </c>
      <c r="B250" s="203"/>
      <c r="C250" s="220" t="s">
        <v>384</v>
      </c>
      <c r="M250" s="206"/>
      <c r="O250" s="165"/>
      <c r="P250" s="223">
        <v>-1</v>
      </c>
      <c r="Q250" s="461"/>
      <c r="R250" s="316"/>
      <c r="S250" s="316"/>
      <c r="T250" s="316"/>
      <c r="U250" s="226" t="str">
        <f>IF(OR(S250="",$S$251=""),"",S250/$S$251)</f>
        <v/>
      </c>
      <c r="V250" s="152"/>
      <c r="X250" s="456">
        <f t="shared" si="42"/>
        <v>0.77</v>
      </c>
      <c r="Y250" s="453">
        <f t="shared" si="42"/>
        <v>0.94</v>
      </c>
      <c r="Z250" s="150">
        <v>0.77</v>
      </c>
      <c r="AA250" s="399">
        <v>0.94</v>
      </c>
      <c r="AB250" s="458">
        <v>0.78</v>
      </c>
      <c r="AC250" s="458">
        <v>0.92</v>
      </c>
      <c r="AD250" s="97"/>
      <c r="AE250" s="97"/>
      <c r="AF250" s="97"/>
      <c r="AG250" s="97"/>
      <c r="AH250" s="97"/>
      <c r="AI250" s="97"/>
      <c r="AJ250" s="97"/>
      <c r="AK250" s="97"/>
      <c r="AL250" s="97"/>
    </row>
    <row r="251" spans="1:38" ht="14.1" customHeight="1">
      <c r="A251" s="153">
        <v>47</v>
      </c>
      <c r="B251" s="203"/>
      <c r="C251" s="97"/>
      <c r="D251" s="170" t="s">
        <v>488</v>
      </c>
      <c r="E251" s="224" t="str">
        <f t="shared" ref="E251:G255" si="43">IF(Q205="","",Q205)</f>
        <v/>
      </c>
      <c r="F251" s="224" t="str">
        <f t="shared" si="43"/>
        <v/>
      </c>
      <c r="G251" s="224" t="str">
        <f t="shared" si="43"/>
        <v/>
      </c>
      <c r="H251" s="97"/>
      <c r="I251" s="97"/>
      <c r="J251" s="97"/>
      <c r="K251" s="97"/>
      <c r="L251" s="97"/>
      <c r="M251" s="206"/>
      <c r="O251" s="165"/>
      <c r="P251" s="223">
        <v>0</v>
      </c>
      <c r="Q251" s="461"/>
      <c r="R251" s="224" t="str">
        <f>IF(S220="","",AVERAGE(S220:S223))</f>
        <v/>
      </c>
      <c r="S251" s="224" t="str">
        <f>IF(T220="","",AVERAGE(T220:T223))</f>
        <v/>
      </c>
      <c r="T251" s="448" t="str">
        <f>IF(V220="","",AVERAGE(V220:V223))</f>
        <v/>
      </c>
      <c r="U251" s="226"/>
      <c r="V251" s="152"/>
      <c r="X251" s="456"/>
      <c r="Y251" s="453"/>
      <c r="Z251" s="150"/>
      <c r="AA251" s="399"/>
      <c r="AB251" s="458"/>
      <c r="AC251" s="458"/>
      <c r="AD251" s="97"/>
      <c r="AE251" s="97"/>
      <c r="AF251" s="97"/>
      <c r="AG251" s="97"/>
      <c r="AH251" s="97"/>
      <c r="AI251" s="97"/>
      <c r="AJ251" s="97"/>
      <c r="AK251" s="97"/>
      <c r="AL251" s="97"/>
    </row>
    <row r="252" spans="1:38" ht="14.1" customHeight="1">
      <c r="A252" s="153">
        <v>48</v>
      </c>
      <c r="B252" s="203"/>
      <c r="D252" s="170" t="s">
        <v>254</v>
      </c>
      <c r="E252" s="224" t="str">
        <f t="shared" si="43"/>
        <v/>
      </c>
      <c r="F252" s="224" t="str">
        <f t="shared" si="43"/>
        <v/>
      </c>
      <c r="G252" s="224" t="str">
        <f t="shared" si="43"/>
        <v/>
      </c>
      <c r="M252" s="206"/>
      <c r="O252" s="165"/>
      <c r="P252" s="223">
        <v>1</v>
      </c>
      <c r="Q252" s="461"/>
      <c r="R252" s="316"/>
      <c r="S252" s="316"/>
      <c r="T252" s="316"/>
      <c r="U252" s="226" t="str">
        <f>IF(OR(S252="",$S$251=""),"",S252/$S$251)</f>
        <v/>
      </c>
      <c r="V252" s="152"/>
      <c r="X252" s="456">
        <f t="shared" ref="X252:Y255" si="44">IF($O$34=1,AB252,Z252)</f>
        <v>1.04</v>
      </c>
      <c r="Y252" s="453">
        <f t="shared" si="44"/>
        <v>1.27</v>
      </c>
      <c r="Z252" s="150">
        <v>1.04</v>
      </c>
      <c r="AA252" s="399">
        <v>1.27</v>
      </c>
      <c r="AB252" s="458">
        <v>1.06</v>
      </c>
      <c r="AC252" s="458">
        <v>1.24</v>
      </c>
      <c r="AD252" s="97"/>
      <c r="AE252" s="97"/>
      <c r="AF252" s="97"/>
      <c r="AG252" s="97"/>
      <c r="AH252" s="97"/>
      <c r="AI252" s="97"/>
      <c r="AJ252" s="97"/>
      <c r="AK252" s="97"/>
      <c r="AL252" s="97"/>
    </row>
    <row r="253" spans="1:38" ht="14.1" customHeight="1">
      <c r="A253" s="153">
        <v>49</v>
      </c>
      <c r="B253" s="203"/>
      <c r="D253" s="170" t="s">
        <v>391</v>
      </c>
      <c r="E253" s="224" t="str">
        <f t="shared" si="43"/>
        <v/>
      </c>
      <c r="F253" s="224" t="str">
        <f t="shared" si="43"/>
        <v/>
      </c>
      <c r="G253" s="224" t="str">
        <f t="shared" si="43"/>
        <v/>
      </c>
      <c r="H253" s="97"/>
      <c r="I253" s="170" t="s">
        <v>436</v>
      </c>
      <c r="J253" s="335" t="str">
        <f>IF(AND(Q210="",R210="",S210=""),"",IF(OR(Q210="Fail",R210="Fail",S210="Fail"),"Fail","Pass"))</f>
        <v/>
      </c>
      <c r="M253" s="206"/>
      <c r="O253" s="165"/>
      <c r="P253" s="223">
        <v>2</v>
      </c>
      <c r="Q253" s="461"/>
      <c r="R253" s="316"/>
      <c r="S253" s="316"/>
      <c r="T253" s="316"/>
      <c r="U253" s="226" t="str">
        <f>IF(OR(S253="",$S$251=""),"",S253/$S$251)</f>
        <v/>
      </c>
      <c r="V253" s="152"/>
      <c r="X253" s="456">
        <f t="shared" si="44"/>
        <v>1.17</v>
      </c>
      <c r="Y253" s="453">
        <f t="shared" si="44"/>
        <v>1.43</v>
      </c>
      <c r="Z253" s="150">
        <v>1.17</v>
      </c>
      <c r="AA253" s="399">
        <v>1.43</v>
      </c>
      <c r="AB253" s="458">
        <v>1.22</v>
      </c>
      <c r="AC253" s="458">
        <v>1.43</v>
      </c>
      <c r="AD253" s="97"/>
      <c r="AE253" s="97"/>
      <c r="AF253" s="97"/>
      <c r="AG253" s="97"/>
      <c r="AH253" s="97"/>
      <c r="AI253" s="97"/>
      <c r="AJ253" s="97"/>
      <c r="AK253" s="97"/>
      <c r="AL253" s="97"/>
    </row>
    <row r="254" spans="1:38" ht="14.1" customHeight="1">
      <c r="A254" s="153">
        <v>50</v>
      </c>
      <c r="B254" s="203"/>
      <c r="D254" s="170" t="s">
        <v>434</v>
      </c>
      <c r="E254" s="224" t="str">
        <f t="shared" si="43"/>
        <v/>
      </c>
      <c r="F254" s="224" t="str">
        <f t="shared" si="43"/>
        <v/>
      </c>
      <c r="G254" s="224" t="str">
        <f t="shared" si="43"/>
        <v/>
      </c>
      <c r="M254" s="206"/>
      <c r="O254" s="165"/>
      <c r="P254" s="223">
        <v>3</v>
      </c>
      <c r="Q254" s="461"/>
      <c r="R254" s="316"/>
      <c r="S254" s="316"/>
      <c r="T254" s="316"/>
      <c r="U254" s="226" t="str">
        <f>IF(OR(S254="",$S$251=""),"",S254/$S$251)</f>
        <v/>
      </c>
      <c r="V254" s="152"/>
      <c r="X254" s="456">
        <f t="shared" si="44"/>
        <v>1.31</v>
      </c>
      <c r="Y254" s="453">
        <f t="shared" si="44"/>
        <v>1.6</v>
      </c>
      <c r="Z254" s="150">
        <v>1.31</v>
      </c>
      <c r="AA254" s="399">
        <v>1.6</v>
      </c>
      <c r="AB254" s="458">
        <v>1.4</v>
      </c>
      <c r="AC254" s="458">
        <v>1.64</v>
      </c>
      <c r="AD254" s="97"/>
      <c r="AE254" s="97"/>
      <c r="AF254" s="97"/>
      <c r="AG254" s="97"/>
      <c r="AH254" s="97"/>
      <c r="AI254" s="97"/>
      <c r="AJ254" s="97"/>
      <c r="AK254" s="97"/>
      <c r="AL254" s="97"/>
    </row>
    <row r="255" spans="1:38" ht="14.1" customHeight="1">
      <c r="A255" s="153">
        <v>51</v>
      </c>
      <c r="B255" s="203"/>
      <c r="D255" s="170" t="s">
        <v>492</v>
      </c>
      <c r="E255" s="224" t="str">
        <f t="shared" si="43"/>
        <v/>
      </c>
      <c r="F255" s="224" t="str">
        <f t="shared" si="43"/>
        <v/>
      </c>
      <c r="G255" s="224" t="str">
        <f t="shared" si="43"/>
        <v/>
      </c>
      <c r="M255" s="206"/>
      <c r="O255" s="165"/>
      <c r="P255" s="282">
        <v>4</v>
      </c>
      <c r="Q255" s="462"/>
      <c r="R255" s="440"/>
      <c r="S255" s="440"/>
      <c r="T255" s="440"/>
      <c r="U255" s="285" t="str">
        <f>IF(OR(S255="",$S$251=""),"",S255/$S$251)</f>
        <v/>
      </c>
      <c r="V255" s="152"/>
      <c r="X255" s="456">
        <f t="shared" si="44"/>
        <v>1.44</v>
      </c>
      <c r="Y255" s="453">
        <f t="shared" si="44"/>
        <v>1.76</v>
      </c>
      <c r="Z255" s="150">
        <v>1.44</v>
      </c>
      <c r="AA255" s="399">
        <v>1.76</v>
      </c>
      <c r="AB255" s="458">
        <v>1.61</v>
      </c>
      <c r="AC255" s="458">
        <v>1.89</v>
      </c>
      <c r="AD255" s="97"/>
      <c r="AE255" s="97"/>
      <c r="AF255" s="97"/>
      <c r="AG255" s="97"/>
      <c r="AH255" s="97"/>
      <c r="AI255" s="97"/>
      <c r="AJ255" s="97"/>
      <c r="AK255" s="97"/>
      <c r="AL255" s="97"/>
    </row>
    <row r="256" spans="1:38" ht="14.1" customHeight="1">
      <c r="A256" s="153">
        <v>52</v>
      </c>
      <c r="B256" s="228"/>
      <c r="C256" s="229"/>
      <c r="D256" s="463" t="s">
        <v>418</v>
      </c>
      <c r="E256" s="173" t="str">
        <f>Q213</f>
        <v>Limiting system resolution must be 7 lp/mm or higher in conventional/2D mode</v>
      </c>
      <c r="F256" s="229"/>
      <c r="G256" s="229"/>
      <c r="H256" s="229"/>
      <c r="I256" s="229"/>
      <c r="J256" s="229"/>
      <c r="K256" s="229"/>
      <c r="L256" s="229"/>
      <c r="M256" s="230"/>
      <c r="O256" s="165"/>
      <c r="P256" s="152"/>
      <c r="Q256" s="152"/>
      <c r="R256" s="152"/>
      <c r="S256" s="152"/>
      <c r="T256" s="152"/>
      <c r="U256" s="152"/>
      <c r="V256" s="152"/>
      <c r="Y256" s="167"/>
      <c r="AA256" s="97"/>
      <c r="AB256" s="97"/>
      <c r="AC256" s="97"/>
      <c r="AD256" s="97"/>
      <c r="AE256" s="97"/>
      <c r="AF256" s="97"/>
      <c r="AG256" s="97"/>
      <c r="AH256" s="97"/>
      <c r="AI256" s="97"/>
      <c r="AJ256" s="97"/>
      <c r="AK256" s="97"/>
      <c r="AL256" s="97"/>
    </row>
    <row r="257" spans="1:38" ht="14.1" customHeight="1">
      <c r="A257" s="153">
        <v>53</v>
      </c>
      <c r="B257" s="417"/>
      <c r="C257" s="97"/>
      <c r="D257" s="97"/>
      <c r="E257" s="97"/>
      <c r="F257" s="97"/>
      <c r="G257" s="97"/>
      <c r="H257" s="97"/>
      <c r="I257" s="97"/>
      <c r="J257" s="97"/>
      <c r="K257" s="97"/>
      <c r="L257" s="97"/>
      <c r="M257" s="206"/>
      <c r="O257" s="165"/>
      <c r="P257" s="464" t="s">
        <v>418</v>
      </c>
      <c r="Q257" s="419" t="s">
        <v>517</v>
      </c>
      <c r="R257" s="204"/>
      <c r="S257" s="204"/>
      <c r="T257" s="204"/>
      <c r="U257" s="204"/>
      <c r="V257" s="204"/>
      <c r="W257" s="204"/>
      <c r="X257" s="204"/>
      <c r="Y257" s="167"/>
      <c r="AA257" s="97"/>
      <c r="AB257" s="97"/>
      <c r="AC257" s="97"/>
      <c r="AD257" s="97"/>
      <c r="AE257" s="97"/>
      <c r="AF257" s="97"/>
      <c r="AG257" s="97"/>
      <c r="AH257" s="97"/>
      <c r="AI257" s="97"/>
      <c r="AJ257" s="97"/>
      <c r="AK257" s="97"/>
      <c r="AL257" s="97"/>
    </row>
    <row r="258" spans="1:38" ht="14.1" customHeight="1">
      <c r="A258" s="153">
        <v>54</v>
      </c>
      <c r="B258" s="203"/>
      <c r="C258" s="220" t="s">
        <v>518</v>
      </c>
      <c r="M258" s="206"/>
      <c r="O258" s="175"/>
      <c r="P258" s="176"/>
      <c r="Q258" s="176"/>
      <c r="R258" s="176"/>
      <c r="S258" s="176"/>
      <c r="T258" s="176"/>
      <c r="U258" s="176"/>
      <c r="V258" s="176"/>
      <c r="W258" s="176"/>
      <c r="X258" s="176"/>
      <c r="Y258" s="177"/>
      <c r="AA258" s="97"/>
      <c r="AB258" s="97"/>
      <c r="AC258" s="97"/>
      <c r="AD258" s="97"/>
      <c r="AE258" s="97"/>
      <c r="AF258" s="97"/>
      <c r="AG258" s="97"/>
      <c r="AH258" s="97"/>
      <c r="AI258" s="97"/>
      <c r="AJ258" s="97"/>
      <c r="AK258" s="97"/>
      <c r="AL258" s="97"/>
    </row>
    <row r="259" spans="1:38" ht="14.1" customHeight="1">
      <c r="A259" s="153">
        <v>55</v>
      </c>
      <c r="B259" s="203"/>
      <c r="D259" s="680" t="s">
        <v>519</v>
      </c>
      <c r="E259" s="680"/>
      <c r="F259" s="152"/>
      <c r="G259" s="680" t="s">
        <v>520</v>
      </c>
      <c r="H259" s="680"/>
      <c r="J259" s="152"/>
      <c r="K259" s="681" t="s">
        <v>521</v>
      </c>
      <c r="L259" s="681"/>
      <c r="M259" s="269"/>
      <c r="O259" s="315" t="s">
        <v>522</v>
      </c>
      <c r="P259" s="158"/>
      <c r="Q259" s="158"/>
      <c r="R259" s="158"/>
      <c r="S259" s="158"/>
      <c r="T259" s="158"/>
      <c r="U259" s="158"/>
      <c r="V259" s="158"/>
      <c r="W259" s="158"/>
      <c r="X259" s="158"/>
      <c r="Y259" s="159"/>
      <c r="AA259" s="97"/>
      <c r="AB259" s="97"/>
      <c r="AC259" s="97"/>
      <c r="AD259" s="97"/>
      <c r="AE259" s="97"/>
      <c r="AF259" s="97"/>
      <c r="AG259" s="97"/>
      <c r="AH259" s="97"/>
      <c r="AI259" s="97"/>
      <c r="AJ259" s="97"/>
      <c r="AK259" s="97"/>
      <c r="AL259" s="97"/>
    </row>
    <row r="260" spans="1:38" ht="14.1" customHeight="1">
      <c r="A260" s="153">
        <v>56</v>
      </c>
      <c r="B260" s="203"/>
      <c r="C260" s="152"/>
      <c r="D260" s="465" t="s">
        <v>391</v>
      </c>
      <c r="E260" s="430">
        <f t="shared" ref="E260:E265" si="45">IF(Q410="","",Q410)</f>
        <v>0</v>
      </c>
      <c r="G260" s="150" t="s">
        <v>523</v>
      </c>
      <c r="H260" s="150" t="s">
        <v>524</v>
      </c>
      <c r="I260" s="150" t="s">
        <v>458</v>
      </c>
      <c r="J260" s="152"/>
      <c r="K260" s="150" t="s">
        <v>455</v>
      </c>
      <c r="L260" s="399" t="s">
        <v>457</v>
      </c>
      <c r="M260" s="269"/>
      <c r="O260" s="165"/>
      <c r="P260" s="170" t="s">
        <v>525</v>
      </c>
      <c r="Q260" s="427"/>
      <c r="S260" s="170" t="s">
        <v>391</v>
      </c>
      <c r="T260" s="427"/>
      <c r="V260" s="152"/>
      <c r="W260" s="152"/>
      <c r="Y260" s="167"/>
      <c r="AA260" s="97"/>
      <c r="AB260" s="97"/>
      <c r="AC260" s="97"/>
      <c r="AD260" s="97"/>
      <c r="AE260" s="97"/>
      <c r="AF260" s="97"/>
      <c r="AG260" s="97"/>
      <c r="AH260" s="97"/>
      <c r="AI260" s="97"/>
      <c r="AJ260" s="97"/>
      <c r="AK260" s="97"/>
      <c r="AL260" s="97"/>
    </row>
    <row r="261" spans="1:38" ht="14.1" customHeight="1">
      <c r="A261" s="153">
        <v>57</v>
      </c>
      <c r="B261" s="203"/>
      <c r="C261" s="152"/>
      <c r="D261" s="465" t="s">
        <v>393</v>
      </c>
      <c r="E261" s="434">
        <f t="shared" si="45"/>
        <v>0</v>
      </c>
      <c r="F261" s="170" t="s">
        <v>391</v>
      </c>
      <c r="G261" s="207">
        <f t="shared" ref="G261:G266" si="46">IF(P426="","",P426)</f>
        <v>0</v>
      </c>
      <c r="H261" s="208" t="str">
        <f t="shared" ref="H261:H266" si="47">IF(R426="","",R426)</f>
        <v/>
      </c>
      <c r="I261" s="466" t="str">
        <f t="shared" ref="I261:I266" si="48">IF(T426="","",T426)</f>
        <v/>
      </c>
      <c r="J261" s="152"/>
      <c r="K261" s="170" t="s">
        <v>526</v>
      </c>
      <c r="L261" s="467" t="str">
        <f>IF(R418="","",R418)</f>
        <v/>
      </c>
      <c r="M261" s="269"/>
      <c r="O261" s="165"/>
      <c r="P261" s="170" t="s">
        <v>300</v>
      </c>
      <c r="Q261" s="318"/>
      <c r="S261" s="170" t="s">
        <v>393</v>
      </c>
      <c r="T261" s="427"/>
      <c r="Y261" s="167"/>
      <c r="AA261" s="97"/>
      <c r="AB261" s="97"/>
      <c r="AC261" s="97"/>
      <c r="AD261" s="97"/>
      <c r="AE261" s="97"/>
      <c r="AF261" s="97"/>
      <c r="AG261" s="97"/>
      <c r="AH261" s="97"/>
      <c r="AI261" s="97"/>
      <c r="AJ261" s="97"/>
      <c r="AK261" s="97"/>
      <c r="AL261" s="97"/>
    </row>
    <row r="262" spans="1:38" ht="14.1" customHeight="1">
      <c r="A262" s="153">
        <v>58</v>
      </c>
      <c r="B262" s="203"/>
      <c r="C262" s="152"/>
      <c r="D262" s="465" t="s">
        <v>527</v>
      </c>
      <c r="E262" s="434" t="str">
        <f t="shared" si="45"/>
        <v/>
      </c>
      <c r="F262" s="170" t="s">
        <v>393</v>
      </c>
      <c r="G262" s="223">
        <f t="shared" si="46"/>
        <v>0</v>
      </c>
      <c r="H262" s="224" t="str">
        <f t="shared" si="47"/>
        <v/>
      </c>
      <c r="I262" s="449" t="str">
        <f t="shared" si="48"/>
        <v/>
      </c>
      <c r="J262" s="170" t="s">
        <v>404</v>
      </c>
      <c r="K262" s="468" t="str">
        <f t="shared" ref="K262:L264" si="49">IF(Q420="","",Q420)</f>
        <v/>
      </c>
      <c r="L262" s="469" t="str">
        <f t="shared" si="49"/>
        <v/>
      </c>
      <c r="M262" s="269"/>
      <c r="O262" s="165"/>
      <c r="S262" s="150" t="s">
        <v>491</v>
      </c>
      <c r="U262" s="151" t="s">
        <v>528</v>
      </c>
      <c r="Y262" s="167"/>
    </row>
    <row r="263" spans="1:38" ht="14.1" customHeight="1">
      <c r="A263" s="153">
        <v>59</v>
      </c>
      <c r="B263" s="203"/>
      <c r="C263" s="152"/>
      <c r="D263" s="465" t="s">
        <v>398</v>
      </c>
      <c r="E263" s="434" t="str">
        <f t="shared" si="45"/>
        <v/>
      </c>
      <c r="F263" s="170" t="s">
        <v>435</v>
      </c>
      <c r="G263" s="223">
        <f t="shared" si="46"/>
        <v>0</v>
      </c>
      <c r="H263" s="224" t="str">
        <f t="shared" si="47"/>
        <v/>
      </c>
      <c r="I263" s="449" t="str">
        <f t="shared" si="48"/>
        <v/>
      </c>
      <c r="J263" s="170" t="s">
        <v>405</v>
      </c>
      <c r="K263" s="470" t="str">
        <f t="shared" si="49"/>
        <v/>
      </c>
      <c r="L263" s="453" t="str">
        <f t="shared" si="49"/>
        <v/>
      </c>
      <c r="M263" s="269"/>
      <c r="O263" s="471"/>
      <c r="Q263" s="150" t="s">
        <v>274</v>
      </c>
      <c r="R263" s="150" t="s">
        <v>495</v>
      </c>
      <c r="S263" s="150" t="s">
        <v>496</v>
      </c>
      <c r="T263" s="150" t="s">
        <v>529</v>
      </c>
      <c r="U263" s="150" t="s">
        <v>530</v>
      </c>
      <c r="W263" s="170" t="s">
        <v>531</v>
      </c>
      <c r="X263" s="472" t="str">
        <f>IF(T260="","",VLOOKUP(T260,Tables!$B$85:$C$89,2))</f>
        <v/>
      </c>
      <c r="Y263" s="167"/>
    </row>
    <row r="264" spans="1:38" ht="14.1" customHeight="1">
      <c r="A264" s="153">
        <v>60</v>
      </c>
      <c r="B264" s="203"/>
      <c r="C264" s="152"/>
      <c r="D264" s="465" t="s">
        <v>400</v>
      </c>
      <c r="E264" s="434" t="str">
        <f t="shared" si="45"/>
        <v/>
      </c>
      <c r="F264" s="170" t="s">
        <v>404</v>
      </c>
      <c r="G264" s="223" t="str">
        <f t="shared" si="46"/>
        <v/>
      </c>
      <c r="H264" s="224" t="str">
        <f t="shared" si="47"/>
        <v/>
      </c>
      <c r="I264" s="449" t="str">
        <f t="shared" si="48"/>
        <v/>
      </c>
      <c r="J264" s="170" t="s">
        <v>406</v>
      </c>
      <c r="K264" s="473" t="str">
        <f t="shared" si="49"/>
        <v/>
      </c>
      <c r="L264" s="474" t="str">
        <f t="shared" si="49"/>
        <v/>
      </c>
      <c r="M264" s="269"/>
      <c r="O264" s="471"/>
      <c r="Q264" s="316"/>
      <c r="R264" s="316"/>
      <c r="S264" s="316"/>
      <c r="T264" s="475" t="str">
        <f>IF(Q264="","",Q264/$T$261)</f>
        <v/>
      </c>
      <c r="U264" s="448" t="str">
        <f>IF(Q264="","",($T$260^2*Tables!$D$80+Tables!$D$81)*Q264)</f>
        <v/>
      </c>
      <c r="W264" s="170" t="s">
        <v>532</v>
      </c>
      <c r="X264" s="472" t="str">
        <f>IF(U268="","",Q268*($T$260^2*Tables!$D$80+Tables!$D$81))</f>
        <v/>
      </c>
      <c r="Y264" s="167"/>
    </row>
    <row r="265" spans="1:38" ht="14.1" customHeight="1">
      <c r="A265" s="153">
        <v>61</v>
      </c>
      <c r="B265" s="203"/>
      <c r="C265" s="152"/>
      <c r="D265" s="465" t="s">
        <v>402</v>
      </c>
      <c r="E265" s="434" t="str">
        <f t="shared" si="45"/>
        <v/>
      </c>
      <c r="F265" s="170" t="s">
        <v>405</v>
      </c>
      <c r="G265" s="223" t="str">
        <f t="shared" si="46"/>
        <v/>
      </c>
      <c r="H265" s="224" t="str">
        <f t="shared" si="47"/>
        <v/>
      </c>
      <c r="I265" s="449" t="str">
        <f t="shared" si="48"/>
        <v/>
      </c>
      <c r="J265" s="152"/>
      <c r="K265" s="170" t="s">
        <v>526</v>
      </c>
      <c r="L265" s="476" t="str">
        <f>IF(V418="","",V418)</f>
        <v/>
      </c>
      <c r="M265" s="269"/>
      <c r="O265" s="471"/>
      <c r="Q265" s="316"/>
      <c r="R265" s="316"/>
      <c r="S265" s="316"/>
      <c r="T265" s="475" t="str">
        <f>IF(Q265="","",Q265/$T$261)</f>
        <v/>
      </c>
      <c r="U265" s="448" t="str">
        <f>IF(Q265="","",($T$260^2*Tables!$D$80+Tables!$D$81)*Q265)</f>
        <v/>
      </c>
      <c r="W265" s="170" t="s">
        <v>533</v>
      </c>
      <c r="X265" s="477" t="str">
        <f>IF(Q261="","",HLOOKUP(Q261,Tables!$A$99:$E$100,2))</f>
        <v/>
      </c>
      <c r="Y265" s="167"/>
    </row>
    <row r="266" spans="1:38" ht="14.1" customHeight="1">
      <c r="A266" s="153">
        <v>62</v>
      </c>
      <c r="B266" s="203"/>
      <c r="D266" s="465" t="s">
        <v>404</v>
      </c>
      <c r="E266" s="434" t="str">
        <f>IF(U410="","",U410)</f>
        <v/>
      </c>
      <c r="F266" s="170" t="s">
        <v>406</v>
      </c>
      <c r="G266" s="282" t="str">
        <f t="shared" si="46"/>
        <v/>
      </c>
      <c r="H266" s="283" t="str">
        <f t="shared" si="47"/>
        <v/>
      </c>
      <c r="I266" s="455" t="str">
        <f t="shared" si="48"/>
        <v/>
      </c>
      <c r="J266" s="170" t="s">
        <v>404</v>
      </c>
      <c r="K266" s="468" t="str">
        <f t="shared" ref="K266:L268" si="50">IF(U420="","",U420)</f>
        <v/>
      </c>
      <c r="L266" s="469" t="str">
        <f t="shared" si="50"/>
        <v/>
      </c>
      <c r="M266" s="269"/>
      <c r="O266" s="471"/>
      <c r="Q266" s="316"/>
      <c r="R266" s="316"/>
      <c r="S266" s="316"/>
      <c r="T266" s="475" t="str">
        <f>IF(Q266="","",Q266/$T$261)</f>
        <v/>
      </c>
      <c r="U266" s="448" t="str">
        <f>IF(Q266="","",($T$260^2*Tables!$D$80+Tables!$D$81)*Q266)</f>
        <v/>
      </c>
      <c r="W266" s="170" t="s">
        <v>534</v>
      </c>
      <c r="X266" s="472" t="str">
        <f>IF(OR(X264="",X265=""),"",(X265*(X264/8.76))/100)</f>
        <v/>
      </c>
      <c r="Y266" s="167"/>
    </row>
    <row r="267" spans="1:38" ht="14.1" customHeight="1">
      <c r="A267" s="153">
        <v>63</v>
      </c>
      <c r="B267" s="203"/>
      <c r="D267" s="465" t="s">
        <v>405</v>
      </c>
      <c r="E267" s="434" t="str">
        <f>IF(U411="","",U411)</f>
        <v/>
      </c>
      <c r="F267" s="478" t="s">
        <v>418</v>
      </c>
      <c r="J267" s="170" t="s">
        <v>405</v>
      </c>
      <c r="K267" s="470" t="str">
        <f t="shared" si="50"/>
        <v/>
      </c>
      <c r="L267" s="453" t="str">
        <f t="shared" si="50"/>
        <v/>
      </c>
      <c r="M267" s="269"/>
      <c r="O267" s="471"/>
      <c r="Q267" s="316"/>
      <c r="R267" s="316"/>
      <c r="S267" s="316"/>
      <c r="T267" s="475" t="str">
        <f>IF(Q267="","",Q267/$T$261)</f>
        <v/>
      </c>
      <c r="U267" s="448" t="str">
        <f>IF(Q267="","",($T$260^2*Tables!$D$80+Tables!$D$81)*Q267)</f>
        <v/>
      </c>
      <c r="W267" s="170" t="s">
        <v>535</v>
      </c>
      <c r="X267" s="479" t="str">
        <f>IF(AB86="","",AB86)</f>
        <v/>
      </c>
      <c r="Y267" s="167"/>
    </row>
    <row r="268" spans="1:38" ht="14.1" customHeight="1">
      <c r="A268" s="153">
        <v>64</v>
      </c>
      <c r="B268" s="203"/>
      <c r="C268" s="204"/>
      <c r="D268" s="465" t="s">
        <v>406</v>
      </c>
      <c r="E268" s="438" t="str">
        <f>IF(U412="","",U412)</f>
        <v/>
      </c>
      <c r="F268" s="478" t="s">
        <v>536</v>
      </c>
      <c r="G268" s="478"/>
      <c r="H268" s="204"/>
      <c r="I268" s="204"/>
      <c r="J268" s="465" t="s">
        <v>406</v>
      </c>
      <c r="K268" s="473" t="str">
        <f t="shared" si="50"/>
        <v/>
      </c>
      <c r="L268" s="474" t="str">
        <f t="shared" si="50"/>
        <v/>
      </c>
      <c r="M268" s="269"/>
      <c r="O268" s="471"/>
      <c r="P268" s="170" t="s">
        <v>505</v>
      </c>
      <c r="Q268" s="253" t="str">
        <f>IF(OR(Q264="",Q265="",Q266="",Q267=""),"",AVERAGE(Q264:Q267))</f>
        <v/>
      </c>
      <c r="R268" s="480" t="str">
        <f>IF(OR(R264="",R265="",R266="",R267=""),"",AVERAGE(R264:R267))</f>
        <v/>
      </c>
      <c r="S268" s="481" t="str">
        <f>IF(OR(S264="",S265="",S266="",S267=""),"",AVERAGE(S264:S267))</f>
        <v/>
      </c>
      <c r="T268" s="482" t="str">
        <f>IF(OR(T264="",T265="",T266="",T267=""),"",AVERAGE(T264:T267))</f>
        <v/>
      </c>
      <c r="U268" s="481" t="str">
        <f>IF(OR(U264="",U265="",U266="",U267=""),"",AVERAGE(U264:U267))</f>
        <v/>
      </c>
      <c r="W268" s="170" t="s">
        <v>537</v>
      </c>
      <c r="X268" s="483" t="str">
        <f>IF(OR(X266="",X267=""),"",(X266-X267)/X267)</f>
        <v/>
      </c>
      <c r="Y268" s="167"/>
    </row>
    <row r="269" spans="1:38" ht="14.1" customHeight="1">
      <c r="A269" s="153">
        <v>65</v>
      </c>
      <c r="B269" s="484"/>
      <c r="C269" s="485"/>
      <c r="D269" s="485"/>
      <c r="E269" s="485"/>
      <c r="F269" s="486" t="s">
        <v>538</v>
      </c>
      <c r="G269" s="486"/>
      <c r="H269" s="485"/>
      <c r="I269" s="485"/>
      <c r="J269" s="485"/>
      <c r="K269" s="485"/>
      <c r="L269" s="485"/>
      <c r="M269" s="487"/>
      <c r="O269" s="471"/>
      <c r="P269" s="170" t="s">
        <v>539</v>
      </c>
      <c r="Q269" s="488" t="str">
        <f>IF(Q268="","",STDEV(Q264:Q267)/Q268)</f>
        <v/>
      </c>
      <c r="R269" s="488" t="str">
        <f>IF(R268="","",STDEV(R264:R267)/R268)</f>
        <v/>
      </c>
      <c r="S269" s="488" t="str">
        <f>IF(S268="","",STDEV(S264:S267)/S268)</f>
        <v/>
      </c>
      <c r="T269" s="488" t="str">
        <f>IF(T268="","",STDEV(T264:T267)/T268)</f>
        <v/>
      </c>
      <c r="U269" s="488" t="str">
        <f>IF(U268="","",STDEV(U264:U267)/U268)</f>
        <v/>
      </c>
      <c r="W269" s="152"/>
      <c r="X269" s="152"/>
      <c r="Y269" s="167"/>
    </row>
    <row r="270" spans="1:38" ht="14.1" customHeight="1">
      <c r="A270" s="153">
        <v>66</v>
      </c>
      <c r="B270" s="97"/>
      <c r="C270" s="97"/>
      <c r="D270" s="97"/>
      <c r="E270" s="97"/>
      <c r="F270" s="97"/>
      <c r="G270" s="97"/>
      <c r="H270" s="97"/>
      <c r="I270" s="97"/>
      <c r="J270" s="97"/>
      <c r="K270" s="97"/>
      <c r="L270" s="97"/>
      <c r="M270" s="97"/>
      <c r="O270" s="165"/>
      <c r="P270" s="152"/>
      <c r="Q270" s="152"/>
      <c r="R270" s="152"/>
      <c r="S270" s="152"/>
      <c r="T270" s="152"/>
      <c r="U270" s="152"/>
      <c r="Y270" s="167"/>
    </row>
    <row r="271" spans="1:38" ht="14.1" customHeight="1">
      <c r="A271" s="153">
        <v>67</v>
      </c>
      <c r="C271" s="271" t="s">
        <v>217</v>
      </c>
      <c r="D271" s="272" t="str">
        <f>IF($P$7="","",$P$7)</f>
        <v/>
      </c>
      <c r="E271" s="162"/>
      <c r="F271" s="162"/>
      <c r="G271" s="162"/>
      <c r="H271" s="162"/>
      <c r="I271" s="162"/>
      <c r="J271" s="162"/>
      <c r="K271" s="162"/>
      <c r="L271" s="271" t="s">
        <v>218</v>
      </c>
      <c r="M271" s="273" t="str">
        <f>IF($X$7="","",$X$7)</f>
        <v>Eugene Mah</v>
      </c>
      <c r="O271" s="165"/>
      <c r="P271" s="152" t="s">
        <v>418</v>
      </c>
      <c r="Q271" s="152" t="s">
        <v>540</v>
      </c>
      <c r="W271" s="170" t="s">
        <v>541</v>
      </c>
      <c r="X271" s="489" t="str">
        <f>IF(X266="","",(X266-AVERAGE(S264:S267))/AVERAGE(S264:S267))</f>
        <v/>
      </c>
      <c r="Y271" s="167"/>
    </row>
    <row r="272" spans="1:38" ht="14.1" customHeight="1">
      <c r="A272" s="153">
        <v>68</v>
      </c>
      <c r="C272" s="271" t="s">
        <v>324</v>
      </c>
      <c r="D272" s="274" t="str">
        <f>IF($R$14="","",$R$14)</f>
        <v/>
      </c>
      <c r="E272" s="162"/>
      <c r="F272" s="162"/>
      <c r="G272" s="162"/>
      <c r="H272" s="162"/>
      <c r="I272" s="162"/>
      <c r="J272" s="162"/>
      <c r="K272" s="162"/>
      <c r="L272" s="271" t="s">
        <v>241</v>
      </c>
      <c r="M272" s="275" t="str">
        <f>IF($R$13="","",$R$13)</f>
        <v/>
      </c>
      <c r="O272" s="165"/>
      <c r="P272" s="152"/>
      <c r="Q272" s="152" t="s">
        <v>542</v>
      </c>
      <c r="W272" s="170" t="s">
        <v>543</v>
      </c>
      <c r="X272" s="490" t="str">
        <f>IF(OR(X266="",Q268=""),"",3/(X266/Q268))</f>
        <v/>
      </c>
      <c r="Y272" s="167"/>
    </row>
    <row r="273" spans="1:25" ht="14.1" customHeight="1">
      <c r="A273" s="153">
        <v>1</v>
      </c>
      <c r="B273" s="97"/>
      <c r="C273" s="97"/>
      <c r="D273" s="97"/>
      <c r="E273" s="97"/>
      <c r="F273" s="97"/>
      <c r="G273" s="97"/>
      <c r="H273" s="97"/>
      <c r="I273" s="97"/>
      <c r="J273" s="97"/>
      <c r="K273" s="97"/>
      <c r="L273" s="97"/>
      <c r="M273" s="276" t="str">
        <f>$H$2</f>
        <v>Medical University of South Carolina</v>
      </c>
      <c r="O273" s="175"/>
      <c r="P273" s="491"/>
      <c r="Q273" s="491"/>
      <c r="R273" s="176"/>
      <c r="S273" s="176"/>
      <c r="T273" s="491"/>
      <c r="U273" s="491"/>
      <c r="V273" s="176"/>
      <c r="W273" s="492"/>
      <c r="X273" s="176"/>
      <c r="Y273" s="177"/>
    </row>
    <row r="274" spans="1:25" ht="14.1" customHeight="1">
      <c r="A274" s="153">
        <v>2</v>
      </c>
      <c r="B274" s="97"/>
      <c r="C274" s="97"/>
      <c r="D274" s="97"/>
      <c r="E274" s="97"/>
      <c r="F274" s="97"/>
      <c r="G274" s="97"/>
      <c r="H274" s="97"/>
      <c r="I274" s="97"/>
      <c r="J274" s="97"/>
      <c r="K274" s="97"/>
      <c r="L274" s="97"/>
      <c r="M274" s="277" t="str">
        <f>$H$5</f>
        <v>Mammography System Compliance Inspection</v>
      </c>
      <c r="O274" s="315" t="s">
        <v>544</v>
      </c>
      <c r="P274" s="158"/>
      <c r="Q274" s="158"/>
      <c r="R274" s="158"/>
      <c r="S274" s="158"/>
      <c r="T274" s="158"/>
      <c r="U274" s="158"/>
      <c r="V274" s="158"/>
      <c r="W274" s="158"/>
      <c r="X274" s="158"/>
      <c r="Y274" s="159"/>
    </row>
    <row r="275" spans="1:25" ht="14.1" customHeight="1">
      <c r="A275" s="153">
        <v>3</v>
      </c>
      <c r="B275" s="194"/>
      <c r="C275" s="196" t="str">
        <f>O259</f>
        <v>Mean Glandular Dose – 2D</v>
      </c>
      <c r="D275" s="195"/>
      <c r="E275" s="195"/>
      <c r="F275" s="195"/>
      <c r="G275" s="195"/>
      <c r="H275" s="195"/>
      <c r="I275" s="195"/>
      <c r="J275" s="195"/>
      <c r="K275" s="195"/>
      <c r="L275" s="195"/>
      <c r="M275" s="197"/>
      <c r="O275" s="165"/>
      <c r="P275" s="170" t="s">
        <v>525</v>
      </c>
      <c r="Q275" s="356">
        <f>$Q$260</f>
        <v>0</v>
      </c>
      <c r="S275" s="170" t="s">
        <v>391</v>
      </c>
      <c r="T275" s="318"/>
      <c r="V275" s="152"/>
      <c r="W275" s="152"/>
      <c r="Y275" s="167"/>
    </row>
    <row r="276" spans="1:25" ht="14.1" customHeight="1">
      <c r="A276" s="153">
        <v>4</v>
      </c>
      <c r="B276" s="203"/>
      <c r="D276" s="170" t="s">
        <v>525</v>
      </c>
      <c r="E276" s="493" t="str">
        <f>IF(Q260="","",Q260)</f>
        <v/>
      </c>
      <c r="F276" s="97"/>
      <c r="G276" s="170" t="s">
        <v>391</v>
      </c>
      <c r="H276" s="331" t="str">
        <f>IF(T260="","",T260)</f>
        <v/>
      </c>
      <c r="M276" s="206"/>
      <c r="O276" s="165"/>
      <c r="P276" s="170" t="s">
        <v>300</v>
      </c>
      <c r="Q276" s="318"/>
      <c r="S276" s="170" t="s">
        <v>393</v>
      </c>
      <c r="T276" s="318"/>
      <c r="Y276" s="167"/>
    </row>
    <row r="277" spans="1:25" ht="14.1" customHeight="1">
      <c r="A277" s="153">
        <v>5</v>
      </c>
      <c r="B277" s="203"/>
      <c r="D277" s="170" t="s">
        <v>300</v>
      </c>
      <c r="E277" s="331" t="str">
        <f>IF(Q261="","",Q261)</f>
        <v/>
      </c>
      <c r="F277" s="97"/>
      <c r="G277" s="170" t="s">
        <v>393</v>
      </c>
      <c r="H277" s="331" t="str">
        <f>IF(T261="","",T261)</f>
        <v/>
      </c>
      <c r="M277" s="206"/>
      <c r="O277" s="165"/>
      <c r="S277" s="150" t="s">
        <v>491</v>
      </c>
      <c r="U277" s="151" t="s">
        <v>528</v>
      </c>
      <c r="Y277" s="167"/>
    </row>
    <row r="278" spans="1:25" ht="14.1" customHeight="1">
      <c r="A278" s="153">
        <v>6</v>
      </c>
      <c r="B278" s="203"/>
      <c r="G278" s="150" t="s">
        <v>491</v>
      </c>
      <c r="I278" s="151" t="s">
        <v>528</v>
      </c>
      <c r="M278" s="206"/>
      <c r="O278" s="471"/>
      <c r="Q278" s="150" t="s">
        <v>274</v>
      </c>
      <c r="R278" s="150" t="s">
        <v>495</v>
      </c>
      <c r="S278" s="150" t="s">
        <v>496</v>
      </c>
      <c r="T278" s="150" t="s">
        <v>529</v>
      </c>
      <c r="U278" s="150" t="s">
        <v>530</v>
      </c>
      <c r="W278" s="170" t="s">
        <v>531</v>
      </c>
      <c r="X278" s="472" t="str">
        <f>IF(T275="","",VLOOKUP(T275,Tables!$H$85:$I$89,2))</f>
        <v/>
      </c>
      <c r="Y278" s="167"/>
    </row>
    <row r="279" spans="1:25" ht="14.1" customHeight="1">
      <c r="A279" s="153">
        <v>7</v>
      </c>
      <c r="B279" s="203"/>
      <c r="D279" s="150"/>
      <c r="E279" s="150" t="s">
        <v>274</v>
      </c>
      <c r="F279" s="150" t="s">
        <v>495</v>
      </c>
      <c r="G279" s="150" t="s">
        <v>496</v>
      </c>
      <c r="H279" s="150" t="s">
        <v>529</v>
      </c>
      <c r="I279" s="150" t="s">
        <v>530</v>
      </c>
      <c r="K279" s="170" t="s">
        <v>531</v>
      </c>
      <c r="L279" s="319" t="str">
        <f t="shared" ref="L279:L284" si="51">IF(X263="","",X263)</f>
        <v/>
      </c>
      <c r="M279" s="206"/>
      <c r="O279" s="471"/>
      <c r="Q279" s="316"/>
      <c r="R279" s="316"/>
      <c r="S279" s="316"/>
      <c r="T279" s="475" t="str">
        <f>IF(Q279="","",Q279/$T$276)</f>
        <v/>
      </c>
      <c r="U279" s="448" t="str">
        <f>IF(Q279="","",($T$260^2*Tables!$D$80+Tables!$D$81)*Q279)</f>
        <v/>
      </c>
      <c r="W279" s="170" t="s">
        <v>532</v>
      </c>
      <c r="X279" s="472" t="str">
        <f>IF(U283="","",Q283*($T$275^2*Tables!$P$78+Tables!$P$79))</f>
        <v/>
      </c>
      <c r="Y279" s="167"/>
    </row>
    <row r="280" spans="1:25" ht="14.1" customHeight="1">
      <c r="A280" s="153">
        <v>8</v>
      </c>
      <c r="B280" s="203"/>
      <c r="E280" s="494" t="str">
        <f t="shared" ref="E280:I285" si="52">IF(Q264="","",Q264)</f>
        <v/>
      </c>
      <c r="F280" s="208" t="str">
        <f t="shared" si="52"/>
        <v/>
      </c>
      <c r="G280" s="208" t="str">
        <f t="shared" si="52"/>
        <v/>
      </c>
      <c r="H280" s="495" t="str">
        <f t="shared" si="52"/>
        <v/>
      </c>
      <c r="I280" s="210" t="str">
        <f t="shared" si="52"/>
        <v/>
      </c>
      <c r="K280" s="170" t="s">
        <v>532</v>
      </c>
      <c r="L280" s="320" t="str">
        <f t="shared" si="51"/>
        <v/>
      </c>
      <c r="M280" s="206"/>
      <c r="O280" s="471"/>
      <c r="Q280" s="316"/>
      <c r="R280" s="316"/>
      <c r="S280" s="316"/>
      <c r="T280" s="475" t="str">
        <f>IF(Q280="","",Q280/$T$276)</f>
        <v/>
      </c>
      <c r="U280" s="448" t="str">
        <f>IF(Q280="","",($T$260^2*Tables!$D$80+Tables!$D$81)*Q280)</f>
        <v/>
      </c>
      <c r="W280" s="170" t="s">
        <v>533</v>
      </c>
      <c r="X280" s="477" t="str">
        <f>IF(Q276="","",Tables!F100)</f>
        <v/>
      </c>
      <c r="Y280" s="167"/>
    </row>
    <row r="281" spans="1:25" ht="14.1" customHeight="1">
      <c r="A281" s="153">
        <v>9</v>
      </c>
      <c r="B281" s="203"/>
      <c r="E281" s="496" t="str">
        <f t="shared" si="52"/>
        <v/>
      </c>
      <c r="F281" s="224" t="str">
        <f t="shared" si="52"/>
        <v/>
      </c>
      <c r="G281" s="224" t="str">
        <f t="shared" si="52"/>
        <v/>
      </c>
      <c r="H281" s="475" t="str">
        <f t="shared" si="52"/>
        <v/>
      </c>
      <c r="I281" s="226" t="str">
        <f t="shared" si="52"/>
        <v/>
      </c>
      <c r="K281" s="170" t="s">
        <v>533</v>
      </c>
      <c r="L281" s="497" t="str">
        <f t="shared" si="51"/>
        <v/>
      </c>
      <c r="M281" s="206"/>
      <c r="O281" s="471"/>
      <c r="Q281" s="316"/>
      <c r="R281" s="316"/>
      <c r="S281" s="316"/>
      <c r="T281" s="475" t="str">
        <f>IF(Q281="","",Q281/$T$276)</f>
        <v/>
      </c>
      <c r="U281" s="448" t="str">
        <f>IF(Q281="","",($T$260^2*Tables!$D$80+Tables!$D$81)*Q281)</f>
        <v/>
      </c>
      <c r="W281" s="170" t="s">
        <v>534</v>
      </c>
      <c r="X281" s="472" t="str">
        <f>IF($O$34=2,"NA",IF(OR(X279="",X280=""),"",(X280*(X279/8.76))/100))</f>
        <v/>
      </c>
      <c r="Y281" s="167"/>
    </row>
    <row r="282" spans="1:25" ht="14.1" customHeight="1">
      <c r="A282" s="153">
        <v>10</v>
      </c>
      <c r="B282" s="203"/>
      <c r="E282" s="496" t="str">
        <f t="shared" si="52"/>
        <v/>
      </c>
      <c r="F282" s="224" t="str">
        <f t="shared" si="52"/>
        <v/>
      </c>
      <c r="G282" s="224" t="str">
        <f t="shared" si="52"/>
        <v/>
      </c>
      <c r="H282" s="475" t="str">
        <f t="shared" si="52"/>
        <v/>
      </c>
      <c r="I282" s="226" t="str">
        <f t="shared" si="52"/>
        <v/>
      </c>
      <c r="K282" s="170" t="s">
        <v>534</v>
      </c>
      <c r="L282" s="320" t="str">
        <f t="shared" si="51"/>
        <v/>
      </c>
      <c r="M282" s="206"/>
      <c r="O282" s="471"/>
      <c r="Q282" s="316"/>
      <c r="R282" s="316"/>
      <c r="S282" s="316"/>
      <c r="T282" s="475" t="str">
        <f>IF(Q282="","",Q282/$T$276)</f>
        <v/>
      </c>
      <c r="U282" s="448" t="str">
        <f>IF(Q282="","",($T$260^2*Tables!$D$80+Tables!$D$81)*Q282)</f>
        <v/>
      </c>
      <c r="W282" s="170" t="s">
        <v>535</v>
      </c>
      <c r="X282" s="479" t="str">
        <f>IF(AB89="","",AB89)</f>
        <v/>
      </c>
      <c r="Y282" s="167"/>
    </row>
    <row r="283" spans="1:25" ht="14.1" customHeight="1">
      <c r="A283" s="153">
        <v>11</v>
      </c>
      <c r="B283" s="203"/>
      <c r="E283" s="498" t="str">
        <f t="shared" si="52"/>
        <v/>
      </c>
      <c r="F283" s="283" t="str">
        <f t="shared" si="52"/>
        <v/>
      </c>
      <c r="G283" s="283" t="str">
        <f t="shared" si="52"/>
        <v/>
      </c>
      <c r="H283" s="499" t="str">
        <f t="shared" si="52"/>
        <v/>
      </c>
      <c r="I283" s="285" t="str">
        <f t="shared" si="52"/>
        <v/>
      </c>
      <c r="K283" s="170" t="s">
        <v>535</v>
      </c>
      <c r="L283" s="320" t="str">
        <f t="shared" si="51"/>
        <v/>
      </c>
      <c r="M283" s="206"/>
      <c r="O283" s="471"/>
      <c r="P283" s="170" t="s">
        <v>505</v>
      </c>
      <c r="Q283" s="253" t="str">
        <f>IF(OR(Q279="",Q280="",Q281="",Q282=""),"",AVERAGE(Q279:Q282))</f>
        <v/>
      </c>
      <c r="R283" s="480" t="str">
        <f>IF(OR(R279="",R280="",R281="",R282=""),"",AVERAGE(R279:R282))</f>
        <v/>
      </c>
      <c r="S283" s="481" t="str">
        <f>IF(OR(S279="",S280="",S281="",S282=""),"",AVERAGE(S279:S282))</f>
        <v/>
      </c>
      <c r="T283" s="482" t="str">
        <f>IF(OR(T279="",T280="",T281="",T282=""),"",AVERAGE(T279:T282))</f>
        <v/>
      </c>
      <c r="U283" s="481" t="str">
        <f>IF(OR(U279="",U280="",U281="",U282=""),"",AVERAGE(U279:U282))</f>
        <v/>
      </c>
      <c r="W283" s="170" t="s">
        <v>537</v>
      </c>
      <c r="X283" s="483" t="str">
        <f>IF(OR(X281="",X282=""),"",(X281-X282)/X282)</f>
        <v/>
      </c>
      <c r="Y283" s="167"/>
    </row>
    <row r="284" spans="1:25" ht="14.1" customHeight="1">
      <c r="A284" s="153">
        <v>12</v>
      </c>
      <c r="B284" s="203"/>
      <c r="D284" s="170" t="s">
        <v>505</v>
      </c>
      <c r="E284" s="496" t="str">
        <f t="shared" si="52"/>
        <v/>
      </c>
      <c r="F284" s="224" t="str">
        <f t="shared" si="52"/>
        <v/>
      </c>
      <c r="G284" s="448" t="str">
        <f t="shared" si="52"/>
        <v/>
      </c>
      <c r="H284" s="475" t="str">
        <f t="shared" si="52"/>
        <v/>
      </c>
      <c r="I284" s="226" t="str">
        <f t="shared" si="52"/>
        <v/>
      </c>
      <c r="K284" s="170" t="s">
        <v>537</v>
      </c>
      <c r="L284" s="500" t="str">
        <f t="shared" si="51"/>
        <v/>
      </c>
      <c r="M284" s="206"/>
      <c r="O284" s="471"/>
      <c r="P284" s="170" t="s">
        <v>539</v>
      </c>
      <c r="Q284" s="488" t="str">
        <f>IF(Q283="","",STDEV(Q279:Q282)/Q283)</f>
        <v/>
      </c>
      <c r="R284" s="488" t="str">
        <f>IF(R283="","",STDEV(R279:R282)/R283)</f>
        <v/>
      </c>
      <c r="S284" s="488" t="str">
        <f>IF(S283="","",STDEV(S279:S282)/S283)</f>
        <v/>
      </c>
      <c r="T284" s="488" t="str">
        <f>IF(T283="","",STDEV(T279:T282)/T283)</f>
        <v/>
      </c>
      <c r="U284" s="488" t="str">
        <f>IF(U283="","",STDEV(U279:U282)/U283)</f>
        <v/>
      </c>
      <c r="W284" s="152"/>
      <c r="X284" s="152"/>
      <c r="Y284" s="167"/>
    </row>
    <row r="285" spans="1:25" ht="14.1" customHeight="1">
      <c r="A285" s="153">
        <v>13</v>
      </c>
      <c r="B285" s="203"/>
      <c r="D285" s="170" t="s">
        <v>539</v>
      </c>
      <c r="E285" s="393" t="str">
        <f t="shared" si="52"/>
        <v/>
      </c>
      <c r="F285" s="394" t="str">
        <f t="shared" si="52"/>
        <v/>
      </c>
      <c r="G285" s="394" t="str">
        <f t="shared" si="52"/>
        <v/>
      </c>
      <c r="H285" s="394" t="str">
        <f t="shared" si="52"/>
        <v/>
      </c>
      <c r="I285" s="395" t="str">
        <f t="shared" si="52"/>
        <v/>
      </c>
      <c r="M285" s="206"/>
      <c r="O285" s="165"/>
      <c r="P285" s="152"/>
      <c r="Q285" s="152"/>
      <c r="R285" s="152"/>
      <c r="S285" s="152"/>
      <c r="T285" s="152"/>
      <c r="U285" s="152"/>
      <c r="Y285" s="167"/>
    </row>
    <row r="286" spans="1:25" ht="14.1" customHeight="1">
      <c r="A286" s="153">
        <v>14</v>
      </c>
      <c r="B286" s="203"/>
      <c r="D286" s="277" t="s">
        <v>418</v>
      </c>
      <c r="E286" s="152" t="s">
        <v>540</v>
      </c>
      <c r="K286" s="170" t="s">
        <v>541</v>
      </c>
      <c r="L286" s="489" t="str">
        <f>IF(X271="","",X271)</f>
        <v/>
      </c>
      <c r="M286" s="206"/>
      <c r="O286" s="165"/>
      <c r="P286" s="152" t="s">
        <v>418</v>
      </c>
      <c r="Q286" s="152" t="s">
        <v>540</v>
      </c>
      <c r="W286" s="170" t="s">
        <v>541</v>
      </c>
      <c r="X286" s="489" t="str">
        <f>IF(OR(X281="NA",X281=""),"",(X281-AVERAGE(S279:S282))/AVERAGE(S279:S282))</f>
        <v/>
      </c>
      <c r="Y286" s="167"/>
    </row>
    <row r="287" spans="1:25" ht="14.1" customHeight="1">
      <c r="A287" s="153">
        <v>15</v>
      </c>
      <c r="B287" s="203"/>
      <c r="E287" s="152" t="s">
        <v>542</v>
      </c>
      <c r="K287" s="170" t="s">
        <v>543</v>
      </c>
      <c r="L287" s="490" t="str">
        <f>IF(X272="","",X272)</f>
        <v/>
      </c>
      <c r="M287" s="206"/>
      <c r="O287" s="165"/>
      <c r="P287" s="152"/>
      <c r="Q287" s="152" t="s">
        <v>542</v>
      </c>
      <c r="W287" s="170" t="s">
        <v>543</v>
      </c>
      <c r="X287" s="490" t="str">
        <f>IF(OR(X281="",Q283=""),"",3/(X281/Q283))</f>
        <v/>
      </c>
      <c r="Y287" s="167"/>
    </row>
    <row r="288" spans="1:25" ht="14.1" customHeight="1">
      <c r="A288" s="153">
        <v>16</v>
      </c>
      <c r="B288" s="358"/>
      <c r="C288" s="176"/>
      <c r="D288" s="176"/>
      <c r="E288" s="176"/>
      <c r="F288" s="176"/>
      <c r="G288" s="176"/>
      <c r="H288" s="176"/>
      <c r="I288" s="176"/>
      <c r="J288" s="176"/>
      <c r="K288" s="176"/>
      <c r="L288" s="176"/>
      <c r="M288" s="359"/>
      <c r="O288" s="165"/>
      <c r="P288" s="97"/>
      <c r="Q288" s="97" t="s">
        <v>545</v>
      </c>
      <c r="R288" s="97"/>
      <c r="S288" s="97"/>
      <c r="T288" s="97"/>
      <c r="U288" s="97"/>
      <c r="V288" s="97"/>
      <c r="W288" s="97"/>
      <c r="X288" s="97"/>
      <c r="Y288" s="167"/>
    </row>
    <row r="289" spans="1:25" ht="14.1" customHeight="1">
      <c r="A289" s="153">
        <v>17</v>
      </c>
      <c r="B289" s="417"/>
      <c r="C289" s="220" t="str">
        <f>O274</f>
        <v>Mean Glandular Dose – 3D</v>
      </c>
      <c r="M289" s="269"/>
      <c r="O289" s="165"/>
      <c r="P289" s="97"/>
      <c r="Q289" s="97"/>
      <c r="R289" s="97"/>
      <c r="S289" s="97"/>
      <c r="T289" s="97"/>
      <c r="U289" s="97"/>
      <c r="V289" s="97"/>
      <c r="W289" s="465"/>
      <c r="X289" s="501"/>
      <c r="Y289" s="167"/>
    </row>
    <row r="290" spans="1:25" ht="14.1" customHeight="1">
      <c r="A290" s="153">
        <v>18</v>
      </c>
      <c r="B290" s="417"/>
      <c r="D290" s="170" t="s">
        <v>525</v>
      </c>
      <c r="E290" s="493">
        <f>IF(Q275="","",Q275)</f>
        <v>0</v>
      </c>
      <c r="F290" s="97"/>
      <c r="G290" s="170" t="s">
        <v>391</v>
      </c>
      <c r="H290" s="331" t="str">
        <f>IF(T275="","",T275)</f>
        <v/>
      </c>
      <c r="M290" s="269"/>
      <c r="O290" s="175"/>
      <c r="P290" s="491"/>
      <c r="Q290" s="491"/>
      <c r="R290" s="176"/>
      <c r="S290" s="176"/>
      <c r="T290" s="491"/>
      <c r="U290" s="491"/>
      <c r="V290" s="176"/>
      <c r="W290" s="97"/>
      <c r="X290" s="97"/>
      <c r="Y290" s="177"/>
    </row>
    <row r="291" spans="1:25" ht="14.1" customHeight="1">
      <c r="A291" s="153">
        <v>19</v>
      </c>
      <c r="B291" s="417"/>
      <c r="D291" s="170" t="s">
        <v>300</v>
      </c>
      <c r="E291" s="331" t="str">
        <f>IF(Q276="","",Q276)</f>
        <v/>
      </c>
      <c r="F291" s="97"/>
      <c r="G291" s="170" t="s">
        <v>393</v>
      </c>
      <c r="H291" s="331" t="str">
        <f>IF(T276="","",T276)</f>
        <v/>
      </c>
      <c r="M291" s="269"/>
      <c r="O291" s="315" t="s">
        <v>546</v>
      </c>
      <c r="P291" s="502"/>
      <c r="Q291" s="502"/>
      <c r="R291" s="502"/>
      <c r="S291" s="502"/>
      <c r="T291" s="502"/>
      <c r="U291" s="502"/>
      <c r="V291" s="502"/>
      <c r="W291" s="502"/>
      <c r="X291" s="502"/>
      <c r="Y291" s="503"/>
    </row>
    <row r="292" spans="1:25" ht="14.1" customHeight="1">
      <c r="A292" s="153">
        <v>20</v>
      </c>
      <c r="B292" s="417"/>
      <c r="G292" s="150" t="s">
        <v>491</v>
      </c>
      <c r="I292" s="151" t="s">
        <v>528</v>
      </c>
      <c r="M292" s="269"/>
      <c r="O292" s="375"/>
      <c r="P292" s="170" t="s">
        <v>525</v>
      </c>
      <c r="Q292" s="356">
        <f>$Q$260</f>
        <v>0</v>
      </c>
      <c r="R292" s="97"/>
      <c r="S292" s="97"/>
      <c r="T292" s="97"/>
      <c r="U292" s="97"/>
      <c r="V292" s="97"/>
      <c r="W292" s="97"/>
      <c r="X292" s="97"/>
      <c r="Y292" s="357"/>
    </row>
    <row r="293" spans="1:25" ht="14.1" customHeight="1">
      <c r="A293" s="153">
        <v>21</v>
      </c>
      <c r="B293" s="417"/>
      <c r="D293" s="150"/>
      <c r="E293" s="150" t="s">
        <v>274</v>
      </c>
      <c r="F293" s="150" t="s">
        <v>495</v>
      </c>
      <c r="G293" s="150" t="s">
        <v>496</v>
      </c>
      <c r="H293" s="150" t="s">
        <v>529</v>
      </c>
      <c r="I293" s="150" t="s">
        <v>530</v>
      </c>
      <c r="K293" s="170" t="s">
        <v>531</v>
      </c>
      <c r="L293" s="319" t="str">
        <f t="shared" ref="L293:L298" si="53">IF(X278="","",X278)</f>
        <v/>
      </c>
      <c r="M293" s="269"/>
      <c r="O293" s="375"/>
      <c r="P293" s="97"/>
      <c r="Q293" s="97"/>
      <c r="R293" s="97"/>
      <c r="S293" s="97"/>
      <c r="T293" s="97"/>
      <c r="U293" s="97"/>
      <c r="V293" s="97"/>
      <c r="W293" s="97"/>
      <c r="X293" s="97"/>
      <c r="Y293" s="357"/>
    </row>
    <row r="294" spans="1:25" ht="14.1" customHeight="1">
      <c r="A294" s="153">
        <v>22</v>
      </c>
      <c r="B294" s="417"/>
      <c r="E294" s="494" t="str">
        <f t="shared" ref="E294:I299" si="54">IF(Q279="","",Q279)</f>
        <v/>
      </c>
      <c r="F294" s="208" t="str">
        <f t="shared" si="54"/>
        <v/>
      </c>
      <c r="G294" s="208" t="str">
        <f t="shared" si="54"/>
        <v/>
      </c>
      <c r="H294" s="495" t="str">
        <f t="shared" si="54"/>
        <v/>
      </c>
      <c r="I294" s="210" t="str">
        <f t="shared" si="54"/>
        <v/>
      </c>
      <c r="K294" s="170" t="s">
        <v>532</v>
      </c>
      <c r="L294" s="320" t="str">
        <f t="shared" si="53"/>
        <v/>
      </c>
      <c r="M294" s="269"/>
      <c r="O294" s="165" t="s">
        <v>547</v>
      </c>
      <c r="P294" s="97"/>
      <c r="Q294" s="97"/>
      <c r="R294" s="97"/>
      <c r="S294" s="97"/>
      <c r="T294" s="97"/>
      <c r="U294" s="97"/>
      <c r="V294" s="97"/>
      <c r="W294" s="97"/>
      <c r="X294" s="97"/>
      <c r="Y294" s="357"/>
    </row>
    <row r="295" spans="1:25" ht="14.1" customHeight="1">
      <c r="A295" s="153">
        <v>23</v>
      </c>
      <c r="B295" s="417"/>
      <c r="E295" s="496" t="str">
        <f t="shared" si="54"/>
        <v/>
      </c>
      <c r="F295" s="224" t="str">
        <f t="shared" si="54"/>
        <v/>
      </c>
      <c r="G295" s="224" t="str">
        <f t="shared" si="54"/>
        <v/>
      </c>
      <c r="H295" s="475" t="str">
        <f t="shared" si="54"/>
        <v/>
      </c>
      <c r="I295" s="226" t="str">
        <f t="shared" si="54"/>
        <v/>
      </c>
      <c r="K295" s="170" t="s">
        <v>533</v>
      </c>
      <c r="L295" s="497" t="str">
        <f t="shared" si="53"/>
        <v/>
      </c>
      <c r="M295" s="269"/>
      <c r="O295" s="375"/>
      <c r="P295" s="170" t="s">
        <v>300</v>
      </c>
      <c r="Q295" s="318"/>
      <c r="R295" s="97"/>
      <c r="S295" s="170" t="s">
        <v>391</v>
      </c>
      <c r="T295" s="318"/>
      <c r="U295" s="97"/>
      <c r="V295" s="97"/>
      <c r="W295" s="97"/>
      <c r="X295" s="97"/>
      <c r="Y295" s="357"/>
    </row>
    <row r="296" spans="1:25" ht="14.1" customHeight="1">
      <c r="A296" s="153">
        <v>24</v>
      </c>
      <c r="B296" s="417"/>
      <c r="E296" s="496" t="str">
        <f t="shared" si="54"/>
        <v/>
      </c>
      <c r="F296" s="224" t="str">
        <f t="shared" si="54"/>
        <v/>
      </c>
      <c r="G296" s="224" t="str">
        <f t="shared" si="54"/>
        <v/>
      </c>
      <c r="H296" s="475" t="str">
        <f t="shared" si="54"/>
        <v/>
      </c>
      <c r="I296" s="226" t="str">
        <f t="shared" si="54"/>
        <v/>
      </c>
      <c r="K296" s="170" t="s">
        <v>534</v>
      </c>
      <c r="L296" s="320" t="str">
        <f t="shared" si="53"/>
        <v/>
      </c>
      <c r="M296" s="269"/>
      <c r="O296" s="375"/>
      <c r="P296" s="97"/>
      <c r="Q296" s="97"/>
      <c r="R296" s="97"/>
      <c r="S296" s="170" t="s">
        <v>393</v>
      </c>
      <c r="T296" s="318"/>
      <c r="U296" s="97"/>
      <c r="V296" s="97"/>
      <c r="W296" s="97"/>
      <c r="X296" s="97"/>
      <c r="Y296" s="357"/>
    </row>
    <row r="297" spans="1:25" ht="14.1" customHeight="1">
      <c r="A297" s="153">
        <v>25</v>
      </c>
      <c r="B297" s="417"/>
      <c r="E297" s="498" t="str">
        <f t="shared" si="54"/>
        <v/>
      </c>
      <c r="F297" s="283" t="str">
        <f t="shared" si="54"/>
        <v/>
      </c>
      <c r="G297" s="283" t="str">
        <f t="shared" si="54"/>
        <v/>
      </c>
      <c r="H297" s="499" t="str">
        <f t="shared" si="54"/>
        <v/>
      </c>
      <c r="I297" s="285" t="str">
        <f t="shared" si="54"/>
        <v/>
      </c>
      <c r="K297" s="170" t="s">
        <v>535</v>
      </c>
      <c r="L297" s="320" t="str">
        <f t="shared" si="53"/>
        <v/>
      </c>
      <c r="M297" s="269"/>
      <c r="O297" s="375"/>
      <c r="P297" s="97"/>
      <c r="S297" s="150" t="s">
        <v>491</v>
      </c>
      <c r="U297" s="151" t="s">
        <v>528</v>
      </c>
      <c r="V297" s="97"/>
      <c r="W297" s="97"/>
      <c r="X297" s="97"/>
      <c r="Y297" s="357"/>
    </row>
    <row r="298" spans="1:25" ht="14.1" customHeight="1">
      <c r="A298" s="153">
        <v>26</v>
      </c>
      <c r="B298" s="417"/>
      <c r="D298" s="170" t="s">
        <v>505</v>
      </c>
      <c r="E298" s="496" t="str">
        <f t="shared" si="54"/>
        <v/>
      </c>
      <c r="F298" s="224" t="str">
        <f t="shared" si="54"/>
        <v/>
      </c>
      <c r="G298" s="448" t="str">
        <f t="shared" si="54"/>
        <v/>
      </c>
      <c r="H298" s="475" t="str">
        <f t="shared" si="54"/>
        <v/>
      </c>
      <c r="I298" s="226" t="str">
        <f t="shared" si="54"/>
        <v/>
      </c>
      <c r="K298" s="170" t="s">
        <v>537</v>
      </c>
      <c r="L298" s="500" t="str">
        <f t="shared" si="53"/>
        <v/>
      </c>
      <c r="M298" s="269"/>
      <c r="O298" s="375"/>
      <c r="P298" s="97"/>
      <c r="Q298" s="150" t="s">
        <v>274</v>
      </c>
      <c r="R298" s="150" t="s">
        <v>495</v>
      </c>
      <c r="S298" s="150" t="s">
        <v>496</v>
      </c>
      <c r="T298" s="150" t="s">
        <v>529</v>
      </c>
      <c r="U298" s="150" t="s">
        <v>530</v>
      </c>
      <c r="V298" s="97"/>
      <c r="W298" s="170" t="s">
        <v>531</v>
      </c>
      <c r="X298" s="472" t="str">
        <f>IF(T295="","",VLOOKUP(T295,Tables!$B$85:$C$89,2))</f>
        <v/>
      </c>
      <c r="Y298" s="357"/>
    </row>
    <row r="299" spans="1:25" ht="14.1" customHeight="1">
      <c r="A299" s="153">
        <v>27</v>
      </c>
      <c r="B299" s="417"/>
      <c r="D299" s="170" t="s">
        <v>539</v>
      </c>
      <c r="E299" s="393" t="str">
        <f t="shared" si="54"/>
        <v/>
      </c>
      <c r="F299" s="394" t="str">
        <f t="shared" si="54"/>
        <v/>
      </c>
      <c r="G299" s="394" t="str">
        <f t="shared" si="54"/>
        <v/>
      </c>
      <c r="H299" s="394" t="str">
        <f t="shared" si="54"/>
        <v/>
      </c>
      <c r="I299" s="395" t="str">
        <f t="shared" si="54"/>
        <v/>
      </c>
      <c r="M299" s="269"/>
      <c r="O299" s="375"/>
      <c r="P299" s="97"/>
      <c r="Q299" s="316"/>
      <c r="R299" s="316"/>
      <c r="S299" s="316"/>
      <c r="T299" s="475" t="str">
        <f>IF(Q299="","",Q299/$T$296)</f>
        <v/>
      </c>
      <c r="U299" s="448" t="str">
        <f>IF(Q299="","",($T$295^2*Tables!$D$80+Tables!$D$81)*Q299)</f>
        <v/>
      </c>
      <c r="V299" s="97"/>
      <c r="W299" s="170" t="s">
        <v>532</v>
      </c>
      <c r="X299" s="472" t="str">
        <f>IF(U303="","",Q303*($T$295^2*Tables!$D$80+Tables!$D$81))</f>
        <v/>
      </c>
      <c r="Y299" s="357"/>
    </row>
    <row r="300" spans="1:25" ht="14.1" customHeight="1">
      <c r="A300" s="153">
        <v>28</v>
      </c>
      <c r="B300" s="417"/>
      <c r="D300" s="277" t="s">
        <v>418</v>
      </c>
      <c r="E300" s="152" t="s">
        <v>540</v>
      </c>
      <c r="K300" s="170" t="s">
        <v>541</v>
      </c>
      <c r="L300" s="489" t="str">
        <f>IF(X286="","",X286)</f>
        <v/>
      </c>
      <c r="M300" s="269"/>
      <c r="O300" s="375"/>
      <c r="P300" s="97"/>
      <c r="Q300" s="316"/>
      <c r="R300" s="316"/>
      <c r="S300" s="316"/>
      <c r="T300" s="475" t="str">
        <f>IF(Q300="","",Q300/$T$296)</f>
        <v/>
      </c>
      <c r="U300" s="448" t="str">
        <f>IF(Q300="","",($T$295^2*Tables!$D$80+Tables!$D$81)*Q300)</f>
        <v/>
      </c>
      <c r="V300" s="97"/>
      <c r="W300" s="170" t="s">
        <v>533</v>
      </c>
      <c r="X300" s="477" t="str">
        <f>IF(Q295="","",HLOOKUP(Q295,Tables!$G$99:$I$100,2))</f>
        <v/>
      </c>
      <c r="Y300" s="357"/>
    </row>
    <row r="301" spans="1:25" ht="14.1" customHeight="1">
      <c r="A301" s="153">
        <v>29</v>
      </c>
      <c r="B301" s="417"/>
      <c r="E301" s="152" t="s">
        <v>542</v>
      </c>
      <c r="K301" s="170" t="s">
        <v>543</v>
      </c>
      <c r="L301" s="490" t="str">
        <f>IF(X287="","",X287)</f>
        <v/>
      </c>
      <c r="M301" s="269"/>
      <c r="O301" s="375"/>
      <c r="P301" s="97"/>
      <c r="Q301" s="316"/>
      <c r="R301" s="316"/>
      <c r="S301" s="316"/>
      <c r="T301" s="475" t="str">
        <f>IF(Q301="","",Q301/$T$296)</f>
        <v/>
      </c>
      <c r="U301" s="448" t="str">
        <f>IF(Q301="","",($T$295^2*Tables!$D$80+Tables!$D$81)*Q301)</f>
        <v/>
      </c>
      <c r="V301" s="97"/>
      <c r="W301" s="170" t="s">
        <v>534</v>
      </c>
      <c r="X301" s="472" t="str">
        <f>IF($O$34=2,"NA",IF(OR(X299="",X300=""),"",(X300*(X299/8.76))/100))</f>
        <v/>
      </c>
      <c r="Y301" s="357"/>
    </row>
    <row r="302" spans="1:25" ht="14.1" customHeight="1">
      <c r="A302" s="153">
        <v>30</v>
      </c>
      <c r="B302" s="484"/>
      <c r="C302" s="485"/>
      <c r="D302" s="485"/>
      <c r="E302" s="485"/>
      <c r="F302" s="485"/>
      <c r="G302" s="485"/>
      <c r="H302" s="485"/>
      <c r="I302" s="485"/>
      <c r="J302" s="485"/>
      <c r="K302" s="485"/>
      <c r="L302" s="485"/>
      <c r="M302" s="487"/>
      <c r="O302" s="375"/>
      <c r="P302" s="97"/>
      <c r="Q302" s="316"/>
      <c r="R302" s="316"/>
      <c r="S302" s="316"/>
      <c r="T302" s="475" t="str">
        <f>IF(Q302="","",Q302/$T$296)</f>
        <v/>
      </c>
      <c r="U302" s="448" t="str">
        <f>IF(Q302="","",($T$295^2*Tables!$D$80+Tables!$D$81)*Q302)</f>
        <v/>
      </c>
      <c r="V302" s="97"/>
      <c r="W302" s="170" t="s">
        <v>535</v>
      </c>
      <c r="X302" s="479" t="str">
        <f>IF(AB90="","",AB90)</f>
        <v/>
      </c>
      <c r="Y302" s="357"/>
    </row>
    <row r="303" spans="1:25" ht="14.1" customHeight="1">
      <c r="A303" s="153">
        <v>31</v>
      </c>
      <c r="B303" s="417"/>
      <c r="C303" s="290" t="str">
        <f>O291</f>
        <v>Mean Glandular Dose – Combo</v>
      </c>
      <c r="D303" s="97"/>
      <c r="E303" s="97"/>
      <c r="F303" s="97"/>
      <c r="G303" s="97"/>
      <c r="H303" s="97"/>
      <c r="I303" s="97"/>
      <c r="J303" s="97"/>
      <c r="K303" s="97"/>
      <c r="L303" s="97"/>
      <c r="M303" s="269"/>
      <c r="O303" s="375"/>
      <c r="P303" s="170" t="s">
        <v>505</v>
      </c>
      <c r="Q303" s="253" t="str">
        <f>IF(OR(Q299="",Q300="",Q301="",Q302=""),"",AVERAGE(Q299:Q302))</f>
        <v/>
      </c>
      <c r="R303" s="480" t="str">
        <f>IF(OR(R299="",R300="",R301="",R302=""),"",AVERAGE(R299:R302))</f>
        <v/>
      </c>
      <c r="S303" s="481" t="str">
        <f>IF(OR(S299="",S300="",S301="",S302=""),"",AVERAGE(S299:S302))</f>
        <v/>
      </c>
      <c r="T303" s="482" t="str">
        <f>IF(OR(T299="",T300="",T301="",T302=""),"",AVERAGE(T299:T302))</f>
        <v/>
      </c>
      <c r="U303" s="481" t="str">
        <f>IF(OR(U299="",U300="",U301="",U302=""),"",AVERAGE(U299:U302))</f>
        <v/>
      </c>
      <c r="V303" s="97"/>
      <c r="W303" s="170" t="s">
        <v>537</v>
      </c>
      <c r="X303" s="483" t="str">
        <f>IF(OR(X301="",X302=""),"",(X301-X302)/X302)</f>
        <v/>
      </c>
      <c r="Y303" s="357"/>
    </row>
    <row r="304" spans="1:25" ht="14.1" customHeight="1">
      <c r="A304" s="153">
        <v>32</v>
      </c>
      <c r="B304" s="417"/>
      <c r="C304" s="97"/>
      <c r="D304" s="170" t="s">
        <v>525</v>
      </c>
      <c r="E304" s="493">
        <f>IF(Q292="","",Q292)</f>
        <v>0</v>
      </c>
      <c r="F304" s="97"/>
      <c r="G304" s="97"/>
      <c r="H304" s="97"/>
      <c r="I304" s="97"/>
      <c r="J304" s="97"/>
      <c r="K304" s="97"/>
      <c r="L304" s="97"/>
      <c r="M304" s="269"/>
      <c r="O304" s="375"/>
      <c r="P304" s="170" t="s">
        <v>539</v>
      </c>
      <c r="Q304" s="488" t="str">
        <f>IF(Q303="","",STDEV(Q299:Q302)/Q303)</f>
        <v/>
      </c>
      <c r="R304" s="488" t="str">
        <f>IF(R303="","",STDEV(R299:R302)/R303)</f>
        <v/>
      </c>
      <c r="S304" s="488" t="str">
        <f>IF(S303="","",STDEV(S299:S302)/S303)</f>
        <v/>
      </c>
      <c r="T304" s="488" t="str">
        <f>IF(T303="","",STDEV(T299:T302)/T303)</f>
        <v/>
      </c>
      <c r="U304" s="488" t="str">
        <f>IF(U303="","",STDEV(U299:U302)/U303)</f>
        <v/>
      </c>
      <c r="V304" s="97"/>
      <c r="W304" s="97"/>
      <c r="X304" s="97"/>
      <c r="Y304" s="357"/>
    </row>
    <row r="305" spans="1:25" ht="14.1" customHeight="1">
      <c r="A305" s="153">
        <v>33</v>
      </c>
      <c r="B305" s="417"/>
      <c r="C305" s="97"/>
      <c r="D305" s="97"/>
      <c r="E305" s="682" t="str">
        <f>O294&amp;" "&amp;P295&amp;" "&amp;Q295</f>
        <v xml:space="preserve">Combo Mode 2D Target/Filter: </v>
      </c>
      <c r="F305" s="682"/>
      <c r="G305" s="682"/>
      <c r="H305" s="682"/>
      <c r="I305" s="682"/>
      <c r="J305" s="97"/>
      <c r="K305" s="97"/>
      <c r="L305" s="97"/>
      <c r="M305" s="269"/>
      <c r="O305" s="375"/>
      <c r="P305" s="97"/>
      <c r="Q305" s="97"/>
      <c r="R305" s="97"/>
      <c r="S305" s="97"/>
      <c r="T305" s="97"/>
      <c r="U305" s="97"/>
      <c r="V305" s="97"/>
      <c r="W305" s="170" t="s">
        <v>541</v>
      </c>
      <c r="X305" s="489" t="str">
        <f>IF(X301="","",(X301-AVERAGE(S299:S302))/AVERAGE(S299:S302))</f>
        <v/>
      </c>
      <c r="Y305" s="357"/>
    </row>
    <row r="306" spans="1:25" ht="14.1" customHeight="1">
      <c r="A306" s="153">
        <v>34</v>
      </c>
      <c r="B306" s="417"/>
      <c r="C306" s="97"/>
      <c r="E306" s="165"/>
      <c r="G306" s="150" t="s">
        <v>491</v>
      </c>
      <c r="I306" s="167" t="s">
        <v>528</v>
      </c>
      <c r="J306" s="97"/>
      <c r="K306" s="170" t="s">
        <v>391</v>
      </c>
      <c r="L306" s="319" t="str">
        <f>IF(T295="","",T295)</f>
        <v/>
      </c>
      <c r="M306" s="269"/>
      <c r="O306" s="504" t="s">
        <v>548</v>
      </c>
      <c r="P306" s="97"/>
      <c r="Q306" s="97"/>
      <c r="R306" s="97"/>
      <c r="S306" s="97"/>
      <c r="T306" s="97"/>
      <c r="U306" s="97"/>
      <c r="V306" s="97"/>
      <c r="W306" s="97"/>
      <c r="X306" s="97"/>
      <c r="Y306" s="357"/>
    </row>
    <row r="307" spans="1:25" ht="14.1" customHeight="1">
      <c r="A307" s="153">
        <v>35</v>
      </c>
      <c r="B307" s="417"/>
      <c r="C307" s="97"/>
      <c r="D307" s="150"/>
      <c r="E307" s="470" t="s">
        <v>274</v>
      </c>
      <c r="F307" s="150" t="s">
        <v>495</v>
      </c>
      <c r="G307" s="150" t="s">
        <v>496</v>
      </c>
      <c r="H307" s="150" t="s">
        <v>529</v>
      </c>
      <c r="I307" s="453" t="s">
        <v>530</v>
      </c>
      <c r="J307" s="97"/>
      <c r="K307" s="170" t="s">
        <v>531</v>
      </c>
      <c r="L307" s="319" t="str">
        <f t="shared" ref="L307:L312" si="55">IF(X298="","",X298)</f>
        <v/>
      </c>
      <c r="M307" s="269"/>
      <c r="O307" s="375"/>
      <c r="P307" s="170" t="s">
        <v>300</v>
      </c>
      <c r="Q307" s="318"/>
      <c r="R307" s="97"/>
      <c r="S307" s="170" t="s">
        <v>391</v>
      </c>
      <c r="T307" s="318"/>
      <c r="U307" s="97"/>
      <c r="V307" s="97"/>
      <c r="W307" s="97"/>
      <c r="X307" s="97"/>
      <c r="Y307" s="357"/>
    </row>
    <row r="308" spans="1:25" ht="14.1" customHeight="1">
      <c r="A308" s="153">
        <v>36</v>
      </c>
      <c r="B308" s="417"/>
      <c r="C308" s="97"/>
      <c r="E308" s="494" t="str">
        <f t="shared" ref="E308:I313" si="56">IF(Q299="","",Q299)</f>
        <v/>
      </c>
      <c r="F308" s="208" t="str">
        <f t="shared" si="56"/>
        <v/>
      </c>
      <c r="G308" s="208" t="str">
        <f t="shared" si="56"/>
        <v/>
      </c>
      <c r="H308" s="495" t="str">
        <f t="shared" si="56"/>
        <v/>
      </c>
      <c r="I308" s="210" t="str">
        <f t="shared" si="56"/>
        <v/>
      </c>
      <c r="J308" s="97"/>
      <c r="K308" s="170" t="s">
        <v>532</v>
      </c>
      <c r="L308" s="319" t="str">
        <f t="shared" si="55"/>
        <v/>
      </c>
      <c r="M308" s="269"/>
      <c r="O308" s="375"/>
      <c r="P308" s="97"/>
      <c r="Q308" s="97"/>
      <c r="R308" s="97"/>
      <c r="S308" s="170" t="s">
        <v>393</v>
      </c>
      <c r="T308" s="318"/>
      <c r="U308" s="97"/>
      <c r="V308" s="97"/>
      <c r="W308" s="97"/>
      <c r="X308" s="97"/>
      <c r="Y308" s="357"/>
    </row>
    <row r="309" spans="1:25" ht="14.1" customHeight="1">
      <c r="A309" s="153">
        <v>37</v>
      </c>
      <c r="B309" s="417"/>
      <c r="C309" s="97"/>
      <c r="E309" s="496" t="str">
        <f t="shared" si="56"/>
        <v/>
      </c>
      <c r="F309" s="224" t="str">
        <f t="shared" si="56"/>
        <v/>
      </c>
      <c r="G309" s="224" t="str">
        <f t="shared" si="56"/>
        <v/>
      </c>
      <c r="H309" s="475" t="str">
        <f t="shared" si="56"/>
        <v/>
      </c>
      <c r="I309" s="226" t="str">
        <f t="shared" si="56"/>
        <v/>
      </c>
      <c r="J309" s="97"/>
      <c r="K309" s="170" t="s">
        <v>533</v>
      </c>
      <c r="L309" s="319" t="str">
        <f t="shared" si="55"/>
        <v/>
      </c>
      <c r="M309" s="269"/>
      <c r="O309" s="375"/>
      <c r="P309" s="97"/>
      <c r="S309" s="150" t="s">
        <v>491</v>
      </c>
      <c r="U309" s="151" t="s">
        <v>528</v>
      </c>
      <c r="V309" s="97"/>
      <c r="W309" s="97"/>
      <c r="X309" s="97"/>
      <c r="Y309" s="357"/>
    </row>
    <row r="310" spans="1:25" ht="14.1" customHeight="1">
      <c r="A310" s="153">
        <v>38</v>
      </c>
      <c r="B310" s="417"/>
      <c r="C310" s="97"/>
      <c r="E310" s="496" t="str">
        <f t="shared" si="56"/>
        <v/>
      </c>
      <c r="F310" s="224" t="str">
        <f t="shared" si="56"/>
        <v/>
      </c>
      <c r="G310" s="224" t="str">
        <f t="shared" si="56"/>
        <v/>
      </c>
      <c r="H310" s="475" t="str">
        <f t="shared" si="56"/>
        <v/>
      </c>
      <c r="I310" s="226" t="str">
        <f t="shared" si="56"/>
        <v/>
      </c>
      <c r="J310" s="97"/>
      <c r="K310" s="170" t="s">
        <v>534</v>
      </c>
      <c r="L310" s="319" t="str">
        <f t="shared" si="55"/>
        <v/>
      </c>
      <c r="M310" s="269"/>
      <c r="O310" s="375"/>
      <c r="P310" s="97"/>
      <c r="Q310" s="150" t="s">
        <v>274</v>
      </c>
      <c r="R310" s="150" t="s">
        <v>495</v>
      </c>
      <c r="S310" s="150" t="s">
        <v>496</v>
      </c>
      <c r="T310" s="150" t="s">
        <v>529</v>
      </c>
      <c r="U310" s="150" t="s">
        <v>530</v>
      </c>
      <c r="V310" s="97"/>
      <c r="W310" s="170" t="s">
        <v>531</v>
      </c>
      <c r="X310" s="472" t="str">
        <f>IF(T307="","",VLOOKUP(T307,Tables!$H$85:$I$89,2))</f>
        <v/>
      </c>
      <c r="Y310" s="357"/>
    </row>
    <row r="311" spans="1:25" ht="14.1" customHeight="1">
      <c r="A311" s="153">
        <v>39</v>
      </c>
      <c r="B311" s="417"/>
      <c r="C311" s="97"/>
      <c r="E311" s="498" t="str">
        <f t="shared" si="56"/>
        <v/>
      </c>
      <c r="F311" s="283" t="str">
        <f t="shared" si="56"/>
        <v/>
      </c>
      <c r="G311" s="283" t="str">
        <f t="shared" si="56"/>
        <v/>
      </c>
      <c r="H311" s="499" t="str">
        <f t="shared" si="56"/>
        <v/>
      </c>
      <c r="I311" s="285" t="str">
        <f t="shared" si="56"/>
        <v/>
      </c>
      <c r="J311" s="97"/>
      <c r="K311" s="465" t="s">
        <v>535</v>
      </c>
      <c r="L311" s="319" t="str">
        <f t="shared" si="55"/>
        <v/>
      </c>
      <c r="M311" s="269"/>
      <c r="O311" s="375"/>
      <c r="P311" s="97"/>
      <c r="Q311" s="316"/>
      <c r="R311" s="316"/>
      <c r="S311" s="316"/>
      <c r="T311" s="475" t="str">
        <f>IF(Q311="","",Q311/$T$308)</f>
        <v/>
      </c>
      <c r="U311" s="448" t="str">
        <f>IF(Q311="","",($T$307^2*Tables!$D$80+Tables!$D$81)*Q311)</f>
        <v/>
      </c>
      <c r="V311" s="97"/>
      <c r="W311" s="170" t="s">
        <v>532</v>
      </c>
      <c r="X311" s="472" t="str">
        <f>IF(U315="","",Q315*($T$307^2*Tables!$P$78+Tables!$P$79))</f>
        <v/>
      </c>
      <c r="Y311" s="357"/>
    </row>
    <row r="312" spans="1:25" ht="14.1" customHeight="1">
      <c r="A312" s="153">
        <v>40</v>
      </c>
      <c r="B312" s="417"/>
      <c r="C312" s="97"/>
      <c r="D312" s="170" t="s">
        <v>505</v>
      </c>
      <c r="E312" s="496" t="str">
        <f t="shared" si="56"/>
        <v/>
      </c>
      <c r="F312" s="224" t="str">
        <f t="shared" si="56"/>
        <v/>
      </c>
      <c r="G312" s="448" t="str">
        <f t="shared" si="56"/>
        <v/>
      </c>
      <c r="H312" s="475" t="str">
        <f t="shared" si="56"/>
        <v/>
      </c>
      <c r="I312" s="226" t="str">
        <f t="shared" si="56"/>
        <v/>
      </c>
      <c r="J312" s="97"/>
      <c r="K312" s="170" t="s">
        <v>537</v>
      </c>
      <c r="L312" s="500" t="str">
        <f t="shared" si="55"/>
        <v/>
      </c>
      <c r="M312" s="269"/>
      <c r="O312" s="375"/>
      <c r="P312" s="97"/>
      <c r="Q312" s="316"/>
      <c r="R312" s="316"/>
      <c r="S312" s="316"/>
      <c r="T312" s="475" t="str">
        <f>IF(Q312="","",Q312/$T$308)</f>
        <v/>
      </c>
      <c r="U312" s="448" t="str">
        <f>IF(Q312="","",($T$307^2*Tables!$D$80+Tables!$D$81)*Q312)</f>
        <v/>
      </c>
      <c r="V312" s="97"/>
      <c r="W312" s="170" t="s">
        <v>533</v>
      </c>
      <c r="X312" s="477" t="str">
        <f>IF(Q307="","",Tables!I100)</f>
        <v/>
      </c>
      <c r="Y312" s="357"/>
    </row>
    <row r="313" spans="1:25" ht="14.1" customHeight="1">
      <c r="A313" s="153">
        <v>41</v>
      </c>
      <c r="B313" s="417"/>
      <c r="C313" s="97"/>
      <c r="D313" s="170" t="s">
        <v>539</v>
      </c>
      <c r="E313" s="393" t="str">
        <f t="shared" si="56"/>
        <v/>
      </c>
      <c r="F313" s="394" t="str">
        <f t="shared" si="56"/>
        <v/>
      </c>
      <c r="G313" s="394" t="str">
        <f t="shared" si="56"/>
        <v/>
      </c>
      <c r="H313" s="394" t="str">
        <f t="shared" si="56"/>
        <v/>
      </c>
      <c r="I313" s="395" t="str">
        <f t="shared" si="56"/>
        <v/>
      </c>
      <c r="J313" s="97"/>
      <c r="K313" s="97"/>
      <c r="L313" s="97"/>
      <c r="M313" s="269"/>
      <c r="O313" s="375"/>
      <c r="P313" s="97"/>
      <c r="Q313" s="316"/>
      <c r="R313" s="316"/>
      <c r="S313" s="316"/>
      <c r="T313" s="475" t="str">
        <f>IF(Q313="","",Q313/$T$308)</f>
        <v/>
      </c>
      <c r="U313" s="448" t="str">
        <f>IF(Q313="","",($T$307^2*Tables!$D$80+Tables!$D$81)*Q313)</f>
        <v/>
      </c>
      <c r="V313" s="97"/>
      <c r="W313" s="170" t="s">
        <v>534</v>
      </c>
      <c r="X313" s="472" t="str">
        <f>IF($O$34=2,"NA",IF(OR(X311="",X312=""),"",(X312*(X311/8.76))/100))</f>
        <v/>
      </c>
      <c r="Y313" s="357"/>
    </row>
    <row r="314" spans="1:25" ht="14.1" customHeight="1">
      <c r="A314" s="153">
        <v>42</v>
      </c>
      <c r="B314" s="417"/>
      <c r="C314" s="97"/>
      <c r="D314" s="97"/>
      <c r="E314" s="97"/>
      <c r="F314" s="97"/>
      <c r="G314" s="97"/>
      <c r="H314" s="97"/>
      <c r="I314" s="97"/>
      <c r="J314" s="97"/>
      <c r="K314" s="170" t="s">
        <v>541</v>
      </c>
      <c r="L314" s="500" t="str">
        <f>IF(X305="","",X305)</f>
        <v/>
      </c>
      <c r="M314" s="269"/>
      <c r="O314" s="375"/>
      <c r="P314" s="97"/>
      <c r="Q314" s="316"/>
      <c r="R314" s="316"/>
      <c r="S314" s="316"/>
      <c r="T314" s="475" t="str">
        <f>IF(Q314="","",Q314/$T$308)</f>
        <v/>
      </c>
      <c r="U314" s="448" t="str">
        <f>IF(Q314="","",($T$307^2*Tables!$D$80+Tables!$D$81)*Q314)</f>
        <v/>
      </c>
      <c r="V314" s="97"/>
      <c r="W314" s="170" t="s">
        <v>535</v>
      </c>
      <c r="X314" s="479" t="str">
        <f>IF(AB91="","",AB91)</f>
        <v/>
      </c>
      <c r="Y314" s="357"/>
    </row>
    <row r="315" spans="1:25" ht="14.1" customHeight="1">
      <c r="A315" s="153">
        <v>43</v>
      </c>
      <c r="B315" s="417"/>
      <c r="C315" s="97"/>
      <c r="D315" s="97"/>
      <c r="E315" s="97"/>
      <c r="F315" s="97"/>
      <c r="G315" s="97"/>
      <c r="H315" s="97"/>
      <c r="I315" s="97"/>
      <c r="J315" s="97"/>
      <c r="K315" s="97"/>
      <c r="L315" s="97"/>
      <c r="M315" s="269"/>
      <c r="O315" s="375"/>
      <c r="P315" s="170" t="s">
        <v>505</v>
      </c>
      <c r="Q315" s="253" t="str">
        <f>IF(OR(Q311="",Q312="",Q313="",Q314=""),"",AVERAGE(Q311:Q314))</f>
        <v/>
      </c>
      <c r="R315" s="480" t="str">
        <f>IF(OR(R311="",R312="",R313="",R314=""),"",AVERAGE(R311:R314))</f>
        <v/>
      </c>
      <c r="S315" s="481" t="str">
        <f>IF(OR(S311="",S312="",S313="",S314=""),"",AVERAGE(S311:S314))</f>
        <v/>
      </c>
      <c r="T315" s="482" t="str">
        <f>IF(OR(T311="",T312="",T313="",T314=""),"",AVERAGE(T311:T314))</f>
        <v/>
      </c>
      <c r="U315" s="481" t="str">
        <f>IF(OR(U311="",U312="",U313="",U314=""),"",AVERAGE(U311:U314))</f>
        <v/>
      </c>
      <c r="V315" s="97"/>
      <c r="W315" s="170" t="s">
        <v>537</v>
      </c>
      <c r="X315" s="483" t="str">
        <f>IF(OR(X313="",X314=""),"",(X313-X314)/X314)</f>
        <v/>
      </c>
      <c r="Y315" s="357"/>
    </row>
    <row r="316" spans="1:25" ht="14.1" customHeight="1">
      <c r="A316" s="153">
        <v>44</v>
      </c>
      <c r="B316" s="417"/>
      <c r="C316" s="97"/>
      <c r="D316" s="97"/>
      <c r="E316" s="683" t="str">
        <f>O306&amp;" "&amp;P307&amp;" "&amp;Q307</f>
        <v xml:space="preserve">Combo Mode 3D Target/Filter: </v>
      </c>
      <c r="F316" s="683"/>
      <c r="G316" s="683"/>
      <c r="H316" s="683"/>
      <c r="I316" s="683"/>
      <c r="J316" s="97"/>
      <c r="K316" s="97"/>
      <c r="L316" s="97"/>
      <c r="M316" s="269"/>
      <c r="O316" s="375"/>
      <c r="P316" s="170" t="s">
        <v>539</v>
      </c>
      <c r="Q316" s="488" t="str">
        <f>IF(Q315="","",STDEV(Q311:Q314)/Q315)</f>
        <v/>
      </c>
      <c r="R316" s="488" t="str">
        <f>IF(R315="","",STDEV(R311:R314)/R315)</f>
        <v/>
      </c>
      <c r="S316" s="488" t="str">
        <f>IF(S315="","",STDEV(S311:S314)/S315)</f>
        <v/>
      </c>
      <c r="T316" s="488" t="str">
        <f>IF(T315="","",STDEV(T311:T314)/T315)</f>
        <v/>
      </c>
      <c r="U316" s="488" t="str">
        <f>IF(U315="","",STDEV(U311:U314)/U315)</f>
        <v/>
      </c>
      <c r="V316" s="97"/>
      <c r="W316" s="97"/>
      <c r="X316" s="97"/>
      <c r="Y316" s="357"/>
    </row>
    <row r="317" spans="1:25" ht="14.1" customHeight="1">
      <c r="A317" s="153">
        <v>45</v>
      </c>
      <c r="B317" s="417"/>
      <c r="C317" s="97"/>
      <c r="D317" s="97"/>
      <c r="E317" s="165"/>
      <c r="G317" s="150" t="s">
        <v>491</v>
      </c>
      <c r="I317" s="206" t="s">
        <v>528</v>
      </c>
      <c r="J317" s="97"/>
      <c r="K317" s="170" t="s">
        <v>391</v>
      </c>
      <c r="L317" s="319" t="str">
        <f>IF(T307="","",T307)</f>
        <v/>
      </c>
      <c r="M317" s="269"/>
      <c r="O317" s="375"/>
      <c r="P317" s="97"/>
      <c r="Q317" s="97"/>
      <c r="R317" s="97"/>
      <c r="S317" s="97"/>
      <c r="T317" s="97"/>
      <c r="U317" s="97"/>
      <c r="V317" s="97"/>
      <c r="W317" s="170" t="s">
        <v>541</v>
      </c>
      <c r="X317" s="489" t="str">
        <f>IF(X313="","",(X313-AVERAGE(S311:S314))/AVERAGE(S311:S314))</f>
        <v/>
      </c>
      <c r="Y317" s="357"/>
    </row>
    <row r="318" spans="1:25" ht="14.1" customHeight="1">
      <c r="A318" s="153">
        <v>46</v>
      </c>
      <c r="B318" s="417"/>
      <c r="C318" s="204"/>
      <c r="D318" s="97"/>
      <c r="E318" s="470" t="s">
        <v>274</v>
      </c>
      <c r="F318" s="150" t="s">
        <v>495</v>
      </c>
      <c r="G318" s="150" t="s">
        <v>496</v>
      </c>
      <c r="H318" s="150" t="s">
        <v>529</v>
      </c>
      <c r="I318" s="505" t="s">
        <v>530</v>
      </c>
      <c r="J318" s="97"/>
      <c r="K318" s="170" t="s">
        <v>531</v>
      </c>
      <c r="L318" s="319" t="str">
        <f t="shared" ref="L318:L323" si="57">IF(X310="","",X310)</f>
        <v/>
      </c>
      <c r="M318" s="269"/>
      <c r="O318" s="375"/>
      <c r="P318" s="97"/>
      <c r="Q318" s="97"/>
      <c r="R318" s="97"/>
      <c r="S318" s="97"/>
      <c r="T318" s="97"/>
      <c r="U318" s="97"/>
      <c r="V318" s="97"/>
      <c r="W318" s="170" t="s">
        <v>549</v>
      </c>
      <c r="X318" s="472" t="str">
        <f>IF($O$34=2,"NA",IF(OR(X301="",X313=""),"",X301+X313))</f>
        <v/>
      </c>
      <c r="Y318" s="357"/>
    </row>
    <row r="319" spans="1:25" ht="14.1" customHeight="1">
      <c r="A319" s="153">
        <v>47</v>
      </c>
      <c r="B319" s="417"/>
      <c r="C319" s="97"/>
      <c r="D319" s="97"/>
      <c r="E319" s="494" t="str">
        <f t="shared" ref="E319:I324" si="58">IF(Q311="","",Q311)</f>
        <v/>
      </c>
      <c r="F319" s="208" t="str">
        <f t="shared" si="58"/>
        <v/>
      </c>
      <c r="G319" s="208" t="str">
        <f t="shared" si="58"/>
        <v/>
      </c>
      <c r="H319" s="495" t="str">
        <f t="shared" si="58"/>
        <v/>
      </c>
      <c r="I319" s="506" t="str">
        <f t="shared" si="58"/>
        <v/>
      </c>
      <c r="J319" s="97"/>
      <c r="K319" s="170" t="s">
        <v>532</v>
      </c>
      <c r="L319" s="319" t="str">
        <f t="shared" si="57"/>
        <v/>
      </c>
      <c r="M319" s="269"/>
      <c r="O319" s="507"/>
      <c r="P319" s="485"/>
      <c r="Q319" s="485"/>
      <c r="R319" s="485"/>
      <c r="S319" s="485"/>
      <c r="T319" s="485"/>
      <c r="U319" s="485"/>
      <c r="V319" s="485"/>
      <c r="W319" s="492" t="s">
        <v>550</v>
      </c>
      <c r="X319" s="479" t="str">
        <f>IF(AB92="","",AB92)</f>
        <v/>
      </c>
      <c r="Y319" s="508"/>
    </row>
    <row r="320" spans="1:25" ht="14.1" customHeight="1">
      <c r="A320" s="153">
        <v>48</v>
      </c>
      <c r="B320" s="417"/>
      <c r="C320" s="97"/>
      <c r="D320" s="97"/>
      <c r="E320" s="496" t="str">
        <f t="shared" si="58"/>
        <v/>
      </c>
      <c r="F320" s="224" t="str">
        <f t="shared" si="58"/>
        <v/>
      </c>
      <c r="G320" s="224" t="str">
        <f t="shared" si="58"/>
        <v/>
      </c>
      <c r="H320" s="475" t="str">
        <f t="shared" si="58"/>
        <v/>
      </c>
      <c r="I320" s="509" t="str">
        <f t="shared" si="58"/>
        <v/>
      </c>
      <c r="J320" s="97"/>
      <c r="K320" s="170" t="s">
        <v>533</v>
      </c>
      <c r="L320" s="319" t="str">
        <f t="shared" si="57"/>
        <v/>
      </c>
      <c r="M320" s="269"/>
      <c r="O320" s="315" t="s">
        <v>551</v>
      </c>
      <c r="P320" s="510"/>
      <c r="Q320" s="510"/>
      <c r="R320" s="158"/>
      <c r="S320" s="158"/>
      <c r="T320" s="510"/>
      <c r="U320" s="510"/>
      <c r="V320" s="158"/>
      <c r="W320" s="158"/>
      <c r="X320" s="158"/>
      <c r="Y320" s="159"/>
    </row>
    <row r="321" spans="1:25" ht="14.1" customHeight="1">
      <c r="A321" s="153">
        <v>49</v>
      </c>
      <c r="B321" s="417"/>
      <c r="C321" s="97"/>
      <c r="D321" s="97"/>
      <c r="E321" s="496" t="str">
        <f t="shared" si="58"/>
        <v/>
      </c>
      <c r="F321" s="224" t="str">
        <f t="shared" si="58"/>
        <v/>
      </c>
      <c r="G321" s="224" t="str">
        <f t="shared" si="58"/>
        <v/>
      </c>
      <c r="H321" s="475" t="str">
        <f t="shared" si="58"/>
        <v/>
      </c>
      <c r="I321" s="509" t="str">
        <f t="shared" si="58"/>
        <v/>
      </c>
      <c r="J321" s="97"/>
      <c r="K321" s="170" t="s">
        <v>534</v>
      </c>
      <c r="L321" s="319" t="str">
        <f t="shared" si="57"/>
        <v/>
      </c>
      <c r="M321" s="269"/>
      <c r="O321" s="165" t="s">
        <v>552</v>
      </c>
      <c r="P321" s="427"/>
      <c r="R321" s="97"/>
      <c r="S321" s="170" t="s">
        <v>553</v>
      </c>
      <c r="T321" s="684"/>
      <c r="U321" s="684"/>
      <c r="Y321" s="167"/>
    </row>
    <row r="322" spans="1:25" ht="14.1" customHeight="1">
      <c r="A322" s="153">
        <v>50</v>
      </c>
      <c r="B322" s="417"/>
      <c r="C322" s="97"/>
      <c r="D322" s="97"/>
      <c r="E322" s="498" t="str">
        <f t="shared" si="58"/>
        <v/>
      </c>
      <c r="F322" s="283" t="str">
        <f t="shared" si="58"/>
        <v/>
      </c>
      <c r="G322" s="283" t="str">
        <f t="shared" si="58"/>
        <v/>
      </c>
      <c r="H322" s="499" t="str">
        <f t="shared" si="58"/>
        <v/>
      </c>
      <c r="I322" s="511" t="str">
        <f t="shared" si="58"/>
        <v/>
      </c>
      <c r="J322" s="97"/>
      <c r="K322" s="465" t="s">
        <v>535</v>
      </c>
      <c r="L322" s="319" t="str">
        <f t="shared" si="57"/>
        <v/>
      </c>
      <c r="M322" s="269"/>
      <c r="O322" s="165" t="s">
        <v>554</v>
      </c>
      <c r="P322" s="512"/>
      <c r="R322" s="97"/>
      <c r="S322" s="170" t="s">
        <v>555</v>
      </c>
      <c r="T322" s="684"/>
      <c r="U322" s="684"/>
      <c r="Y322" s="167"/>
    </row>
    <row r="323" spans="1:25" ht="14.1" customHeight="1">
      <c r="A323" s="153">
        <v>51</v>
      </c>
      <c r="B323" s="417"/>
      <c r="C323" s="97"/>
      <c r="D323" s="170" t="s">
        <v>505</v>
      </c>
      <c r="E323" s="496" t="str">
        <f t="shared" si="58"/>
        <v/>
      </c>
      <c r="F323" s="224" t="str">
        <f t="shared" si="58"/>
        <v/>
      </c>
      <c r="G323" s="448" t="str">
        <f t="shared" si="58"/>
        <v/>
      </c>
      <c r="H323" s="475" t="str">
        <f t="shared" si="58"/>
        <v/>
      </c>
      <c r="I323" s="509" t="str">
        <f t="shared" si="58"/>
        <v/>
      </c>
      <c r="J323" s="97"/>
      <c r="K323" s="170" t="s">
        <v>537</v>
      </c>
      <c r="L323" s="500" t="str">
        <f t="shared" si="57"/>
        <v/>
      </c>
      <c r="M323" s="269"/>
      <c r="O323" s="165"/>
      <c r="Y323" s="167"/>
    </row>
    <row r="324" spans="1:25" ht="14.1" customHeight="1">
      <c r="A324" s="153">
        <v>52</v>
      </c>
      <c r="B324" s="417"/>
      <c r="C324" s="97"/>
      <c r="D324" s="170" t="s">
        <v>539</v>
      </c>
      <c r="E324" s="393" t="str">
        <f t="shared" si="58"/>
        <v/>
      </c>
      <c r="F324" s="394" t="str">
        <f t="shared" si="58"/>
        <v/>
      </c>
      <c r="G324" s="394" t="str">
        <f t="shared" si="58"/>
        <v/>
      </c>
      <c r="H324" s="394" t="str">
        <f t="shared" si="58"/>
        <v/>
      </c>
      <c r="I324" s="513" t="str">
        <f t="shared" si="58"/>
        <v/>
      </c>
      <c r="J324" s="97"/>
      <c r="K324" s="97"/>
      <c r="L324" s="97"/>
      <c r="M324" s="269"/>
      <c r="O324" s="165"/>
      <c r="T324" s="678" t="s">
        <v>556</v>
      </c>
      <c r="U324" s="678"/>
      <c r="V324" s="678"/>
      <c r="W324" s="678"/>
      <c r="X324" s="678"/>
      <c r="Y324" s="167"/>
    </row>
    <row r="325" spans="1:25" ht="14.1" customHeight="1">
      <c r="A325" s="153">
        <v>53</v>
      </c>
      <c r="B325" s="417"/>
      <c r="C325" s="97"/>
      <c r="D325" s="277" t="s">
        <v>418</v>
      </c>
      <c r="E325" s="152" t="s">
        <v>540</v>
      </c>
      <c r="F325" s="97"/>
      <c r="G325" s="97"/>
      <c r="H325" s="97"/>
      <c r="I325" s="97"/>
      <c r="J325" s="97"/>
      <c r="K325" s="170" t="s">
        <v>541</v>
      </c>
      <c r="L325" s="500" t="str">
        <f>IF(X317="","",X317)</f>
        <v/>
      </c>
      <c r="M325" s="269"/>
      <c r="O325" s="165"/>
      <c r="P325" s="150" t="s">
        <v>254</v>
      </c>
      <c r="Q325" s="150" t="s">
        <v>229</v>
      </c>
      <c r="R325" s="150" t="s">
        <v>494</v>
      </c>
      <c r="S325" s="150" t="s">
        <v>274</v>
      </c>
      <c r="T325" s="150" t="s">
        <v>230</v>
      </c>
      <c r="U325" s="150" t="s">
        <v>231</v>
      </c>
      <c r="V325" s="150" t="s">
        <v>232</v>
      </c>
      <c r="W325" s="150" t="s">
        <v>557</v>
      </c>
      <c r="X325" s="150" t="s">
        <v>70</v>
      </c>
      <c r="Y325" s="167"/>
    </row>
    <row r="326" spans="1:25" ht="14.1" customHeight="1">
      <c r="A326" s="153">
        <v>54</v>
      </c>
      <c r="B326" s="417"/>
      <c r="C326" s="97"/>
      <c r="E326" s="152" t="s">
        <v>542</v>
      </c>
      <c r="F326" s="97"/>
      <c r="G326" s="97"/>
      <c r="H326" s="97"/>
      <c r="I326" s="97"/>
      <c r="J326" s="97"/>
      <c r="K326" s="97"/>
      <c r="L326" s="97"/>
      <c r="M326" s="269"/>
      <c r="O326" s="165"/>
      <c r="P326" s="252" t="str">
        <f>IF(AK10="","",AK10)</f>
        <v/>
      </c>
      <c r="Q326" s="252" t="str">
        <f>IF(AL10="","",AL10)</f>
        <v/>
      </c>
      <c r="R326" s="224">
        <f>IF(AH10="","",AH10)</f>
        <v>24</v>
      </c>
      <c r="S326" s="224">
        <f>IF(AI10="","",AI10)</f>
        <v>50</v>
      </c>
      <c r="T326" s="448" t="str">
        <f>IF(AQ10="","",AQ10)</f>
        <v/>
      </c>
      <c r="U326" s="225" t="str">
        <f>IF(AN10="","",AN10)</f>
        <v/>
      </c>
      <c r="V326" s="448" t="str">
        <f>IF(AO10="","",AO10)</f>
        <v/>
      </c>
      <c r="W326" s="475" t="str">
        <f t="shared" ref="W326:W332" si="59">IF(V326="","",V326/S326)</f>
        <v/>
      </c>
      <c r="X326" s="448" t="str">
        <f t="shared" ref="X326:X332" si="60">IF(OR(V326="",U326=""),"",V326/(U326/1000))</f>
        <v/>
      </c>
      <c r="Y326" s="167"/>
    </row>
    <row r="327" spans="1:25" ht="14.1" customHeight="1">
      <c r="A327" s="153">
        <v>55</v>
      </c>
      <c r="B327" s="417"/>
      <c r="C327" s="97"/>
      <c r="D327" s="97"/>
      <c r="E327" s="97"/>
      <c r="F327" s="97"/>
      <c r="G327" s="97"/>
      <c r="H327" s="97"/>
      <c r="I327" s="97"/>
      <c r="J327" s="97"/>
      <c r="K327" s="514" t="s">
        <v>558</v>
      </c>
      <c r="L327" s="515" t="str">
        <f>IF(X318="","",X318)</f>
        <v/>
      </c>
      <c r="M327" s="269"/>
      <c r="O327" s="165"/>
      <c r="P327" s="224" t="str">
        <f>IF(AK18="","",AK18)</f>
        <v/>
      </c>
      <c r="Q327" s="224" t="str">
        <f>IF(AL18="","",AL18)</f>
        <v/>
      </c>
      <c r="R327" s="224">
        <f>IF(AH18="","",AH18)</f>
        <v>25</v>
      </c>
      <c r="S327" s="224">
        <f>IF(AI18="","",AI18)</f>
        <v>50</v>
      </c>
      <c r="T327" s="448" t="str">
        <f>IF(AQ18="","",AQ18)</f>
        <v/>
      </c>
      <c r="U327" s="225" t="str">
        <f>IF(AN18="","",AN18)</f>
        <v/>
      </c>
      <c r="V327" s="448" t="str">
        <f>IF(AO18="","",AO18)</f>
        <v/>
      </c>
      <c r="W327" s="475" t="str">
        <f t="shared" si="59"/>
        <v/>
      </c>
      <c r="X327" s="448" t="str">
        <f t="shared" si="60"/>
        <v/>
      </c>
      <c r="Y327" s="167"/>
    </row>
    <row r="328" spans="1:25" ht="14.1" customHeight="1">
      <c r="A328" s="153">
        <v>56</v>
      </c>
      <c r="B328" s="417"/>
      <c r="C328" s="97"/>
      <c r="D328" s="97"/>
      <c r="E328" s="97"/>
      <c r="F328" s="97"/>
      <c r="G328" s="97"/>
      <c r="H328" s="97"/>
      <c r="I328" s="97"/>
      <c r="J328" s="97"/>
      <c r="K328" s="514" t="s">
        <v>550</v>
      </c>
      <c r="L328" s="516" t="str">
        <f>IF(X319="","",X319)</f>
        <v/>
      </c>
      <c r="M328" s="269"/>
      <c r="O328" s="165"/>
      <c r="P328" s="224" t="str">
        <f>IF(AK26="","",AK26)</f>
        <v/>
      </c>
      <c r="Q328" s="224" t="str">
        <f>IF(AL26="","",AL26)</f>
        <v/>
      </c>
      <c r="R328" s="224">
        <f>IF(AH26="","",AH26)</f>
        <v>26</v>
      </c>
      <c r="S328" s="224">
        <f>IF(AI26="","",AI26)</f>
        <v>50</v>
      </c>
      <c r="T328" s="448" t="str">
        <f>IF(AQ26="","",AQ26)</f>
        <v/>
      </c>
      <c r="U328" s="225" t="str">
        <f>IF(AN26="","",AN26)</f>
        <v/>
      </c>
      <c r="V328" s="448" t="str">
        <f>IF(AO26="","",AO26)</f>
        <v/>
      </c>
      <c r="W328" s="475" t="str">
        <f t="shared" si="59"/>
        <v/>
      </c>
      <c r="X328" s="448" t="str">
        <f t="shared" si="60"/>
        <v/>
      </c>
      <c r="Y328" s="167"/>
    </row>
    <row r="329" spans="1:25" ht="14.1" customHeight="1">
      <c r="A329" s="153">
        <v>57</v>
      </c>
      <c r="B329" s="417"/>
      <c r="C329" s="97"/>
      <c r="D329" s="97"/>
      <c r="E329" s="97"/>
      <c r="F329" s="97"/>
      <c r="G329" s="97"/>
      <c r="H329" s="97"/>
      <c r="I329" s="97"/>
      <c r="J329" s="97"/>
      <c r="K329" s="97"/>
      <c r="L329" s="97"/>
      <c r="M329" s="269"/>
      <c r="O329" s="165"/>
      <c r="P329" s="224" t="str">
        <f>IF(AK28="","",AK28)</f>
        <v/>
      </c>
      <c r="Q329" s="224" t="str">
        <f>IF(AL28="","",AL28)</f>
        <v/>
      </c>
      <c r="R329" s="224">
        <f>IF(AH28="","",AH28)</f>
        <v>28</v>
      </c>
      <c r="S329" s="224">
        <f>IF(AI28="","",AI28)</f>
        <v>50</v>
      </c>
      <c r="T329" s="448" t="str">
        <f>IF(AQ28="","",AQ28)</f>
        <v/>
      </c>
      <c r="U329" s="225" t="str">
        <f>IF(AN28="","",AN28)</f>
        <v/>
      </c>
      <c r="V329" s="448" t="str">
        <f>IF(AO28="","",AO28)</f>
        <v/>
      </c>
      <c r="W329" s="475" t="str">
        <f t="shared" si="59"/>
        <v/>
      </c>
      <c r="X329" s="448" t="str">
        <f t="shared" si="60"/>
        <v/>
      </c>
      <c r="Y329" s="167"/>
    </row>
    <row r="330" spans="1:25" ht="14.1" customHeight="1">
      <c r="A330" s="153">
        <v>58</v>
      </c>
      <c r="B330" s="358"/>
      <c r="C330" s="176"/>
      <c r="D330" s="176"/>
      <c r="E330" s="176"/>
      <c r="F330" s="176"/>
      <c r="G330" s="176"/>
      <c r="H330" s="176"/>
      <c r="I330" s="176"/>
      <c r="J330" s="176"/>
      <c r="K330" s="176"/>
      <c r="L330" s="176"/>
      <c r="M330" s="359"/>
      <c r="O330" s="165"/>
      <c r="P330" s="224" t="str">
        <f>IF(AK40="","",AK40)</f>
        <v/>
      </c>
      <c r="Q330" s="224" t="str">
        <f>IF(AL40="","",AL40)</f>
        <v/>
      </c>
      <c r="R330" s="224">
        <f>IF(AH40="","",AH40)</f>
        <v>30</v>
      </c>
      <c r="S330" s="224">
        <f>IF(AI40="","",AI40)</f>
        <v>50</v>
      </c>
      <c r="T330" s="448" t="str">
        <f>IF(AQ40="","",AQ40)</f>
        <v/>
      </c>
      <c r="U330" s="225" t="str">
        <f>IF(AN40="","",AN40)</f>
        <v/>
      </c>
      <c r="V330" s="448" t="str">
        <f>IF(AO40="","",AO40)</f>
        <v/>
      </c>
      <c r="W330" s="475" t="str">
        <f t="shared" si="59"/>
        <v/>
      </c>
      <c r="X330" s="448" t="str">
        <f t="shared" si="60"/>
        <v/>
      </c>
      <c r="Y330" s="167"/>
    </row>
    <row r="331" spans="1:25" ht="14.1" customHeight="1">
      <c r="A331" s="153">
        <v>59</v>
      </c>
      <c r="B331" s="517"/>
      <c r="C331" s="518" t="s">
        <v>559</v>
      </c>
      <c r="D331" s="519"/>
      <c r="E331" s="519"/>
      <c r="F331" s="519"/>
      <c r="G331" s="519"/>
      <c r="H331" s="519"/>
      <c r="I331" s="519"/>
      <c r="J331" s="519"/>
      <c r="K331" s="519"/>
      <c r="L331" s="519"/>
      <c r="M331" s="520"/>
      <c r="O331" s="165"/>
      <c r="P331" s="224" t="str">
        <f>IF(AK41="","",AK41)</f>
        <v/>
      </c>
      <c r="Q331" s="224" t="str">
        <f>IF(AL41="","",AL41)</f>
        <v/>
      </c>
      <c r="R331" s="224">
        <f>IF(AH41="","",AH41)</f>
        <v>32</v>
      </c>
      <c r="S331" s="224">
        <f>IF(AI41="","",AI41)</f>
        <v>50</v>
      </c>
      <c r="T331" s="448" t="str">
        <f>IF(AQ41="","",AQ41)</f>
        <v/>
      </c>
      <c r="U331" s="225" t="str">
        <f>IF(AN41="","",AN41)</f>
        <v/>
      </c>
      <c r="V331" s="448" t="str">
        <f>IF(AO41="","",AO41)</f>
        <v/>
      </c>
      <c r="W331" s="475" t="str">
        <f t="shared" si="59"/>
        <v/>
      </c>
      <c r="X331" s="448" t="str">
        <f t="shared" si="60"/>
        <v/>
      </c>
      <c r="Y331" s="167"/>
    </row>
    <row r="332" spans="1:25" ht="14.1" customHeight="1">
      <c r="A332" s="153">
        <v>60</v>
      </c>
      <c r="B332" s="203"/>
      <c r="D332" s="170" t="s">
        <v>391</v>
      </c>
      <c r="E332" s="331">
        <f>IF(Q437="","",Q437)</f>
        <v>0</v>
      </c>
      <c r="H332" s="151" t="s">
        <v>560</v>
      </c>
      <c r="I332" s="151" t="s">
        <v>561</v>
      </c>
      <c r="J332" s="151" t="s">
        <v>511</v>
      </c>
      <c r="K332" s="151" t="s">
        <v>512</v>
      </c>
      <c r="M332" s="206"/>
      <c r="O332" s="165"/>
      <c r="P332" s="224" t="str">
        <f>IF(AK49="","",AK49)</f>
        <v/>
      </c>
      <c r="Q332" s="224" t="str">
        <f>IF(AL49="","",AL49)</f>
        <v/>
      </c>
      <c r="R332" s="224">
        <f>IF(AH49="","",AH49)</f>
        <v>34</v>
      </c>
      <c r="S332" s="224">
        <f>IF(AI49="","",AI49)</f>
        <v>50</v>
      </c>
      <c r="T332" s="448" t="str">
        <f>IF(AQ49="","",AQ49)</f>
        <v/>
      </c>
      <c r="U332" s="225" t="str">
        <f>IF(AN49="","",AN49)</f>
        <v/>
      </c>
      <c r="V332" s="448" t="str">
        <f>IF(AO49="","",AO49)</f>
        <v/>
      </c>
      <c r="W332" s="475" t="str">
        <f t="shared" si="59"/>
        <v/>
      </c>
      <c r="X332" s="448" t="str">
        <f t="shared" si="60"/>
        <v/>
      </c>
      <c r="Y332" s="167"/>
    </row>
    <row r="333" spans="1:25" ht="14.1" customHeight="1">
      <c r="A333" s="153">
        <v>61</v>
      </c>
      <c r="B333" s="203"/>
      <c r="D333" s="170" t="s">
        <v>434</v>
      </c>
      <c r="E333" s="331">
        <f>IF(Q438="","",Q438)</f>
        <v>0</v>
      </c>
      <c r="G333" s="170" t="s">
        <v>427</v>
      </c>
      <c r="H333" s="521" t="str">
        <f t="shared" ref="H333:K334" si="61">IF(T441="","",T441)</f>
        <v/>
      </c>
      <c r="I333" s="252" t="str">
        <f t="shared" si="61"/>
        <v/>
      </c>
      <c r="J333" s="488" t="str">
        <f t="shared" si="61"/>
        <v/>
      </c>
      <c r="K333" s="522" t="str">
        <f t="shared" si="61"/>
        <v>Pass</v>
      </c>
      <c r="M333" s="206"/>
      <c r="O333" s="355"/>
      <c r="P333" s="277" t="s">
        <v>418</v>
      </c>
      <c r="Q333" s="162" t="s">
        <v>562</v>
      </c>
      <c r="S333" s="170"/>
      <c r="T333" s="150"/>
      <c r="U333" s="150"/>
      <c r="V333" s="150"/>
      <c r="W333" s="150"/>
      <c r="X333" s="150"/>
      <c r="Y333" s="167"/>
    </row>
    <row r="334" spans="1:25" ht="14.1" customHeight="1">
      <c r="A334" s="153">
        <v>62</v>
      </c>
      <c r="B334" s="203"/>
      <c r="D334" s="170" t="s">
        <v>254</v>
      </c>
      <c r="E334" s="331" t="str">
        <f>IF(Q439="","",Q439)</f>
        <v/>
      </c>
      <c r="G334" s="170" t="s">
        <v>428</v>
      </c>
      <c r="H334" s="521" t="str">
        <f t="shared" si="61"/>
        <v/>
      </c>
      <c r="I334" s="252" t="str">
        <f t="shared" si="61"/>
        <v/>
      </c>
      <c r="J334" s="488" t="str">
        <f t="shared" si="61"/>
        <v/>
      </c>
      <c r="K334" s="252" t="str">
        <f t="shared" si="61"/>
        <v>NA</v>
      </c>
      <c r="M334" s="206"/>
      <c r="O334" s="165"/>
      <c r="P334" s="97"/>
      <c r="Q334" s="97"/>
      <c r="R334" s="97"/>
      <c r="S334" s="97"/>
      <c r="T334" s="97"/>
      <c r="U334" s="97"/>
      <c r="V334" s="97"/>
      <c r="W334" s="97"/>
      <c r="X334" s="97"/>
      <c r="Y334" s="167"/>
    </row>
    <row r="335" spans="1:25" ht="14.1" customHeight="1">
      <c r="A335" s="153">
        <v>63</v>
      </c>
      <c r="B335" s="203"/>
      <c r="D335" s="170" t="s">
        <v>256</v>
      </c>
      <c r="E335" s="331" t="str">
        <f>IF(Q440="","",Q440)</f>
        <v/>
      </c>
      <c r="M335" s="206"/>
      <c r="O335" s="165"/>
      <c r="S335" s="170"/>
      <c r="T335" s="678" t="s">
        <v>556</v>
      </c>
      <c r="U335" s="678"/>
      <c r="V335" s="678"/>
      <c r="W335" s="678"/>
      <c r="X335" s="678"/>
      <c r="Y335" s="167"/>
    </row>
    <row r="336" spans="1:25" ht="14.1" customHeight="1">
      <c r="A336" s="153">
        <v>64</v>
      </c>
      <c r="B336" s="203"/>
      <c r="D336" s="277" t="s">
        <v>418</v>
      </c>
      <c r="E336" s="419" t="s">
        <v>563</v>
      </c>
      <c r="M336" s="206"/>
      <c r="O336" s="165"/>
      <c r="P336" s="150" t="s">
        <v>254</v>
      </c>
      <c r="Q336" s="150" t="s">
        <v>229</v>
      </c>
      <c r="R336" s="150" t="s">
        <v>494</v>
      </c>
      <c r="S336" s="150" t="s">
        <v>274</v>
      </c>
      <c r="T336" s="150" t="s">
        <v>230</v>
      </c>
      <c r="U336" s="150" t="s">
        <v>231</v>
      </c>
      <c r="V336" s="150" t="s">
        <v>232</v>
      </c>
      <c r="W336" s="150" t="s">
        <v>557</v>
      </c>
      <c r="X336" s="150" t="s">
        <v>70</v>
      </c>
      <c r="Y336" s="167"/>
    </row>
    <row r="337" spans="1:38" ht="14.1" customHeight="1">
      <c r="A337" s="153">
        <v>65</v>
      </c>
      <c r="B337" s="203"/>
      <c r="E337" s="162" t="s">
        <v>564</v>
      </c>
      <c r="M337" s="206"/>
      <c r="O337" s="165"/>
      <c r="P337" s="252" t="str">
        <f>IF(AK57="","",AK57)</f>
        <v/>
      </c>
      <c r="Q337" s="252" t="str">
        <f>IF(AL57="","",AL57)</f>
        <v/>
      </c>
      <c r="R337" s="224">
        <f>IF(AH57="","",AH57)</f>
        <v>28</v>
      </c>
      <c r="S337" s="224">
        <f>IF(AI57="","",AI57)</f>
        <v>50</v>
      </c>
      <c r="T337" s="448" t="str">
        <f>IF(AQ57="","",AQ57)</f>
        <v/>
      </c>
      <c r="U337" s="225" t="str">
        <f>IF(AN57="","",AN57)</f>
        <v/>
      </c>
      <c r="V337" s="448" t="str">
        <f>IF(AO57="","",AO57)</f>
        <v/>
      </c>
      <c r="W337" s="475" t="str">
        <f t="shared" ref="W337:W342" si="62">IF(V337="","",V337/S337)</f>
        <v/>
      </c>
      <c r="X337" s="448" t="str">
        <f t="shared" ref="X337:X342" si="63">IF(OR(V337="",U337=""),"",V337/(U337/1000))</f>
        <v/>
      </c>
      <c r="Y337" s="167"/>
    </row>
    <row r="338" spans="1:38" ht="14.1" customHeight="1">
      <c r="A338" s="153">
        <v>66</v>
      </c>
      <c r="B338" s="358"/>
      <c r="C338" s="176"/>
      <c r="D338" s="176"/>
      <c r="E338" s="176"/>
      <c r="F338" s="176"/>
      <c r="G338" s="176"/>
      <c r="H338" s="176"/>
      <c r="I338" s="176"/>
      <c r="J338" s="176"/>
      <c r="K338" s="176"/>
      <c r="L338" s="176"/>
      <c r="M338" s="359"/>
      <c r="O338" s="165"/>
      <c r="P338" s="224" t="str">
        <f>IF(AK65="","",AK65)</f>
        <v/>
      </c>
      <c r="Q338" s="224" t="str">
        <f>IF(AL65="","",AL65)</f>
        <v/>
      </c>
      <c r="R338" s="224">
        <f>IF(AH65="","",AH65)</f>
        <v>30</v>
      </c>
      <c r="S338" s="224">
        <f>IF(AI65="","",AI65)</f>
        <v>50</v>
      </c>
      <c r="T338" s="448" t="str">
        <f>IF(AQ65="","",AQ65)</f>
        <v/>
      </c>
      <c r="U338" s="225" t="str">
        <f>IF(AN65="","",AN65)</f>
        <v/>
      </c>
      <c r="V338" s="448" t="str">
        <f>IF(AO65="","",AO65)</f>
        <v/>
      </c>
      <c r="W338" s="475" t="str">
        <f t="shared" si="62"/>
        <v/>
      </c>
      <c r="X338" s="448" t="str">
        <f t="shared" si="63"/>
        <v/>
      </c>
      <c r="Y338" s="167"/>
      <c r="AA338" s="97"/>
      <c r="AB338" s="97"/>
      <c r="AC338" s="97"/>
      <c r="AD338" s="97"/>
      <c r="AE338" s="97"/>
      <c r="AF338" s="97"/>
      <c r="AG338" s="97"/>
      <c r="AH338" s="97"/>
      <c r="AI338" s="97"/>
      <c r="AJ338" s="97"/>
      <c r="AK338" s="97"/>
      <c r="AL338" s="97"/>
    </row>
    <row r="339" spans="1:38" ht="14.1" customHeight="1">
      <c r="A339" s="153">
        <v>67</v>
      </c>
      <c r="C339" s="271" t="s">
        <v>217</v>
      </c>
      <c r="D339" s="272" t="str">
        <f>IF($P$7="","",$P$7)</f>
        <v/>
      </c>
      <c r="E339" s="162"/>
      <c r="F339" s="162"/>
      <c r="G339" s="162"/>
      <c r="H339" s="162"/>
      <c r="I339" s="162"/>
      <c r="J339" s="162"/>
      <c r="K339" s="162"/>
      <c r="L339" s="271" t="s">
        <v>218</v>
      </c>
      <c r="M339" s="273" t="str">
        <f>IF($X$7="","",$X$7)</f>
        <v>Eugene Mah</v>
      </c>
      <c r="O339" s="165"/>
      <c r="P339" s="224" t="str">
        <f>IF(AK73="","",AK73)</f>
        <v/>
      </c>
      <c r="Q339" s="224" t="str">
        <f>IF(AL73="","",AL73)</f>
        <v/>
      </c>
      <c r="R339" s="224">
        <f>IF(AH73="","",AH73)</f>
        <v>32</v>
      </c>
      <c r="S339" s="224">
        <f>IF(AI73="","",AI73)</f>
        <v>50</v>
      </c>
      <c r="T339" s="448" t="str">
        <f>IF(AQ73="","",AQ73)</f>
        <v/>
      </c>
      <c r="U339" s="225" t="str">
        <f>IF(AN73="","",AN73)</f>
        <v/>
      </c>
      <c r="V339" s="448" t="str">
        <f>IF(AO73="","",AO73)</f>
        <v/>
      </c>
      <c r="W339" s="475" t="str">
        <f t="shared" si="62"/>
        <v/>
      </c>
      <c r="X339" s="448" t="str">
        <f t="shared" si="63"/>
        <v/>
      </c>
      <c r="Y339" s="167"/>
      <c r="AA339" s="97"/>
      <c r="AB339" s="97"/>
      <c r="AC339" s="97"/>
      <c r="AD339" s="97"/>
      <c r="AE339" s="97"/>
      <c r="AF339" s="97"/>
      <c r="AG339" s="97"/>
      <c r="AH339" s="97"/>
      <c r="AI339" s="97"/>
      <c r="AJ339" s="97"/>
      <c r="AK339" s="97"/>
      <c r="AL339" s="97"/>
    </row>
    <row r="340" spans="1:38" ht="14.1" customHeight="1">
      <c r="A340" s="153">
        <v>68</v>
      </c>
      <c r="C340" s="271" t="s">
        <v>324</v>
      </c>
      <c r="D340" s="274" t="str">
        <f>IF($R$14="","",$R$14)</f>
        <v/>
      </c>
      <c r="E340" s="162"/>
      <c r="F340" s="162"/>
      <c r="G340" s="162"/>
      <c r="H340" s="162"/>
      <c r="I340" s="162"/>
      <c r="J340" s="162"/>
      <c r="K340" s="162"/>
      <c r="L340" s="271" t="s">
        <v>241</v>
      </c>
      <c r="M340" s="275" t="str">
        <f>IF($R$13="","",$R$13)</f>
        <v/>
      </c>
      <c r="O340" s="165"/>
      <c r="P340" s="224" t="str">
        <f>IF(AK81="","",AK81)</f>
        <v/>
      </c>
      <c r="Q340" s="224" t="str">
        <f>IF(AL81="","",AL81)</f>
        <v/>
      </c>
      <c r="R340" s="224">
        <f>IF(AH81="","",AH81)</f>
        <v>34</v>
      </c>
      <c r="S340" s="224">
        <f>IF(AI81="","",AI81)</f>
        <v>50</v>
      </c>
      <c r="T340" s="448" t="str">
        <f>IF(AQ81="","",AQ81)</f>
        <v/>
      </c>
      <c r="U340" s="225" t="str">
        <f>IF(AN81="","",AN81)</f>
        <v/>
      </c>
      <c r="V340" s="448" t="str">
        <f>IF(AO81="","",AO81)</f>
        <v/>
      </c>
      <c r="W340" s="475" t="str">
        <f t="shared" si="62"/>
        <v/>
      </c>
      <c r="X340" s="448" t="str">
        <f t="shared" si="63"/>
        <v/>
      </c>
      <c r="Y340" s="167"/>
      <c r="AA340" s="97"/>
      <c r="AB340" s="97"/>
      <c r="AC340" s="97"/>
      <c r="AD340" s="97"/>
      <c r="AE340" s="97"/>
      <c r="AF340" s="97"/>
      <c r="AG340" s="97"/>
      <c r="AH340" s="97"/>
      <c r="AI340" s="97"/>
      <c r="AJ340" s="97"/>
      <c r="AK340" s="97"/>
      <c r="AL340" s="97"/>
    </row>
    <row r="341" spans="1:38" ht="14.1" customHeight="1">
      <c r="A341" s="153">
        <v>1</v>
      </c>
      <c r="M341" s="276" t="str">
        <f>$H$2</f>
        <v>Medical University of South Carolina</v>
      </c>
      <c r="O341" s="165"/>
      <c r="P341" s="224" t="str">
        <f>IF(AK89="","",AK89)</f>
        <v/>
      </c>
      <c r="Q341" s="224" t="str">
        <f>IF(AL89="","",AL89)</f>
        <v/>
      </c>
      <c r="R341" s="224">
        <f>IF(AH89="","",AH89)</f>
        <v>36</v>
      </c>
      <c r="S341" s="224">
        <f>IF(AI89="","",AI89)</f>
        <v>50</v>
      </c>
      <c r="T341" s="448" t="str">
        <f>IF(AQ89="","",AQ89)</f>
        <v/>
      </c>
      <c r="U341" s="225" t="str">
        <f>IF(AN89="","",AN89)</f>
        <v/>
      </c>
      <c r="V341" s="448" t="str">
        <f>IF(AO89="","",AO89)</f>
        <v/>
      </c>
      <c r="W341" s="475" t="str">
        <f t="shared" si="62"/>
        <v/>
      </c>
      <c r="X341" s="448" t="str">
        <f t="shared" si="63"/>
        <v/>
      </c>
      <c r="Y341" s="167"/>
      <c r="AA341" s="97"/>
      <c r="AB341" s="97"/>
      <c r="AC341" s="97"/>
      <c r="AD341" s="97"/>
      <c r="AE341" s="97"/>
      <c r="AF341" s="97"/>
      <c r="AG341" s="97"/>
      <c r="AH341" s="97"/>
      <c r="AI341" s="97"/>
      <c r="AJ341" s="97"/>
      <c r="AK341" s="97"/>
      <c r="AL341" s="97"/>
    </row>
    <row r="342" spans="1:38" ht="14.1" customHeight="1">
      <c r="A342" s="153">
        <v>2</v>
      </c>
      <c r="H342" s="186" t="s">
        <v>275</v>
      </c>
      <c r="M342" s="277" t="str">
        <f>$H$5</f>
        <v>Mammography System Compliance Inspection</v>
      </c>
      <c r="O342" s="165"/>
      <c r="P342" s="224" t="str">
        <f>IF(AK90="","",AK90)</f>
        <v/>
      </c>
      <c r="Q342" s="224" t="str">
        <f>IF(AL90="","",AL90)</f>
        <v/>
      </c>
      <c r="R342" s="224">
        <f>IF(AH90="","",AH90)</f>
        <v>38</v>
      </c>
      <c r="S342" s="224">
        <f>IF(AI90="","",AI90)</f>
        <v>50</v>
      </c>
      <c r="T342" s="448" t="str">
        <f>IF(AQ90="","",AQ90)</f>
        <v/>
      </c>
      <c r="U342" s="225" t="str">
        <f>IF(AN90="","",AN90)</f>
        <v/>
      </c>
      <c r="V342" s="448" t="str">
        <f>IF(AO90="","",AO90)</f>
        <v/>
      </c>
      <c r="W342" s="475" t="str">
        <f t="shared" si="62"/>
        <v/>
      </c>
      <c r="X342" s="448" t="str">
        <f t="shared" si="63"/>
        <v/>
      </c>
      <c r="Y342" s="167"/>
      <c r="AA342" s="97"/>
      <c r="AB342" s="97"/>
      <c r="AC342" s="97"/>
      <c r="AD342" s="97"/>
      <c r="AE342" s="97"/>
      <c r="AF342" s="97"/>
      <c r="AG342" s="97"/>
      <c r="AH342" s="97"/>
      <c r="AI342" s="97"/>
      <c r="AJ342" s="97"/>
      <c r="AK342" s="97"/>
      <c r="AL342" s="97"/>
    </row>
    <row r="343" spans="1:38" ht="14.1" customHeight="1">
      <c r="A343" s="153">
        <v>3</v>
      </c>
      <c r="B343" s="194"/>
      <c r="C343" s="523" t="s">
        <v>552</v>
      </c>
      <c r="D343" s="524" t="str">
        <f>IF(P321="","",P321)</f>
        <v/>
      </c>
      <c r="E343" s="523"/>
      <c r="F343" s="525"/>
      <c r="G343" s="195"/>
      <c r="H343" s="523" t="s">
        <v>553</v>
      </c>
      <c r="I343" s="685" t="str">
        <f>IF(T321="","",T321)</f>
        <v/>
      </c>
      <c r="J343" s="685"/>
      <c r="K343" s="195"/>
      <c r="L343" s="195"/>
      <c r="M343" s="197"/>
      <c r="O343" s="165"/>
      <c r="P343" s="277" t="s">
        <v>418</v>
      </c>
      <c r="Q343" s="162" t="s">
        <v>562</v>
      </c>
      <c r="Y343" s="167"/>
      <c r="AA343" s="97"/>
      <c r="AB343" s="97"/>
      <c r="AC343" s="97"/>
      <c r="AD343" s="97"/>
      <c r="AE343" s="97"/>
      <c r="AF343" s="97"/>
      <c r="AG343" s="97"/>
      <c r="AH343" s="97"/>
      <c r="AI343" s="97"/>
      <c r="AJ343" s="97"/>
      <c r="AK343" s="97"/>
      <c r="AL343" s="97"/>
    </row>
    <row r="344" spans="1:38" ht="14.1" customHeight="1">
      <c r="A344" s="153">
        <v>4</v>
      </c>
      <c r="B344" s="203"/>
      <c r="C344" s="465" t="s">
        <v>565</v>
      </c>
      <c r="D344" s="493" t="str">
        <f>IF(P322="","",P322)</f>
        <v/>
      </c>
      <c r="E344" s="152"/>
      <c r="F344" s="152"/>
      <c r="G344" s="152"/>
      <c r="H344" s="465" t="s">
        <v>555</v>
      </c>
      <c r="I344" s="686" t="str">
        <f>IF(T322="","",T322)</f>
        <v/>
      </c>
      <c r="J344" s="686"/>
      <c r="K344" s="152"/>
      <c r="M344" s="206"/>
      <c r="O344" s="165"/>
      <c r="P344" s="97"/>
      <c r="Q344" s="97"/>
      <c r="R344" s="97"/>
      <c r="S344" s="97"/>
      <c r="T344" s="97"/>
      <c r="U344" s="97"/>
      <c r="V344" s="97"/>
      <c r="W344" s="97"/>
      <c r="X344" s="97"/>
      <c r="Y344" s="167"/>
      <c r="AA344" s="97"/>
      <c r="AB344" s="97"/>
      <c r="AC344" s="97"/>
      <c r="AD344" s="97"/>
      <c r="AE344" s="97"/>
      <c r="AF344" s="97"/>
      <c r="AG344" s="97"/>
      <c r="AH344" s="97"/>
      <c r="AI344" s="97"/>
      <c r="AJ344" s="97"/>
      <c r="AK344" s="97"/>
      <c r="AL344" s="97"/>
    </row>
    <row r="345" spans="1:38" ht="14.1" customHeight="1">
      <c r="A345" s="153">
        <v>5</v>
      </c>
      <c r="B345" s="203"/>
      <c r="C345" s="338" t="s">
        <v>566</v>
      </c>
      <c r="D345" s="204"/>
      <c r="E345" s="204"/>
      <c r="F345" s="204"/>
      <c r="G345" s="204"/>
      <c r="H345" s="204"/>
      <c r="I345" s="204"/>
      <c r="J345" s="204"/>
      <c r="K345" s="204"/>
      <c r="M345" s="206"/>
      <c r="O345" s="165"/>
      <c r="S345" s="170"/>
      <c r="T345" s="678" t="s">
        <v>556</v>
      </c>
      <c r="U345" s="678"/>
      <c r="V345" s="678"/>
      <c r="W345" s="678"/>
      <c r="X345" s="678"/>
      <c r="Y345" s="167"/>
      <c r="AA345" s="97"/>
      <c r="AB345" s="97"/>
      <c r="AC345" s="97"/>
      <c r="AD345" s="97"/>
      <c r="AE345" s="97"/>
      <c r="AF345" s="97"/>
      <c r="AG345" s="97"/>
      <c r="AH345" s="97"/>
      <c r="AI345" s="97"/>
      <c r="AJ345" s="97"/>
      <c r="AK345" s="97"/>
      <c r="AL345" s="97"/>
    </row>
    <row r="346" spans="1:38" ht="14.1" customHeight="1">
      <c r="A346" s="153">
        <v>6</v>
      </c>
      <c r="B346" s="203"/>
      <c r="C346" s="170" t="s">
        <v>254</v>
      </c>
      <c r="D346" s="331" t="str">
        <f>IF(P326="","",P326)</f>
        <v/>
      </c>
      <c r="E346" s="97"/>
      <c r="F346" s="97"/>
      <c r="G346" s="170" t="s">
        <v>254</v>
      </c>
      <c r="H346" s="331" t="str">
        <f>IF(P337="","",P337)</f>
        <v/>
      </c>
      <c r="I346" s="97"/>
      <c r="J346" s="97"/>
      <c r="K346" s="170" t="s">
        <v>254</v>
      </c>
      <c r="L346" s="331" t="str">
        <f>IF(P348="","",P347)</f>
        <v/>
      </c>
      <c r="M346" s="269"/>
      <c r="O346" s="165"/>
      <c r="P346" s="150" t="s">
        <v>254</v>
      </c>
      <c r="Q346" s="150" t="s">
        <v>229</v>
      </c>
      <c r="R346" s="150" t="s">
        <v>494</v>
      </c>
      <c r="S346" s="150" t="s">
        <v>274</v>
      </c>
      <c r="T346" s="150" t="s">
        <v>230</v>
      </c>
      <c r="U346" s="150" t="s">
        <v>231</v>
      </c>
      <c r="V346" s="150" t="s">
        <v>232</v>
      </c>
      <c r="W346" s="150" t="s">
        <v>557</v>
      </c>
      <c r="X346" s="150" t="s">
        <v>70</v>
      </c>
      <c r="Y346" s="167"/>
      <c r="AA346" s="97"/>
      <c r="AB346" s="97"/>
      <c r="AC346" s="97"/>
      <c r="AD346" s="97"/>
      <c r="AE346" s="97"/>
      <c r="AF346" s="97"/>
      <c r="AG346" s="97"/>
      <c r="AH346" s="97"/>
      <c r="AI346" s="97"/>
      <c r="AJ346" s="97"/>
      <c r="AK346" s="97"/>
      <c r="AL346" s="97"/>
    </row>
    <row r="347" spans="1:38" ht="14.1" customHeight="1">
      <c r="A347" s="153">
        <v>7</v>
      </c>
      <c r="B347" s="203"/>
      <c r="C347" s="170" t="s">
        <v>256</v>
      </c>
      <c r="D347" s="331" t="str">
        <f>IF(Q326="","",Q326)</f>
        <v/>
      </c>
      <c r="E347" s="97"/>
      <c r="G347" s="170" t="s">
        <v>256</v>
      </c>
      <c r="H347" s="331" t="str">
        <f>IF(Q337="","",Q337)</f>
        <v/>
      </c>
      <c r="I347" s="97"/>
      <c r="J347" s="97"/>
      <c r="K347" s="170" t="s">
        <v>256</v>
      </c>
      <c r="L347" s="331" t="str">
        <f>IF(Q347="","",Q347)</f>
        <v/>
      </c>
      <c r="M347" s="269"/>
      <c r="O347" s="165"/>
      <c r="P347" s="252" t="str">
        <f>IF(AK91="","",AK91)</f>
        <v/>
      </c>
      <c r="Q347" s="252" t="str">
        <f>IF(AL91="","",AL91)</f>
        <v/>
      </c>
      <c r="R347" s="224">
        <f>IF(AH91="","",AH91)</f>
        <v>28</v>
      </c>
      <c r="S347" s="224">
        <f>IF(AI91="","",AI91)</f>
        <v>50</v>
      </c>
      <c r="T347" s="448" t="str">
        <f>IF(AQ91="","",AQ91)</f>
        <v/>
      </c>
      <c r="U347" s="225" t="str">
        <f>IF(AN91="","",AN91)</f>
        <v/>
      </c>
      <c r="V347" s="448" t="str">
        <f>IF(AO91="","",AO91)</f>
        <v/>
      </c>
      <c r="W347" s="475" t="str">
        <f>IF(V347="","",V347/S347)</f>
        <v/>
      </c>
      <c r="X347" s="448" t="str">
        <f>IF(OR(V347="",U347=""),"",V347/(U347/1000))</f>
        <v/>
      </c>
      <c r="Y347" s="167"/>
      <c r="AA347" s="97"/>
      <c r="AB347" s="97"/>
      <c r="AC347" s="97"/>
      <c r="AD347" s="97"/>
      <c r="AE347" s="97"/>
      <c r="AF347" s="97"/>
      <c r="AG347" s="97"/>
      <c r="AH347" s="97"/>
      <c r="AI347" s="97"/>
      <c r="AJ347" s="97"/>
      <c r="AK347" s="97"/>
      <c r="AL347" s="97"/>
    </row>
    <row r="348" spans="1:38" ht="14.1" customHeight="1">
      <c r="A348" s="153">
        <v>8</v>
      </c>
      <c r="B348" s="203"/>
      <c r="C348" s="170" t="s">
        <v>434</v>
      </c>
      <c r="D348" s="331">
        <f>IF(S326="","",S326)</f>
        <v>50</v>
      </c>
      <c r="G348" s="170" t="s">
        <v>434</v>
      </c>
      <c r="H348" s="526">
        <f>IF(S337="","",S337)</f>
        <v>50</v>
      </c>
      <c r="J348" s="97"/>
      <c r="K348" s="170" t="s">
        <v>434</v>
      </c>
      <c r="L348" s="526">
        <f>IF(S347="","",S347)</f>
        <v>50</v>
      </c>
      <c r="M348" s="206"/>
      <c r="O348" s="165"/>
      <c r="P348" s="224" t="str">
        <f>IF(AK99="","",AK99)</f>
        <v/>
      </c>
      <c r="Q348" s="224" t="str">
        <f>IF(AL99="","",AL99)</f>
        <v/>
      </c>
      <c r="R348" s="224">
        <f>IF(AH99="","",AH99)</f>
        <v>30</v>
      </c>
      <c r="S348" s="224">
        <f>IF(AI99="","",AI99)</f>
        <v>50</v>
      </c>
      <c r="T348" s="448" t="str">
        <f>IF(AQ99="","",AQ99)</f>
        <v/>
      </c>
      <c r="U348" s="225" t="str">
        <f>IF(AN99="","",AN99)</f>
        <v/>
      </c>
      <c r="V348" s="448" t="str">
        <f>IF(AO99="","",AO99)</f>
        <v/>
      </c>
      <c r="W348" s="475" t="str">
        <f>IF(V348="","",V348/S348)</f>
        <v/>
      </c>
      <c r="X348" s="448" t="str">
        <f>IF(OR(V348="",U348=""),"",V348/(U348/1000))</f>
        <v/>
      </c>
      <c r="Y348" s="167"/>
      <c r="AA348" s="97"/>
      <c r="AB348" s="97"/>
      <c r="AC348" s="97"/>
      <c r="AD348" s="97"/>
      <c r="AE348" s="97"/>
      <c r="AF348" s="97"/>
      <c r="AG348" s="97"/>
      <c r="AH348" s="97"/>
      <c r="AI348" s="97"/>
      <c r="AJ348" s="97"/>
      <c r="AK348" s="97"/>
      <c r="AL348" s="97"/>
    </row>
    <row r="349" spans="1:38" ht="14.1" customHeight="1">
      <c r="A349" s="153">
        <v>9</v>
      </c>
      <c r="B349" s="203"/>
      <c r="C349" s="361" t="s">
        <v>411</v>
      </c>
      <c r="D349" s="361" t="s">
        <v>412</v>
      </c>
      <c r="E349" s="361"/>
      <c r="G349" s="361" t="s">
        <v>411</v>
      </c>
      <c r="H349" s="361" t="s">
        <v>412</v>
      </c>
      <c r="I349" s="361"/>
      <c r="J349" s="97"/>
      <c r="K349" s="361" t="s">
        <v>411</v>
      </c>
      <c r="L349" s="361" t="s">
        <v>412</v>
      </c>
      <c r="M349" s="527"/>
      <c r="O349" s="165"/>
      <c r="P349" s="224" t="str">
        <f>IF(AK107="","",AK107)</f>
        <v/>
      </c>
      <c r="Q349" s="224" t="str">
        <f>IF(AL107="","",AL107)</f>
        <v/>
      </c>
      <c r="R349" s="224">
        <f>IF(AH107="","",AH107)</f>
        <v>32</v>
      </c>
      <c r="S349" s="224">
        <f>IF(AI107="","",AI107)</f>
        <v>50</v>
      </c>
      <c r="T349" s="448" t="str">
        <f>IF(AQ107="","",AQ107)</f>
        <v/>
      </c>
      <c r="U349" s="225" t="str">
        <f>IF(AN107="","",AN107)</f>
        <v/>
      </c>
      <c r="V349" s="448" t="str">
        <f>IF(AO107="","",AO107)</f>
        <v/>
      </c>
      <c r="W349" s="475" t="str">
        <f>IF(V349="","",V349/S349)</f>
        <v/>
      </c>
      <c r="X349" s="448" t="str">
        <f>IF(OR(V349="",U349=""),"",V349/(U349/1000))</f>
        <v/>
      </c>
      <c r="Y349" s="167"/>
      <c r="AA349" s="97"/>
      <c r="AB349" s="97"/>
      <c r="AC349" s="97"/>
      <c r="AD349" s="97"/>
      <c r="AE349" s="97"/>
      <c r="AF349" s="97"/>
      <c r="AG349" s="97"/>
      <c r="AH349" s="97"/>
      <c r="AI349" s="97"/>
      <c r="AJ349" s="97"/>
      <c r="AK349" s="97"/>
      <c r="AL349" s="97"/>
    </row>
    <row r="350" spans="1:38" ht="14.1" customHeight="1">
      <c r="A350" s="153">
        <v>10</v>
      </c>
      <c r="B350" s="203"/>
      <c r="C350" s="528" t="s">
        <v>230</v>
      </c>
      <c r="D350" s="528" t="s">
        <v>230</v>
      </c>
      <c r="E350" s="528" t="s">
        <v>567</v>
      </c>
      <c r="G350" s="528" t="s">
        <v>230</v>
      </c>
      <c r="H350" s="528" t="s">
        <v>230</v>
      </c>
      <c r="I350" s="528" t="s">
        <v>567</v>
      </c>
      <c r="J350" s="97"/>
      <c r="K350" s="528" t="s">
        <v>230</v>
      </c>
      <c r="L350" s="528" t="s">
        <v>230</v>
      </c>
      <c r="M350" s="529" t="s">
        <v>567</v>
      </c>
      <c r="O350" s="165"/>
      <c r="P350" s="224" t="str">
        <f>IF(AK115="","",AK115)</f>
        <v/>
      </c>
      <c r="Q350" s="224" t="str">
        <f>IF(AL115="","",AL115)</f>
        <v/>
      </c>
      <c r="R350" s="224">
        <f>IF(AH115="","",AH115)</f>
        <v>34</v>
      </c>
      <c r="S350" s="224">
        <f>IF(AI115="","",AI115)</f>
        <v>50</v>
      </c>
      <c r="T350" s="448" t="str">
        <f>IF(AQ115="","",AQ115)</f>
        <v/>
      </c>
      <c r="U350" s="225" t="str">
        <f>IF(AN115="","",AN115)</f>
        <v/>
      </c>
      <c r="V350" s="448" t="str">
        <f>IF(AO115="","",AO115)</f>
        <v/>
      </c>
      <c r="W350" s="475" t="str">
        <f>IF(V350="","",V350/S350)</f>
        <v/>
      </c>
      <c r="X350" s="448" t="str">
        <f>IF(OR(V350="",U350=""),"",V350/(U350/1000))</f>
        <v/>
      </c>
      <c r="Y350" s="167"/>
      <c r="AA350" s="97"/>
      <c r="AB350" s="97"/>
      <c r="AC350" s="97"/>
      <c r="AD350" s="97"/>
      <c r="AE350" s="97"/>
      <c r="AF350" s="97"/>
      <c r="AG350" s="97"/>
      <c r="AH350" s="97"/>
      <c r="AI350" s="97"/>
      <c r="AJ350" s="97"/>
      <c r="AK350" s="97"/>
      <c r="AL350" s="97"/>
    </row>
    <row r="351" spans="1:38" ht="14.1" customHeight="1">
      <c r="A351" s="153">
        <v>11</v>
      </c>
      <c r="B351" s="203"/>
      <c r="C351" s="224">
        <f t="shared" ref="C351:C357" si="64">IF(R326="","",R326)</f>
        <v>24</v>
      </c>
      <c r="D351" s="448" t="str">
        <f t="shared" ref="D351:D357" si="65">IF(T326="","",T326)</f>
        <v/>
      </c>
      <c r="E351" s="530" t="str">
        <f t="shared" ref="E351:E357" si="66">IF(OR(C351="",D351=""),"",IF(AND(C351&gt;0,D351&gt;0),(D351-C351)/C351,""))</f>
        <v/>
      </c>
      <c r="G351" s="224">
        <f t="shared" ref="G351:G356" si="67">IF(R337="","",R337)</f>
        <v>28</v>
      </c>
      <c r="H351" s="448" t="str">
        <f t="shared" ref="H351:H356" si="68">IF(T337="","",T337)</f>
        <v/>
      </c>
      <c r="I351" s="530" t="str">
        <f t="shared" ref="I351:I356" si="69">IF(OR(G351="",H351=""),"",IF(AND(G351&gt;0,H351&gt;0),(H351-G351)/G351,""))</f>
        <v/>
      </c>
      <c r="J351" s="97"/>
      <c r="K351" s="224">
        <f>IF(R347="","",R347)</f>
        <v>28</v>
      </c>
      <c r="L351" s="448" t="str">
        <f>IF(T347="","",T347)</f>
        <v/>
      </c>
      <c r="M351" s="531" t="str">
        <f>IF(OR(K351="",L351=""),"",IF(AND(K351&gt;0,L351&gt;0),(L351-K351)/K351,""))</f>
        <v/>
      </c>
      <c r="O351" s="165"/>
      <c r="P351" s="224" t="str">
        <f>IF(AK123="","",AK123)</f>
        <v/>
      </c>
      <c r="Q351" s="224" t="str">
        <f>IF(AL123="","",AL123)</f>
        <v/>
      </c>
      <c r="R351" s="224">
        <f>IF(AH123="","",AH123)</f>
        <v>38</v>
      </c>
      <c r="S351" s="224">
        <f>IF(AI123="","",AI123)</f>
        <v>50</v>
      </c>
      <c r="T351" s="448" t="str">
        <f>IF(AQ123="","",AQ123)</f>
        <v/>
      </c>
      <c r="U351" s="225" t="str">
        <f>IF(AN123="","",AN123)</f>
        <v/>
      </c>
      <c r="V351" s="448" t="str">
        <f>IF(AO123="","",AO123)</f>
        <v/>
      </c>
      <c r="W351" s="475" t="str">
        <f>IF(V351="","",V351/S351)</f>
        <v/>
      </c>
      <c r="X351" s="448" t="str">
        <f>IF(OR(V351="",U351=""),"",V351/(U351/1000))</f>
        <v/>
      </c>
      <c r="Y351" s="167"/>
      <c r="AA351" s="97"/>
      <c r="AB351" s="97"/>
      <c r="AC351" s="97"/>
      <c r="AD351" s="97"/>
      <c r="AE351" s="97"/>
      <c r="AF351" s="97"/>
      <c r="AG351" s="97"/>
      <c r="AH351" s="97"/>
      <c r="AI351" s="97"/>
      <c r="AJ351" s="97"/>
      <c r="AK351" s="97"/>
      <c r="AL351" s="97"/>
    </row>
    <row r="352" spans="1:38" ht="14.1" customHeight="1">
      <c r="A352" s="153">
        <v>12</v>
      </c>
      <c r="B352" s="203"/>
      <c r="C352" s="224">
        <f t="shared" si="64"/>
        <v>25</v>
      </c>
      <c r="D352" s="448" t="str">
        <f t="shared" si="65"/>
        <v/>
      </c>
      <c r="E352" s="530" t="str">
        <f t="shared" si="66"/>
        <v/>
      </c>
      <c r="G352" s="224">
        <f t="shared" si="67"/>
        <v>30</v>
      </c>
      <c r="H352" s="448" t="str">
        <f t="shared" si="68"/>
        <v/>
      </c>
      <c r="I352" s="530" t="str">
        <f t="shared" si="69"/>
        <v/>
      </c>
      <c r="J352" s="97"/>
      <c r="K352" s="224">
        <f>IF(R348="","",R348)</f>
        <v>30</v>
      </c>
      <c r="L352" s="448" t="str">
        <f>IF(T348="","",T348)</f>
        <v/>
      </c>
      <c r="M352" s="531" t="str">
        <f>IF(OR(K352="",L352=""),"",IF(AND(K352&gt;0,L352&gt;0),(L352-K352)/K352,""))</f>
        <v/>
      </c>
      <c r="O352" s="165"/>
      <c r="P352" s="277" t="s">
        <v>418</v>
      </c>
      <c r="Q352" s="162" t="s">
        <v>562</v>
      </c>
      <c r="R352" s="532"/>
      <c r="S352" s="532"/>
      <c r="T352" s="533"/>
      <c r="U352" s="534"/>
      <c r="V352" s="533"/>
      <c r="W352" s="535"/>
      <c r="X352" s="533"/>
      <c r="Y352" s="167"/>
      <c r="AA352" s="97"/>
      <c r="AB352" s="97"/>
      <c r="AC352" s="97"/>
      <c r="AD352" s="97"/>
      <c r="AE352" s="97"/>
      <c r="AF352" s="97"/>
      <c r="AG352" s="97"/>
      <c r="AH352" s="97"/>
      <c r="AI352" s="97"/>
      <c r="AJ352" s="97"/>
      <c r="AK352" s="97"/>
      <c r="AL352" s="97"/>
    </row>
    <row r="353" spans="1:38" ht="14.1" customHeight="1">
      <c r="A353" s="153">
        <v>13</v>
      </c>
      <c r="B353" s="203"/>
      <c r="C353" s="224">
        <f t="shared" si="64"/>
        <v>26</v>
      </c>
      <c r="D353" s="448" t="str">
        <f t="shared" si="65"/>
        <v/>
      </c>
      <c r="E353" s="530" t="str">
        <f t="shared" si="66"/>
        <v/>
      </c>
      <c r="G353" s="224">
        <f t="shared" si="67"/>
        <v>32</v>
      </c>
      <c r="H353" s="448" t="str">
        <f t="shared" si="68"/>
        <v/>
      </c>
      <c r="I353" s="530" t="str">
        <f t="shared" si="69"/>
        <v/>
      </c>
      <c r="J353" s="97"/>
      <c r="K353" s="224">
        <f>IF(R349="","",R349)</f>
        <v>32</v>
      </c>
      <c r="L353" s="448" t="str">
        <f>IF(T349="","",T349)</f>
        <v/>
      </c>
      <c r="M353" s="531" t="str">
        <f>IF(OR(K353="",L353=""),"",IF(AND(K353&gt;0,L353&gt;0),(L353-K353)/K353,""))</f>
        <v/>
      </c>
      <c r="O353" s="175"/>
      <c r="P353" s="176"/>
      <c r="Q353" s="176"/>
      <c r="R353" s="176"/>
      <c r="S353" s="176"/>
      <c r="T353" s="176"/>
      <c r="U353" s="176"/>
      <c r="V353" s="176"/>
      <c r="W353" s="176"/>
      <c r="X353" s="176"/>
      <c r="Y353" s="177"/>
      <c r="AA353" s="97"/>
      <c r="AB353" s="97"/>
      <c r="AC353" s="97"/>
      <c r="AD353" s="97"/>
      <c r="AE353" s="97"/>
      <c r="AF353" s="97"/>
      <c r="AG353" s="97"/>
      <c r="AH353" s="97"/>
      <c r="AI353" s="97"/>
      <c r="AJ353" s="97"/>
      <c r="AK353" s="97"/>
      <c r="AL353" s="97"/>
    </row>
    <row r="354" spans="1:38" ht="14.1" customHeight="1">
      <c r="A354" s="153">
        <v>14</v>
      </c>
      <c r="B354" s="203"/>
      <c r="C354" s="224">
        <f t="shared" si="64"/>
        <v>28</v>
      </c>
      <c r="D354" s="448" t="str">
        <f t="shared" si="65"/>
        <v/>
      </c>
      <c r="E354" s="530" t="str">
        <f t="shared" si="66"/>
        <v/>
      </c>
      <c r="G354" s="224">
        <f t="shared" si="67"/>
        <v>34</v>
      </c>
      <c r="H354" s="448" t="str">
        <f t="shared" si="68"/>
        <v/>
      </c>
      <c r="I354" s="530" t="str">
        <f t="shared" si="69"/>
        <v/>
      </c>
      <c r="J354" s="97"/>
      <c r="K354" s="224">
        <f>IF(R350="","",R350)</f>
        <v>34</v>
      </c>
      <c r="L354" s="448" t="str">
        <f>IF(T350="","",T350)</f>
        <v/>
      </c>
      <c r="M354" s="531" t="str">
        <f>IF(OR(K354="",L354=""),"",IF(AND(K354&gt;0,L354&gt;0),(L354-K354)/K354,""))</f>
        <v/>
      </c>
      <c r="O354" s="315" t="s">
        <v>568</v>
      </c>
      <c r="P354" s="158"/>
      <c r="Q354" s="158"/>
      <c r="R354" s="158"/>
      <c r="S354" s="158"/>
      <c r="T354" s="158"/>
      <c r="U354" s="158"/>
      <c r="V354" s="158"/>
      <c r="W354" s="158"/>
      <c r="X354" s="158"/>
      <c r="Y354" s="159"/>
      <c r="AA354" s="97"/>
      <c r="AB354" s="97"/>
      <c r="AC354" s="97"/>
      <c r="AD354" s="97"/>
      <c r="AE354" s="97"/>
      <c r="AF354" s="97"/>
      <c r="AG354" s="97"/>
    </row>
    <row r="355" spans="1:38" ht="14.1" customHeight="1">
      <c r="A355" s="153">
        <v>15</v>
      </c>
      <c r="B355" s="203"/>
      <c r="C355" s="224">
        <f t="shared" si="64"/>
        <v>30</v>
      </c>
      <c r="D355" s="448" t="str">
        <f t="shared" si="65"/>
        <v/>
      </c>
      <c r="E355" s="530" t="str">
        <f t="shared" si="66"/>
        <v/>
      </c>
      <c r="G355" s="224">
        <f t="shared" si="67"/>
        <v>36</v>
      </c>
      <c r="H355" s="448" t="str">
        <f t="shared" si="68"/>
        <v/>
      </c>
      <c r="I355" s="530" t="str">
        <f t="shared" si="69"/>
        <v/>
      </c>
      <c r="J355" s="97"/>
      <c r="K355" s="224">
        <f>IF(R351="","",R351)</f>
        <v>38</v>
      </c>
      <c r="L355" s="448" t="str">
        <f>IF(T351="","",T351)</f>
        <v/>
      </c>
      <c r="M355" s="531" t="str">
        <f>IF(OR(K355="",L355=""),"",IF(AND(K355&gt;0,L355&gt;0),(L355-K355)/K355,""))</f>
        <v/>
      </c>
      <c r="O355" s="165"/>
      <c r="S355" s="170"/>
      <c r="Y355" s="167"/>
      <c r="AA355" s="97"/>
      <c r="AB355" s="97"/>
      <c r="AC355" s="97"/>
      <c r="AD355" s="97"/>
      <c r="AE355" s="97"/>
      <c r="AF355" s="97"/>
      <c r="AG355" s="97"/>
    </row>
    <row r="356" spans="1:38" ht="14.1" customHeight="1">
      <c r="A356" s="153">
        <v>16</v>
      </c>
      <c r="B356" s="203"/>
      <c r="C356" s="224">
        <f t="shared" si="64"/>
        <v>32</v>
      </c>
      <c r="D356" s="448" t="str">
        <f t="shared" si="65"/>
        <v/>
      </c>
      <c r="E356" s="530" t="str">
        <f t="shared" si="66"/>
        <v/>
      </c>
      <c r="G356" s="224">
        <f t="shared" si="67"/>
        <v>38</v>
      </c>
      <c r="H356" s="448" t="str">
        <f t="shared" si="68"/>
        <v/>
      </c>
      <c r="I356" s="530" t="str">
        <f t="shared" si="69"/>
        <v/>
      </c>
      <c r="J356" s="97"/>
      <c r="M356" s="206"/>
      <c r="O356" s="165"/>
      <c r="S356" s="170"/>
      <c r="T356" s="678" t="s">
        <v>556</v>
      </c>
      <c r="U356" s="678"/>
      <c r="V356" s="678"/>
      <c r="W356" s="678"/>
      <c r="X356" s="678"/>
      <c r="Y356" s="167"/>
      <c r="AA356" s="97"/>
      <c r="AB356" s="97"/>
      <c r="AC356" s="97"/>
      <c r="AD356" s="97"/>
      <c r="AE356" s="97"/>
      <c r="AF356" s="97"/>
      <c r="AG356" s="97"/>
    </row>
    <row r="357" spans="1:38" ht="14.1" customHeight="1">
      <c r="A357" s="153">
        <v>17</v>
      </c>
      <c r="B357" s="203"/>
      <c r="C357" s="224">
        <f t="shared" si="64"/>
        <v>34</v>
      </c>
      <c r="D357" s="448" t="str">
        <f t="shared" si="65"/>
        <v/>
      </c>
      <c r="E357" s="530" t="str">
        <f t="shared" si="66"/>
        <v/>
      </c>
      <c r="J357" s="97"/>
      <c r="K357" s="97"/>
      <c r="L357" s="97"/>
      <c r="M357" s="269"/>
      <c r="O357" s="165"/>
      <c r="P357" s="150" t="s">
        <v>254</v>
      </c>
      <c r="Q357" s="150" t="s">
        <v>229</v>
      </c>
      <c r="R357" s="150" t="s">
        <v>494</v>
      </c>
      <c r="S357" s="150" t="s">
        <v>274</v>
      </c>
      <c r="T357" s="150" t="s">
        <v>230</v>
      </c>
      <c r="U357" s="150" t="s">
        <v>231</v>
      </c>
      <c r="V357" s="150" t="s">
        <v>232</v>
      </c>
      <c r="W357" s="150" t="s">
        <v>557</v>
      </c>
      <c r="X357" s="150" t="s">
        <v>70</v>
      </c>
      <c r="Y357" s="167"/>
      <c r="AA357" s="97"/>
      <c r="AB357" s="97"/>
      <c r="AC357" s="97"/>
      <c r="AD357" s="97"/>
      <c r="AE357" s="97"/>
      <c r="AF357" s="97"/>
      <c r="AG357" s="97"/>
    </row>
    <row r="358" spans="1:38" ht="14.1" customHeight="1">
      <c r="A358" s="153">
        <v>18</v>
      </c>
      <c r="B358" s="203"/>
      <c r="D358" s="536" t="s">
        <v>436</v>
      </c>
      <c r="E358" s="537" t="str">
        <f>IF(E353="","",IF(AND(ABS(MAX(E353:E357))&lt;=0.05,ABS(MIN(E353:E357))&lt;=0.05),"YES","NO"))</f>
        <v/>
      </c>
      <c r="F358" s="538"/>
      <c r="H358" s="536" t="s">
        <v>436</v>
      </c>
      <c r="I358" s="537" t="str">
        <f>IF(I351="","",IF(AND(ABS(MAX(I351:I356))&lt;=0.05,ABS(MIN(I351:I356))&lt;=0.05),"YES","NO"))</f>
        <v/>
      </c>
      <c r="J358" s="97"/>
      <c r="L358" s="536" t="s">
        <v>436</v>
      </c>
      <c r="M358" s="539" t="str">
        <f>IF(M351="","",IF(AND(ABS(MAX(M351:M355))&lt;=0.05,ABS(MIN(M351:M355))&lt;=0.05),"YES","NO"))</f>
        <v/>
      </c>
      <c r="O358" s="165"/>
      <c r="P358" s="224" t="str">
        <f>IF($AK$28="","",$AK$28)</f>
        <v/>
      </c>
      <c r="Q358" s="224" t="str">
        <f>IF($AL$28="","",$AL$28)</f>
        <v/>
      </c>
      <c r="R358" s="224">
        <f t="shared" ref="R358:S361" si="70">IF(AH28="","",AH28)</f>
        <v>28</v>
      </c>
      <c r="S358" s="224">
        <f t="shared" si="70"/>
        <v>50</v>
      </c>
      <c r="T358" s="448" t="str">
        <f>IF(AQ28="","",AQ28)</f>
        <v/>
      </c>
      <c r="U358" s="225" t="str">
        <f t="shared" ref="U358:V361" si="71">IF(AN28="","",AN28)</f>
        <v/>
      </c>
      <c r="V358" s="448" t="str">
        <f t="shared" si="71"/>
        <v/>
      </c>
      <c r="W358" s="475" t="str">
        <f>IF(V358="","",V358/S358)</f>
        <v/>
      </c>
      <c r="X358" s="448" t="str">
        <f>IF(OR(V358="",U358=""),"",V358/(U358/1000))</f>
        <v/>
      </c>
      <c r="Y358" s="167"/>
    </row>
    <row r="359" spans="1:38" ht="14.1" customHeight="1">
      <c r="A359" s="153">
        <v>19</v>
      </c>
      <c r="B359" s="203"/>
      <c r="C359" s="97"/>
      <c r="D359" s="97"/>
      <c r="E359" s="97"/>
      <c r="F359" s="97"/>
      <c r="G359" s="97"/>
      <c r="I359" s="152"/>
      <c r="J359" s="152"/>
      <c r="M359" s="206"/>
      <c r="O359" s="165"/>
      <c r="P359" s="224" t="str">
        <f>IF($AK$28="","",$AK$28)</f>
        <v/>
      </c>
      <c r="Q359" s="224" t="str">
        <f>IF($AL$28="","",$AL$28)</f>
        <v/>
      </c>
      <c r="R359" s="224">
        <f t="shared" si="70"/>
        <v>28</v>
      </c>
      <c r="S359" s="224">
        <f t="shared" si="70"/>
        <v>50</v>
      </c>
      <c r="T359" s="448" t="str">
        <f>IF(AQ29="","",AQ29)</f>
        <v/>
      </c>
      <c r="U359" s="225" t="str">
        <f t="shared" si="71"/>
        <v/>
      </c>
      <c r="V359" s="448" t="str">
        <f t="shared" si="71"/>
        <v/>
      </c>
      <c r="W359" s="475" t="str">
        <f>IF(V359="","",V359/S359)</f>
        <v/>
      </c>
      <c r="X359" s="448" t="str">
        <f>IF(OR(V359="",U359=""),"",V359/(U359/1000))</f>
        <v/>
      </c>
      <c r="Y359" s="167"/>
    </row>
    <row r="360" spans="1:38" ht="14.1" customHeight="1">
      <c r="A360" s="153">
        <v>20</v>
      </c>
      <c r="B360" s="203"/>
      <c r="D360" s="277" t="s">
        <v>418</v>
      </c>
      <c r="E360" s="162" t="s">
        <v>569</v>
      </c>
      <c r="M360" s="206"/>
      <c r="O360" s="165"/>
      <c r="P360" s="224" t="str">
        <f>IF($AK$28="","",$AK$28)</f>
        <v/>
      </c>
      <c r="Q360" s="224" t="str">
        <f>IF($AL$28="","",$AL$28)</f>
        <v/>
      </c>
      <c r="R360" s="224">
        <f t="shared" si="70"/>
        <v>28</v>
      </c>
      <c r="S360" s="224">
        <f t="shared" si="70"/>
        <v>50</v>
      </c>
      <c r="T360" s="448" t="str">
        <f>IF(AQ30="","",AQ30)</f>
        <v/>
      </c>
      <c r="U360" s="225" t="str">
        <f t="shared" si="71"/>
        <v/>
      </c>
      <c r="V360" s="448" t="str">
        <f t="shared" si="71"/>
        <v/>
      </c>
      <c r="W360" s="475" t="str">
        <f>IF(V360="","",V360/S360)</f>
        <v/>
      </c>
      <c r="X360" s="448" t="str">
        <f>IF(OR(V360="",U360=""),"",V360/(U360/1000))</f>
        <v/>
      </c>
      <c r="Y360" s="167"/>
    </row>
    <row r="361" spans="1:38" ht="14.1" customHeight="1">
      <c r="A361" s="153">
        <v>21</v>
      </c>
      <c r="B361" s="203"/>
      <c r="D361" s="152"/>
      <c r="E361" s="152"/>
      <c r="I361" s="540"/>
      <c r="J361" s="540"/>
      <c r="M361" s="206"/>
      <c r="O361" s="165"/>
      <c r="P361" s="224" t="str">
        <f>IF($AK$28="","",$AK$28)</f>
        <v/>
      </c>
      <c r="Q361" s="224" t="str">
        <f>IF($AL$28="","",$AL$28)</f>
        <v/>
      </c>
      <c r="R361" s="224">
        <f t="shared" si="70"/>
        <v>28</v>
      </c>
      <c r="S361" s="224">
        <f t="shared" si="70"/>
        <v>50</v>
      </c>
      <c r="T361" s="448" t="str">
        <f>IF(AQ31="","",AQ31)</f>
        <v/>
      </c>
      <c r="U361" s="225" t="str">
        <f t="shared" si="71"/>
        <v/>
      </c>
      <c r="V361" s="448" t="str">
        <f t="shared" si="71"/>
        <v/>
      </c>
      <c r="W361" s="475" t="str">
        <f>IF(V361="","",V361/S361)</f>
        <v/>
      </c>
      <c r="X361" s="448" t="str">
        <f>IF(OR(V361="",U361=""),"",V361/(U361/1000))</f>
        <v/>
      </c>
      <c r="Y361" s="167"/>
    </row>
    <row r="362" spans="1:38" ht="14.1" customHeight="1">
      <c r="A362" s="153">
        <v>22</v>
      </c>
      <c r="B362" s="203"/>
      <c r="C362" s="220" t="s">
        <v>570</v>
      </c>
      <c r="I362" s="220"/>
      <c r="J362" s="220"/>
      <c r="M362" s="206"/>
      <c r="O362" s="165"/>
      <c r="S362" s="170" t="s">
        <v>424</v>
      </c>
      <c r="T362" s="541" t="str">
        <f>IF(OR(T358="",T359="",T360="",T361=""),"",AVERAGE(T358:T361))</f>
        <v/>
      </c>
      <c r="U362" s="542" t="str">
        <f>IF(OR(U358="",U359="",U360="",U361=""),"",AVERAGE(U358:U361))</f>
        <v/>
      </c>
      <c r="V362" s="541" t="str">
        <f>IF(OR(V358="",V359="",V360="",V361=""),"",AVERAGE(V358:V361))</f>
        <v/>
      </c>
      <c r="W362" s="543" t="str">
        <f>IF(OR(W358="",W359="",W360="",W361=""),"",AVERAGE(W358:W361))</f>
        <v/>
      </c>
      <c r="X362" s="541" t="str">
        <f>IF(OR(X358="",X359="",X360="",X361=""),"",AVERAGE(X358:X361))</f>
        <v/>
      </c>
      <c r="Y362" s="167"/>
    </row>
    <row r="363" spans="1:38" ht="14.1" customHeight="1">
      <c r="A363" s="153">
        <v>23</v>
      </c>
      <c r="B363" s="203"/>
      <c r="C363" s="170" t="s">
        <v>254</v>
      </c>
      <c r="D363" s="331" t="str">
        <f>IF(P358="","",P358)</f>
        <v/>
      </c>
      <c r="E363" s="170" t="s">
        <v>256</v>
      </c>
      <c r="F363" s="331" t="str">
        <f>IF(Q358="","",Q358)</f>
        <v/>
      </c>
      <c r="I363" s="544"/>
      <c r="J363" s="544"/>
      <c r="M363" s="206"/>
      <c r="O363" s="317"/>
      <c r="S363" s="170" t="s">
        <v>571</v>
      </c>
      <c r="T363" s="541" t="str">
        <f>IF(OR(T358="",T359="",T360="",T361=""),"",STDEV(T358:T361))</f>
        <v/>
      </c>
      <c r="U363" s="541" t="str">
        <f>IF(OR(U358="",U359="",U360="",U361=""),"",STDEV(U358:U361))</f>
        <v/>
      </c>
      <c r="V363" s="541" t="str">
        <f>IF(OR(V358="",V359="",V360="",V361=""),"",STDEV(V358:V361))</f>
        <v/>
      </c>
      <c r="W363" s="541" t="str">
        <f>IF(OR(W358="",W359="",W360="",W361=""),"",STDEV(W358:W361))</f>
        <v/>
      </c>
      <c r="X363" s="541" t="str">
        <f>IF(OR(X358="",X359="",X360="",X361=""),"",STDEV(X358:X361))</f>
        <v/>
      </c>
      <c r="Y363" s="167"/>
    </row>
    <row r="364" spans="1:38" ht="14.1" customHeight="1">
      <c r="A364" s="153">
        <v>24</v>
      </c>
      <c r="B364" s="203"/>
      <c r="C364" s="170" t="s">
        <v>434</v>
      </c>
      <c r="D364" s="331">
        <f>IF(S358="","",S358)</f>
        <v>50</v>
      </c>
      <c r="I364" s="544"/>
      <c r="M364" s="206"/>
      <c r="O364" s="165"/>
      <c r="S364" s="170" t="s">
        <v>539</v>
      </c>
      <c r="T364" s="545" t="str">
        <f>IF(OR(T362="",T363=""),"",T363/T362)</f>
        <v/>
      </c>
      <c r="U364" s="545" t="str">
        <f>IF(OR(U362="",U363=""),"",U363/U362)</f>
        <v/>
      </c>
      <c r="V364" s="545" t="str">
        <f>IF(OR(V362="",V363=""),"",V363/V362)</f>
        <v/>
      </c>
      <c r="W364" s="545" t="str">
        <f>IF(OR(W362="",W363=""),"",W363/W362)</f>
        <v/>
      </c>
      <c r="X364" s="545" t="str">
        <f>IF(OR(X362="",X363=""),"",X363/X362)</f>
        <v/>
      </c>
      <c r="Y364" s="167"/>
    </row>
    <row r="365" spans="1:38" ht="14.1" customHeight="1">
      <c r="A365" s="153">
        <v>25</v>
      </c>
      <c r="B365" s="203"/>
      <c r="C365" s="361" t="s">
        <v>411</v>
      </c>
      <c r="D365" s="361" t="s">
        <v>412</v>
      </c>
      <c r="E365" s="150"/>
      <c r="F365" s="150"/>
      <c r="G365" s="150"/>
      <c r="M365" s="206"/>
      <c r="O365" s="165"/>
      <c r="S365" s="170" t="s">
        <v>498</v>
      </c>
      <c r="T365" s="546"/>
      <c r="U365" s="546"/>
      <c r="V365" s="547"/>
      <c r="W365" s="548" t="str">
        <f>IF(AB87="","",AB87)</f>
        <v/>
      </c>
      <c r="X365" s="549" t="str">
        <f>IF(AB88="","",AB88)</f>
        <v/>
      </c>
      <c r="Y365" s="167"/>
    </row>
    <row r="366" spans="1:38" ht="14.1" customHeight="1">
      <c r="A366" s="153">
        <v>26</v>
      </c>
      <c r="B366" s="203"/>
      <c r="C366" s="528" t="s">
        <v>230</v>
      </c>
      <c r="D366" s="528" t="s">
        <v>230</v>
      </c>
      <c r="E366" s="528" t="s">
        <v>37</v>
      </c>
      <c r="F366" s="528" t="s">
        <v>557</v>
      </c>
      <c r="G366" s="528" t="s">
        <v>70</v>
      </c>
      <c r="M366" s="206"/>
      <c r="O366" s="165"/>
      <c r="P366" s="277" t="s">
        <v>418</v>
      </c>
      <c r="Q366" s="162" t="s">
        <v>572</v>
      </c>
      <c r="Y366" s="167"/>
    </row>
    <row r="367" spans="1:38" ht="14.1" customHeight="1">
      <c r="A367" s="153">
        <v>27</v>
      </c>
      <c r="B367" s="203"/>
      <c r="C367" s="224">
        <f>IF(R358="","",R358)</f>
        <v>28</v>
      </c>
      <c r="D367" s="448" t="str">
        <f t="shared" ref="D367:D373" si="72">IF(T358="","",T358)</f>
        <v/>
      </c>
      <c r="E367" s="448" t="str">
        <f t="shared" ref="E367:G373" si="73">IF(V358="","",V358)</f>
        <v/>
      </c>
      <c r="F367" s="475" t="str">
        <f t="shared" si="73"/>
        <v/>
      </c>
      <c r="G367" s="448" t="str">
        <f t="shared" si="73"/>
        <v/>
      </c>
      <c r="I367" s="152"/>
      <c r="J367" s="152"/>
      <c r="M367" s="206"/>
      <c r="O367" s="165"/>
      <c r="Q367" s="162" t="s">
        <v>573</v>
      </c>
      <c r="Y367" s="167"/>
    </row>
    <row r="368" spans="1:38" ht="14.1" customHeight="1">
      <c r="A368" s="153">
        <v>28</v>
      </c>
      <c r="B368" s="203"/>
      <c r="D368" s="448" t="str">
        <f t="shared" si="72"/>
        <v/>
      </c>
      <c r="E368" s="448" t="str">
        <f t="shared" si="73"/>
        <v/>
      </c>
      <c r="F368" s="475" t="str">
        <f t="shared" si="73"/>
        <v/>
      </c>
      <c r="G368" s="448" t="str">
        <f t="shared" si="73"/>
        <v/>
      </c>
      <c r="I368" s="152"/>
      <c r="J368" s="152"/>
      <c r="M368" s="206"/>
      <c r="O368" s="175"/>
      <c r="P368" s="176"/>
      <c r="Q368" s="423" t="s">
        <v>574</v>
      </c>
      <c r="R368" s="176"/>
      <c r="S368" s="176"/>
      <c r="T368" s="176"/>
      <c r="U368" s="176"/>
      <c r="V368" s="176"/>
      <c r="W368" s="176"/>
      <c r="X368" s="176"/>
      <c r="Y368" s="177"/>
    </row>
    <row r="369" spans="1:25" ht="14.1" customHeight="1">
      <c r="A369" s="153">
        <v>29</v>
      </c>
      <c r="B369" s="203"/>
      <c r="D369" s="448" t="str">
        <f t="shared" si="72"/>
        <v/>
      </c>
      <c r="E369" s="448" t="str">
        <f t="shared" si="73"/>
        <v/>
      </c>
      <c r="F369" s="475" t="str">
        <f t="shared" si="73"/>
        <v/>
      </c>
      <c r="G369" s="448" t="str">
        <f t="shared" si="73"/>
        <v/>
      </c>
      <c r="I369" s="152"/>
      <c r="J369" s="152"/>
      <c r="M369" s="206"/>
      <c r="O369" s="315" t="s">
        <v>575</v>
      </c>
      <c r="P369" s="158"/>
      <c r="Q369" s="158"/>
      <c r="R369" s="158"/>
      <c r="S369" s="158"/>
      <c r="T369" s="158"/>
      <c r="U369" s="158"/>
      <c r="V369" s="158"/>
      <c r="W369" s="158"/>
      <c r="X369" s="158"/>
      <c r="Y369" s="159"/>
    </row>
    <row r="370" spans="1:25" ht="14.1" customHeight="1">
      <c r="A370" s="153">
        <v>30</v>
      </c>
      <c r="B370" s="203"/>
      <c r="D370" s="448" t="str">
        <f t="shared" si="72"/>
        <v/>
      </c>
      <c r="E370" s="448" t="str">
        <f t="shared" si="73"/>
        <v/>
      </c>
      <c r="F370" s="475" t="str">
        <f t="shared" si="73"/>
        <v/>
      </c>
      <c r="G370" s="448" t="str">
        <f t="shared" si="73"/>
        <v/>
      </c>
      <c r="M370" s="206"/>
      <c r="O370" s="165"/>
      <c r="T370" s="678" t="s">
        <v>556</v>
      </c>
      <c r="U370" s="678"/>
      <c r="V370" s="678"/>
      <c r="W370" s="678"/>
      <c r="X370" s="678"/>
      <c r="Y370" s="167"/>
    </row>
    <row r="371" spans="1:25" ht="14.1" customHeight="1">
      <c r="A371" s="153">
        <v>31</v>
      </c>
      <c r="B371" s="203"/>
      <c r="C371" s="170" t="s">
        <v>424</v>
      </c>
      <c r="D371" s="448" t="str">
        <f t="shared" si="72"/>
        <v/>
      </c>
      <c r="E371" s="448" t="str">
        <f t="shared" si="73"/>
        <v/>
      </c>
      <c r="F371" s="475" t="str">
        <f t="shared" si="73"/>
        <v/>
      </c>
      <c r="G371" s="448" t="str">
        <f t="shared" si="73"/>
        <v/>
      </c>
      <c r="M371" s="206"/>
      <c r="O371" s="165"/>
      <c r="P371" s="150" t="s">
        <v>254</v>
      </c>
      <c r="Q371" s="150" t="s">
        <v>229</v>
      </c>
      <c r="R371" s="150" t="s">
        <v>494</v>
      </c>
      <c r="S371" s="150" t="s">
        <v>274</v>
      </c>
      <c r="T371" s="150" t="s">
        <v>230</v>
      </c>
      <c r="U371" s="150" t="s">
        <v>231</v>
      </c>
      <c r="V371" s="150" t="s">
        <v>232</v>
      </c>
      <c r="W371" s="150" t="s">
        <v>557</v>
      </c>
      <c r="X371" s="150" t="s">
        <v>70</v>
      </c>
      <c r="Y371" s="167"/>
    </row>
    <row r="372" spans="1:25" ht="14.1" customHeight="1">
      <c r="A372" s="153">
        <v>32</v>
      </c>
      <c r="B372" s="203"/>
      <c r="C372" s="170" t="s">
        <v>571</v>
      </c>
      <c r="D372" s="448" t="str">
        <f t="shared" si="72"/>
        <v/>
      </c>
      <c r="E372" s="448" t="str">
        <f t="shared" si="73"/>
        <v/>
      </c>
      <c r="F372" s="475" t="str">
        <f t="shared" si="73"/>
        <v/>
      </c>
      <c r="G372" s="448" t="str">
        <f t="shared" si="73"/>
        <v/>
      </c>
      <c r="M372" s="206"/>
      <c r="O372" s="165"/>
      <c r="P372" s="224" t="str">
        <f>IF(AK27="","",AK27)</f>
        <v/>
      </c>
      <c r="Q372" s="224" t="str">
        <f>IF(AL27="","",AL27)</f>
        <v/>
      </c>
      <c r="R372" s="224">
        <f>IF(AH27="","",AH27)</f>
        <v>28</v>
      </c>
      <c r="S372" s="224">
        <f>IF(AI27="","",AI27)</f>
        <v>20</v>
      </c>
      <c r="T372" s="448" t="str">
        <f>IF(AQ27="","",AQ27)</f>
        <v/>
      </c>
      <c r="U372" s="448" t="str">
        <f>IF(AN27="","",AN27)</f>
        <v/>
      </c>
      <c r="V372" s="448" t="str">
        <f>IF(AO27="","",AO27)</f>
        <v/>
      </c>
      <c r="W372" s="475" t="str">
        <f>IF(V372="","",V372/S372)</f>
        <v/>
      </c>
      <c r="X372" s="448" t="str">
        <f>IF(OR(V372="",U372=""),"",V372/(U372/1000))</f>
        <v/>
      </c>
      <c r="Y372" s="167"/>
    </row>
    <row r="373" spans="1:25" ht="14.1" customHeight="1">
      <c r="A373" s="153">
        <v>33</v>
      </c>
      <c r="B373" s="203"/>
      <c r="C373" s="170" t="s">
        <v>539</v>
      </c>
      <c r="D373" s="406" t="str">
        <f t="shared" si="72"/>
        <v/>
      </c>
      <c r="E373" s="406" t="str">
        <f t="shared" si="73"/>
        <v/>
      </c>
      <c r="F373" s="406" t="str">
        <f t="shared" si="73"/>
        <v/>
      </c>
      <c r="G373" s="406" t="str">
        <f t="shared" si="73"/>
        <v/>
      </c>
      <c r="M373" s="206"/>
      <c r="O373" s="165"/>
      <c r="P373" s="224" t="str">
        <f>IF(AK28="","",AK28)</f>
        <v/>
      </c>
      <c r="Q373" s="224" t="str">
        <f>IF(AL28="","",AL28)</f>
        <v/>
      </c>
      <c r="R373" s="224">
        <f>IF(AH28="","",AH28)</f>
        <v>28</v>
      </c>
      <c r="S373" s="224">
        <f>IF(AI28="","",AI28)</f>
        <v>50</v>
      </c>
      <c r="T373" s="448" t="str">
        <f>T362</f>
        <v/>
      </c>
      <c r="U373" s="448" t="str">
        <f>U362</f>
        <v/>
      </c>
      <c r="V373" s="448" t="str">
        <f>V362</f>
        <v/>
      </c>
      <c r="W373" s="475" t="str">
        <f>W362</f>
        <v/>
      </c>
      <c r="X373" s="448" t="str">
        <f>X362</f>
        <v/>
      </c>
      <c r="Y373" s="167"/>
    </row>
    <row r="374" spans="1:25" ht="14.1" customHeight="1">
      <c r="A374" s="153">
        <v>34</v>
      </c>
      <c r="B374" s="203"/>
      <c r="C374" s="170" t="s">
        <v>436</v>
      </c>
      <c r="D374" s="335" t="str">
        <f>IF(D373="","",IF(ABS(D373)&lt;=0.02,"YES","NO"))</f>
        <v/>
      </c>
      <c r="E374" s="335" t="str">
        <f>IF(E373="","",IF(ABS(E373)&lt;=0.02,"YES","NO"))</f>
        <v/>
      </c>
      <c r="F374" s="335" t="str">
        <f>IF(F373="","",IF(ABS(F373)&lt;=0.02,"YES","NO"))</f>
        <v/>
      </c>
      <c r="G374" s="550" t="str">
        <f>IF(D363="","",IF(D363="Mo",IF(AND(ABS(G373)&lt;=0.02,G371&gt;=7),"YES","NO"),IF(D363="W",IF(AND(ABS(G373)&lt;=0.02,G371&gt;=2),"YES","NO"))))</f>
        <v/>
      </c>
      <c r="M374" s="206"/>
      <c r="O374" s="165"/>
      <c r="P374" s="224" t="str">
        <f>IF(AK38="","",AK38)</f>
        <v/>
      </c>
      <c r="Q374" s="224" t="str">
        <f>IF(AL38="","",AL38)</f>
        <v/>
      </c>
      <c r="R374" s="224">
        <f>IF(AH38="","",AH38)</f>
        <v>28</v>
      </c>
      <c r="S374" s="224">
        <f>IF(AI38="","",AI38)</f>
        <v>100</v>
      </c>
      <c r="T374" s="448" t="str">
        <f>IF(AQ38="","",AQ38)</f>
        <v/>
      </c>
      <c r="U374" s="448" t="str">
        <f>IF(AN38="","",AN38)</f>
        <v/>
      </c>
      <c r="V374" s="448" t="str">
        <f>IF(AO38="","",AO38)</f>
        <v/>
      </c>
      <c r="W374" s="475" t="str">
        <f>IF(V374="","",V374/S374)</f>
        <v/>
      </c>
      <c r="X374" s="448" t="str">
        <f>IF(OR(V374="",U374=""),"",V374/(U374/1000))</f>
        <v/>
      </c>
      <c r="Y374" s="167"/>
    </row>
    <row r="375" spans="1:25" ht="14.1" customHeight="1">
      <c r="A375" s="153">
        <v>35</v>
      </c>
      <c r="B375" s="203"/>
      <c r="D375" s="277" t="s">
        <v>418</v>
      </c>
      <c r="E375" s="162" t="s">
        <v>572</v>
      </c>
      <c r="M375" s="206"/>
      <c r="O375" s="165"/>
      <c r="P375" s="224" t="str">
        <f>IF(AK39="","",AK39)</f>
        <v/>
      </c>
      <c r="Q375" s="224" t="str">
        <f>IF(AL39="","",AL39)</f>
        <v/>
      </c>
      <c r="R375" s="224">
        <f>IF(AH39="","",AH39)</f>
        <v>28</v>
      </c>
      <c r="S375" s="224">
        <f>IF(AI39="","",AI39)</f>
        <v>300</v>
      </c>
      <c r="T375" s="448" t="str">
        <f>IF(AQ39="","",AQ39)</f>
        <v/>
      </c>
      <c r="U375" s="448" t="str">
        <f>IF(AN39="","",AN39)</f>
        <v/>
      </c>
      <c r="V375" s="448" t="str">
        <f>IF(AO39="","",AO39)</f>
        <v/>
      </c>
      <c r="W375" s="475" t="str">
        <f>IF(V375="","",V375/S375)</f>
        <v/>
      </c>
      <c r="X375" s="448" t="str">
        <f>IF(OR(V375="",U375=""),"",V375/(U375/1000))</f>
        <v/>
      </c>
      <c r="Y375" s="167"/>
    </row>
    <row r="376" spans="1:25" ht="14.1" customHeight="1">
      <c r="A376" s="153">
        <v>36</v>
      </c>
      <c r="B376" s="203"/>
      <c r="E376" s="162" t="s">
        <v>573</v>
      </c>
      <c r="M376" s="206"/>
      <c r="O376" s="165"/>
      <c r="P376" s="277" t="s">
        <v>418</v>
      </c>
      <c r="Q376" s="162" t="s">
        <v>576</v>
      </c>
      <c r="V376" s="170" t="s">
        <v>577</v>
      </c>
      <c r="W376" s="545" t="str">
        <f>IF(OR(W372="",W373="",W374="",W375=""),"",(MAX(W372:W375)-MIN(W372:W375))/(MAX(W372:W375)+MIN(W372:W375)))</f>
        <v/>
      </c>
      <c r="Y376" s="167"/>
    </row>
    <row r="377" spans="1:25" ht="14.1" customHeight="1">
      <c r="A377" s="153">
        <v>37</v>
      </c>
      <c r="B377" s="203"/>
      <c r="D377" s="204"/>
      <c r="E377" s="419" t="s">
        <v>574</v>
      </c>
      <c r="M377" s="206"/>
      <c r="O377" s="165"/>
      <c r="Y377" s="167"/>
    </row>
    <row r="378" spans="1:25" ht="14.1" customHeight="1">
      <c r="A378" s="153">
        <v>38</v>
      </c>
      <c r="B378" s="203"/>
      <c r="C378" s="152"/>
      <c r="D378" s="152"/>
      <c r="E378" s="152"/>
      <c r="F378" s="152"/>
      <c r="G378" s="152"/>
      <c r="M378" s="206"/>
      <c r="O378" s="259" t="str">
        <f>IF(U375="","",IF(U375/1000&gt;=3,1,2))</f>
        <v/>
      </c>
      <c r="P378" s="151" t="s">
        <v>578</v>
      </c>
      <c r="Y378" s="167"/>
    </row>
    <row r="379" spans="1:25" ht="14.1" customHeight="1">
      <c r="A379" s="153">
        <v>39</v>
      </c>
      <c r="B379" s="203"/>
      <c r="C379" s="220" t="s">
        <v>575</v>
      </c>
      <c r="M379" s="206"/>
      <c r="O379" s="175"/>
      <c r="P379" s="176"/>
      <c r="Q379" s="176"/>
      <c r="R379" s="176"/>
      <c r="S379" s="176"/>
      <c r="T379" s="176"/>
      <c r="U379" s="176"/>
      <c r="V379" s="176"/>
      <c r="W379" s="176"/>
      <c r="X379" s="176"/>
      <c r="Y379" s="177"/>
    </row>
    <row r="380" spans="1:25" ht="14.1" customHeight="1">
      <c r="A380" s="153">
        <v>40</v>
      </c>
      <c r="B380" s="203"/>
      <c r="C380" s="170" t="s">
        <v>254</v>
      </c>
      <c r="D380" s="331" t="str">
        <f>IF(P372="","",P372)</f>
        <v/>
      </c>
      <c r="E380" s="170" t="s">
        <v>256</v>
      </c>
      <c r="F380" s="331" t="str">
        <f>IF(Q372="","",Q372)</f>
        <v/>
      </c>
      <c r="M380" s="206"/>
      <c r="O380" s="315" t="s">
        <v>579</v>
      </c>
      <c r="P380" s="158"/>
      <c r="Q380" s="318"/>
      <c r="R380" s="158" t="s">
        <v>580</v>
      </c>
      <c r="S380" s="158"/>
      <c r="T380" s="158"/>
      <c r="U380" s="158"/>
      <c r="V380" s="158"/>
      <c r="W380" s="158"/>
      <c r="X380" s="158"/>
      <c r="Y380" s="159"/>
    </row>
    <row r="381" spans="1:25" ht="14.1" customHeight="1">
      <c r="A381" s="153">
        <v>41</v>
      </c>
      <c r="B381" s="203"/>
      <c r="D381" s="399"/>
      <c r="M381" s="206"/>
      <c r="O381" s="165"/>
      <c r="P381" s="551" t="s">
        <v>273</v>
      </c>
      <c r="Q381" s="551" t="str">
        <f>$P$326&amp;"/"&amp;$Q$326</f>
        <v>/</v>
      </c>
      <c r="R381" s="551" t="str">
        <f>$P$326&amp;"/"&amp;$Q$326</f>
        <v>/</v>
      </c>
      <c r="S381" s="551" t="str">
        <f>$P$326&amp;"/"&amp;$Q$326</f>
        <v>/</v>
      </c>
      <c r="T381" s="551" t="str">
        <f>$P$326&amp;"/"&amp;$Q$326</f>
        <v>/</v>
      </c>
      <c r="U381" s="551" t="str">
        <f>$P$337&amp;"/"&amp;$Q$337</f>
        <v>/</v>
      </c>
      <c r="V381" s="551" t="str">
        <f>$P$337&amp;"/"&amp;$Q$337</f>
        <v>/</v>
      </c>
      <c r="W381" s="551" t="str">
        <f>$P$337&amp;"/"&amp;$Q$337</f>
        <v>/</v>
      </c>
      <c r="X381" s="551" t="str">
        <f>$P$337&amp;"/"&amp;$Q$337</f>
        <v>/</v>
      </c>
      <c r="Y381" s="167"/>
    </row>
    <row r="382" spans="1:25" ht="14.1" customHeight="1">
      <c r="A382" s="153">
        <v>42</v>
      </c>
      <c r="B382" s="203"/>
      <c r="C382" s="528" t="s">
        <v>581</v>
      </c>
      <c r="D382" s="528" t="s">
        <v>230</v>
      </c>
      <c r="E382" s="528" t="s">
        <v>37</v>
      </c>
      <c r="F382" s="528" t="s">
        <v>557</v>
      </c>
      <c r="G382" s="528" t="s">
        <v>70</v>
      </c>
      <c r="M382" s="206"/>
      <c r="O382" s="165"/>
      <c r="P382" s="552" t="s">
        <v>494</v>
      </c>
      <c r="Q382" s="552">
        <f>HVLProcessing!A1</f>
        <v>24</v>
      </c>
      <c r="R382" s="552">
        <f>HVLProcessing!A9</f>
        <v>25</v>
      </c>
      <c r="S382" s="552">
        <f>HVLProcessing!A17</f>
        <v>28</v>
      </c>
      <c r="T382" s="552">
        <f>HVLProcessing!A25</f>
        <v>32</v>
      </c>
      <c r="U382" s="552">
        <f>HVLProcessing!I1</f>
        <v>28</v>
      </c>
      <c r="V382" s="552">
        <f>HVLProcessing!I9</f>
        <v>30</v>
      </c>
      <c r="W382" s="552">
        <f>HVLProcessing!I17</f>
        <v>32</v>
      </c>
      <c r="X382" s="552">
        <f>HVLProcessing!I25</f>
        <v>34</v>
      </c>
      <c r="Y382" s="167"/>
    </row>
    <row r="383" spans="1:25" ht="14.1" customHeight="1">
      <c r="A383" s="153">
        <v>43</v>
      </c>
      <c r="B383" s="203"/>
      <c r="C383" s="224">
        <f t="shared" ref="C383:D386" si="74">IF(S372="","",S372)</f>
        <v>20</v>
      </c>
      <c r="D383" s="448" t="str">
        <f t="shared" si="74"/>
        <v/>
      </c>
      <c r="E383" s="448" t="str">
        <f t="shared" ref="E383:G386" si="75">IF(V372="","",V372)</f>
        <v/>
      </c>
      <c r="F383" s="475" t="str">
        <f t="shared" si="75"/>
        <v/>
      </c>
      <c r="G383" s="448" t="str">
        <f t="shared" si="75"/>
        <v/>
      </c>
      <c r="M383" s="206"/>
      <c r="O383" s="165"/>
      <c r="P383" s="348" t="s">
        <v>582</v>
      </c>
      <c r="Q383" s="687" t="s">
        <v>583</v>
      </c>
      <c r="R383" s="687"/>
      <c r="S383" s="687"/>
      <c r="T383" s="687"/>
      <c r="U383" s="687"/>
      <c r="V383" s="687"/>
      <c r="W383" s="687"/>
      <c r="X383" s="687"/>
      <c r="Y383" s="167"/>
    </row>
    <row r="384" spans="1:25" ht="14.1" customHeight="1">
      <c r="A384" s="153">
        <v>44</v>
      </c>
      <c r="B384" s="203"/>
      <c r="C384" s="224">
        <f t="shared" si="74"/>
        <v>50</v>
      </c>
      <c r="D384" s="448" t="str">
        <f t="shared" si="74"/>
        <v/>
      </c>
      <c r="E384" s="448" t="str">
        <f t="shared" si="75"/>
        <v/>
      </c>
      <c r="F384" s="475" t="str">
        <f t="shared" si="75"/>
        <v/>
      </c>
      <c r="G384" s="448" t="str">
        <f t="shared" si="75"/>
        <v/>
      </c>
      <c r="M384" s="206"/>
      <c r="O384" s="165"/>
      <c r="P384" s="553">
        <v>0</v>
      </c>
      <c r="Q384" s="554" t="str">
        <f>IF(AO10="","",AO10)</f>
        <v/>
      </c>
      <c r="R384" s="554" t="str">
        <f>IF(AO18="","",AO18)</f>
        <v/>
      </c>
      <c r="S384" s="554" t="str">
        <f>IF(AO29="","",AO29)</f>
        <v/>
      </c>
      <c r="T384" s="554" t="str">
        <f>IF(AO41="","",AO41)</f>
        <v/>
      </c>
      <c r="U384" s="554" t="str">
        <f>IF(AO57="","",AO57)</f>
        <v/>
      </c>
      <c r="V384" s="554" t="str">
        <f>IF(AO65="","",AO65)</f>
        <v/>
      </c>
      <c r="W384" s="554" t="str">
        <f>IF(AO73="","",AO73)</f>
        <v/>
      </c>
      <c r="X384" s="555" t="str">
        <f>IF(AO81="","",AO81)</f>
        <v/>
      </c>
      <c r="Y384" s="167"/>
    </row>
    <row r="385" spans="1:25" ht="14.1" customHeight="1">
      <c r="A385" s="153">
        <v>45</v>
      </c>
      <c r="B385" s="203"/>
      <c r="C385" s="224">
        <f t="shared" si="74"/>
        <v>100</v>
      </c>
      <c r="D385" s="448" t="str">
        <f t="shared" si="74"/>
        <v/>
      </c>
      <c r="E385" s="448" t="str">
        <f t="shared" si="75"/>
        <v/>
      </c>
      <c r="F385" s="475" t="str">
        <f t="shared" si="75"/>
        <v/>
      </c>
      <c r="G385" s="448" t="str">
        <f t="shared" si="75"/>
        <v/>
      </c>
      <c r="M385" s="206"/>
      <c r="O385" s="165"/>
      <c r="P385" s="556">
        <v>0</v>
      </c>
      <c r="Q385" s="557" t="str">
        <f>IF(AO11="","",AO11)</f>
        <v/>
      </c>
      <c r="R385" s="557" t="str">
        <f>IF(AO19="","",AO19)</f>
        <v/>
      </c>
      <c r="S385" s="557" t="str">
        <f>IF(AO30="","",AO30)</f>
        <v/>
      </c>
      <c r="T385" s="557" t="str">
        <f>IF(AO42="","",AO42)</f>
        <v/>
      </c>
      <c r="U385" s="557" t="str">
        <f>IF(AO57="","",AO57)</f>
        <v/>
      </c>
      <c r="V385" s="558" t="str">
        <f>IF(AO66="","",AO66)</f>
        <v/>
      </c>
      <c r="W385" s="558" t="str">
        <f>IF(AO74="","",AO74)</f>
        <v/>
      </c>
      <c r="X385" s="559" t="str">
        <f>IF(AO82="","",AO82)</f>
        <v/>
      </c>
      <c r="Y385" s="167"/>
    </row>
    <row r="386" spans="1:25" ht="14.1" customHeight="1">
      <c r="A386" s="153">
        <v>46</v>
      </c>
      <c r="B386" s="203"/>
      <c r="C386" s="224">
        <f t="shared" si="74"/>
        <v>300</v>
      </c>
      <c r="D386" s="448" t="str">
        <f t="shared" si="74"/>
        <v/>
      </c>
      <c r="E386" s="448" t="str">
        <f t="shared" si="75"/>
        <v/>
      </c>
      <c r="F386" s="475" t="str">
        <f t="shared" si="75"/>
        <v/>
      </c>
      <c r="G386" s="448" t="str">
        <f t="shared" si="75"/>
        <v/>
      </c>
      <c r="M386" s="206"/>
      <c r="O386" s="165"/>
      <c r="P386" s="560" t="s">
        <v>584</v>
      </c>
      <c r="Q386" s="561" t="str">
        <f>HVLProcessing!G3</f>
        <v/>
      </c>
      <c r="R386" s="561" t="str">
        <f>HVLProcessing!G11</f>
        <v/>
      </c>
      <c r="S386" s="561" t="str">
        <f>HVLProcessing!G19</f>
        <v/>
      </c>
      <c r="T386" s="561" t="str">
        <f>HVLProcessing!G27</f>
        <v/>
      </c>
      <c r="U386" s="561" t="str">
        <f>HVLProcessing!O3</f>
        <v/>
      </c>
      <c r="V386" s="561" t="str">
        <f>HVLProcessing!O11</f>
        <v/>
      </c>
      <c r="W386" s="561" t="str">
        <f>HVLProcessing!O19</f>
        <v/>
      </c>
      <c r="X386" s="562" t="str">
        <f>HVLProcessing!O27</f>
        <v/>
      </c>
      <c r="Y386" s="167"/>
    </row>
    <row r="387" spans="1:25" ht="14.1" customHeight="1">
      <c r="A387" s="153">
        <v>47</v>
      </c>
      <c r="B387" s="203"/>
      <c r="E387" s="170" t="s">
        <v>577</v>
      </c>
      <c r="F387" s="563" t="str">
        <f>IF(W376="","",W376)</f>
        <v/>
      </c>
      <c r="M387" s="206"/>
      <c r="O387" s="165"/>
      <c r="P387" s="564" t="s">
        <v>585</v>
      </c>
      <c r="Q387" s="565" t="str">
        <f t="shared" ref="Q387:X387" si="76">IF(OR(Q384="",Q385=""),"",ABS(Q385-Q384)/Q384)</f>
        <v/>
      </c>
      <c r="R387" s="565" t="str">
        <f t="shared" si="76"/>
        <v/>
      </c>
      <c r="S387" s="565" t="str">
        <f t="shared" si="76"/>
        <v/>
      </c>
      <c r="T387" s="565" t="str">
        <f t="shared" si="76"/>
        <v/>
      </c>
      <c r="U387" s="565" t="str">
        <f t="shared" si="76"/>
        <v/>
      </c>
      <c r="V387" s="565" t="str">
        <f t="shared" si="76"/>
        <v/>
      </c>
      <c r="W387" s="565" t="str">
        <f t="shared" si="76"/>
        <v/>
      </c>
      <c r="X387" s="566" t="str">
        <f t="shared" si="76"/>
        <v/>
      </c>
      <c r="Y387" s="167"/>
    </row>
    <row r="388" spans="1:25" ht="14.1" customHeight="1">
      <c r="A388" s="153">
        <v>48</v>
      </c>
      <c r="B388" s="203"/>
      <c r="D388" s="277" t="s">
        <v>418</v>
      </c>
      <c r="E388" s="162" t="s">
        <v>576</v>
      </c>
      <c r="M388" s="206"/>
      <c r="O388" s="165"/>
      <c r="P388" s="560" t="s">
        <v>586</v>
      </c>
      <c r="Q388" s="567">
        <f t="shared" ref="Q388:X388" si="77">IF($Q$380=1,Q382/100+0.03,Q382/100)</f>
        <v>0.24</v>
      </c>
      <c r="R388" s="567">
        <f t="shared" si="77"/>
        <v>0.25</v>
      </c>
      <c r="S388" s="567">
        <f t="shared" si="77"/>
        <v>0.28000000000000003</v>
      </c>
      <c r="T388" s="567">
        <f t="shared" si="77"/>
        <v>0.32</v>
      </c>
      <c r="U388" s="567">
        <f t="shared" si="77"/>
        <v>0.28000000000000003</v>
      </c>
      <c r="V388" s="567">
        <f t="shared" si="77"/>
        <v>0.3</v>
      </c>
      <c r="W388" s="567">
        <f t="shared" si="77"/>
        <v>0.32</v>
      </c>
      <c r="X388" s="568">
        <f t="shared" si="77"/>
        <v>0.34</v>
      </c>
      <c r="Y388" s="167"/>
    </row>
    <row r="389" spans="1:25" ht="14.1" customHeight="1">
      <c r="A389" s="153">
        <v>49</v>
      </c>
      <c r="B389" s="203"/>
      <c r="M389" s="206"/>
      <c r="O389" s="165"/>
      <c r="P389" s="569" t="s">
        <v>587</v>
      </c>
      <c r="Q389" s="570">
        <f>Q382/100+0.12</f>
        <v>0.36</v>
      </c>
      <c r="R389" s="570">
        <f>R382/100+0.12</f>
        <v>0.37</v>
      </c>
      <c r="S389" s="570">
        <f>S382/100+0.12</f>
        <v>0.4</v>
      </c>
      <c r="T389" s="570">
        <f>T382/100+0.12</f>
        <v>0.44</v>
      </c>
      <c r="U389" s="570">
        <f>U382/100+0.19</f>
        <v>0.47000000000000003</v>
      </c>
      <c r="V389" s="570">
        <f>V382/100+0.19</f>
        <v>0.49</v>
      </c>
      <c r="W389" s="570">
        <f>W382/100+0.19</f>
        <v>0.51</v>
      </c>
      <c r="X389" s="571">
        <f>X382/100+0.19</f>
        <v>0.53</v>
      </c>
      <c r="Y389" s="167"/>
    </row>
    <row r="390" spans="1:25" ht="14.1" customHeight="1">
      <c r="A390" s="153">
        <v>50</v>
      </c>
      <c r="B390" s="203"/>
      <c r="C390" s="220" t="s">
        <v>588</v>
      </c>
      <c r="M390" s="206"/>
      <c r="O390" s="165"/>
      <c r="P390" s="572"/>
      <c r="Q390" s="573" t="str">
        <f>IF(Q386="","",IF($P$326="Mo",IF(AND(Q386&gt;Q388,Q386&lt;Q389),"Pass","Fail"),IF($P$326="W",IF(Q386&gt;Q388,"Pass","Fail"),"")))</f>
        <v/>
      </c>
      <c r="R390" s="573" t="str">
        <f>IF(R386="","",IF($P$326="Mo",IF(AND(R386&gt;R388,R386&lt;R389),"Pass","Fail"),IF($P$326="W",IF(R386&gt;R388,"Pass","Fail"),"")))</f>
        <v/>
      </c>
      <c r="S390" s="573" t="str">
        <f>IF(S386="","",IF($P$326="Mo",IF(AND(S386&gt;S388,S386&lt;S389),"Pass","Fail"),IF($P$326="W",IF(S386&gt;S388,"Pass","Fail"),"")))</f>
        <v/>
      </c>
      <c r="T390" s="573" t="str">
        <f>IF(T386="","",IF($P$326="Mo",IF(AND(T386&gt;T388,T386&lt;T389),"Pass","Fail"),IF($P$326="W",IF(T386&gt;T388,"Pass","Fail"),"")))</f>
        <v/>
      </c>
      <c r="U390" s="573" t="str">
        <f>IF(U386="","",IF($P$337="Mo",IF(AND(U386&gt;U388,U386&lt;U389),"Pass","Fail"),IF($P$337="W",IF(U386&gt;U388,"Pass","Fail"),"")))</f>
        <v/>
      </c>
      <c r="V390" s="573" t="str">
        <f>IF(V386="","",IF($P$337="Mo",IF(AND(V386&gt;V388,V386&lt;V389),"Pass","Fail"),IF($P$337="W",IF(V386&gt;V388,"Pass","Fail"),"")))</f>
        <v/>
      </c>
      <c r="W390" s="573" t="str">
        <f>IF(W386="","",IF($P$337="Mo",IF(AND(W386&gt;W388,W386&lt;W389),"Pass","Fail"),IF($P$337="W",IF(W386&gt;W388,"Pass","Fail"),"")))</f>
        <v/>
      </c>
      <c r="X390" s="573" t="str">
        <f>IF(X386="","",IF($P$337="Mo",IF(AND(X386&gt;X388,X386&lt;X389),"Pass","Fail"),IF($P$337="W",IF(X386&gt;X388,"Pass","Fail"),"")))</f>
        <v/>
      </c>
      <c r="Y390" s="167"/>
    </row>
    <row r="391" spans="1:25" ht="14.1" customHeight="1">
      <c r="A391" s="153">
        <v>51</v>
      </c>
      <c r="B391" s="203"/>
      <c r="C391" s="551" t="s">
        <v>273</v>
      </c>
      <c r="D391" s="551" t="str">
        <f>$P$326&amp;"/"&amp;$Q$326</f>
        <v>/</v>
      </c>
      <c r="E391" s="551" t="str">
        <f>$P$326&amp;"/"&amp;$Q$326</f>
        <v>/</v>
      </c>
      <c r="F391" s="551" t="str">
        <f>$P$326&amp;"/"&amp;$Q$326</f>
        <v>/</v>
      </c>
      <c r="G391" s="551" t="str">
        <f>$P$326&amp;"/"&amp;$Q$326</f>
        <v>/</v>
      </c>
      <c r="H391" s="551" t="str">
        <f>$P$337&amp;"/"&amp;$Q$337</f>
        <v>/</v>
      </c>
      <c r="I391" s="551" t="str">
        <f>$P$337&amp;"/"&amp;$Q$337</f>
        <v>/</v>
      </c>
      <c r="J391" s="551" t="str">
        <f>$P$337&amp;"/"&amp;$Q$337</f>
        <v>/</v>
      </c>
      <c r="K391" s="551" t="str">
        <f>$P$337&amp;"/"&amp;$Q$337</f>
        <v>/</v>
      </c>
      <c r="M391" s="206"/>
      <c r="O391" s="165"/>
      <c r="P391" s="97"/>
      <c r="Q391" s="97"/>
      <c r="R391" s="97"/>
      <c r="S391" s="97"/>
      <c r="T391" s="97"/>
      <c r="U391" s="97"/>
      <c r="V391" s="97"/>
      <c r="W391" s="97"/>
      <c r="X391" s="97"/>
      <c r="Y391" s="167"/>
    </row>
    <row r="392" spans="1:25" ht="14.1" customHeight="1">
      <c r="A392" s="153">
        <v>52</v>
      </c>
      <c r="B392" s="203"/>
      <c r="C392" s="552" t="s">
        <v>494</v>
      </c>
      <c r="D392" s="552">
        <f t="shared" ref="D392:K392" si="78">Q382</f>
        <v>24</v>
      </c>
      <c r="E392" s="552">
        <f t="shared" si="78"/>
        <v>25</v>
      </c>
      <c r="F392" s="552">
        <f t="shared" si="78"/>
        <v>28</v>
      </c>
      <c r="G392" s="552">
        <f t="shared" si="78"/>
        <v>32</v>
      </c>
      <c r="H392" s="552">
        <f t="shared" si="78"/>
        <v>28</v>
      </c>
      <c r="I392" s="552">
        <f t="shared" si="78"/>
        <v>30</v>
      </c>
      <c r="J392" s="552">
        <f t="shared" si="78"/>
        <v>32</v>
      </c>
      <c r="K392" s="552">
        <f t="shared" si="78"/>
        <v>34</v>
      </c>
      <c r="M392" s="206"/>
      <c r="O392" s="165"/>
      <c r="P392" s="277" t="s">
        <v>418</v>
      </c>
      <c r="Q392" s="152" t="s">
        <v>589</v>
      </c>
      <c r="R392" s="152"/>
      <c r="S392" s="152"/>
      <c r="T392" s="152"/>
      <c r="U392" s="152"/>
      <c r="V392" s="97"/>
      <c r="W392" s="97"/>
      <c r="X392" s="97"/>
      <c r="Y392" s="167"/>
    </row>
    <row r="393" spans="1:25" ht="14.1" customHeight="1">
      <c r="A393" s="153">
        <v>53</v>
      </c>
      <c r="B393" s="203"/>
      <c r="C393" s="560" t="s">
        <v>584</v>
      </c>
      <c r="D393" s="574" t="str">
        <f t="shared" ref="D393:K394" si="79">IF(Q386="","",Q386)</f>
        <v/>
      </c>
      <c r="E393" s="574" t="str">
        <f t="shared" si="79"/>
        <v/>
      </c>
      <c r="F393" s="574" t="str">
        <f t="shared" si="79"/>
        <v/>
      </c>
      <c r="G393" s="574" t="str">
        <f t="shared" si="79"/>
        <v/>
      </c>
      <c r="H393" s="574" t="str">
        <f t="shared" si="79"/>
        <v/>
      </c>
      <c r="I393" s="574" t="str">
        <f t="shared" si="79"/>
        <v/>
      </c>
      <c r="J393" s="574" t="str">
        <f t="shared" si="79"/>
        <v/>
      </c>
      <c r="K393" s="210" t="str">
        <f t="shared" si="79"/>
        <v/>
      </c>
      <c r="M393" s="206"/>
      <c r="O393" s="317" t="s">
        <v>590</v>
      </c>
      <c r="P393" s="97"/>
      <c r="Q393" s="97"/>
      <c r="R393" s="97"/>
      <c r="S393" s="97"/>
      <c r="T393" s="97"/>
      <c r="U393" s="97"/>
      <c r="V393" s="97"/>
      <c r="W393" s="97"/>
      <c r="X393" s="97"/>
      <c r="Y393" s="167"/>
    </row>
    <row r="394" spans="1:25" ht="14.1" customHeight="1">
      <c r="A394" s="153">
        <v>54</v>
      </c>
      <c r="B394" s="203"/>
      <c r="C394" s="564" t="s">
        <v>585</v>
      </c>
      <c r="D394" s="394" t="str">
        <f t="shared" si="79"/>
        <v/>
      </c>
      <c r="E394" s="394" t="str">
        <f t="shared" si="79"/>
        <v/>
      </c>
      <c r="F394" s="394" t="str">
        <f t="shared" si="79"/>
        <v/>
      </c>
      <c r="G394" s="394" t="str">
        <f t="shared" si="79"/>
        <v/>
      </c>
      <c r="H394" s="394" t="str">
        <f t="shared" si="79"/>
        <v/>
      </c>
      <c r="I394" s="394" t="str">
        <f t="shared" si="79"/>
        <v/>
      </c>
      <c r="J394" s="394" t="str">
        <f t="shared" si="79"/>
        <v/>
      </c>
      <c r="K394" s="395" t="str">
        <f t="shared" si="79"/>
        <v/>
      </c>
      <c r="M394" s="206"/>
      <c r="O394" s="165"/>
      <c r="P394" s="551" t="s">
        <v>273</v>
      </c>
      <c r="Q394" s="551" t="str">
        <f>$P$347&amp;"/"&amp;$Q$347</f>
        <v>/</v>
      </c>
      <c r="R394" s="551" t="str">
        <f>$P$347&amp;"/"&amp;$Q$347</f>
        <v>/</v>
      </c>
      <c r="S394" s="551" t="str">
        <f>$P$347&amp;"/"&amp;$Q$347</f>
        <v>/</v>
      </c>
      <c r="T394" s="551" t="str">
        <f>$P$347&amp;"/"&amp;$Q$347</f>
        <v>/</v>
      </c>
      <c r="U394" s="551" t="str">
        <f>$P$347&amp;"/"&amp;$Q$347</f>
        <v>/</v>
      </c>
      <c r="V394" s="97"/>
      <c r="W394" s="97"/>
      <c r="X394" s="97"/>
      <c r="Y394" s="167"/>
    </row>
    <row r="395" spans="1:25" ht="14.1" customHeight="1">
      <c r="A395" s="153">
        <v>55</v>
      </c>
      <c r="B395" s="203"/>
      <c r="C395" s="560" t="s">
        <v>586</v>
      </c>
      <c r="D395" s="574">
        <f t="shared" ref="D395:K397" si="80">Q388</f>
        <v>0.24</v>
      </c>
      <c r="E395" s="574">
        <f t="shared" si="80"/>
        <v>0.25</v>
      </c>
      <c r="F395" s="574">
        <f t="shared" si="80"/>
        <v>0.28000000000000003</v>
      </c>
      <c r="G395" s="574">
        <f t="shared" si="80"/>
        <v>0.32</v>
      </c>
      <c r="H395" s="574">
        <f t="shared" si="80"/>
        <v>0.28000000000000003</v>
      </c>
      <c r="I395" s="574">
        <f t="shared" si="80"/>
        <v>0.3</v>
      </c>
      <c r="J395" s="574">
        <f t="shared" si="80"/>
        <v>0.32</v>
      </c>
      <c r="K395" s="210">
        <f t="shared" si="80"/>
        <v>0.34</v>
      </c>
      <c r="M395" s="206"/>
      <c r="O395" s="165"/>
      <c r="P395" s="552" t="s">
        <v>494</v>
      </c>
      <c r="Q395" s="552">
        <f>HVLProcessing!Q1</f>
        <v>28</v>
      </c>
      <c r="R395" s="552">
        <f>HVLProcessing!Q9</f>
        <v>30</v>
      </c>
      <c r="S395" s="552">
        <f>HVLProcessing!Q17</f>
        <v>32</v>
      </c>
      <c r="T395" s="552">
        <f>HVLProcessing!Q25</f>
        <v>34</v>
      </c>
      <c r="U395" s="552">
        <f>HVLProcessing!Q33</f>
        <v>38</v>
      </c>
      <c r="V395" s="152"/>
      <c r="W395" s="152"/>
      <c r="X395" s="152"/>
      <c r="Y395" s="575"/>
    </row>
    <row r="396" spans="1:25" ht="14.1" customHeight="1">
      <c r="A396" s="153">
        <v>56</v>
      </c>
      <c r="B396" s="203"/>
      <c r="C396" s="564" t="s">
        <v>587</v>
      </c>
      <c r="D396" s="454">
        <f t="shared" si="80"/>
        <v>0.36</v>
      </c>
      <c r="E396" s="454">
        <f t="shared" si="80"/>
        <v>0.37</v>
      </c>
      <c r="F396" s="454">
        <f t="shared" si="80"/>
        <v>0.4</v>
      </c>
      <c r="G396" s="454">
        <f t="shared" si="80"/>
        <v>0.44</v>
      </c>
      <c r="H396" s="454">
        <f t="shared" si="80"/>
        <v>0.47000000000000003</v>
      </c>
      <c r="I396" s="454">
        <f t="shared" si="80"/>
        <v>0.49</v>
      </c>
      <c r="J396" s="454">
        <f t="shared" si="80"/>
        <v>0.51</v>
      </c>
      <c r="K396" s="285">
        <f t="shared" si="80"/>
        <v>0.53</v>
      </c>
      <c r="M396" s="206"/>
      <c r="O396" s="165"/>
      <c r="P396" s="348" t="s">
        <v>582</v>
      </c>
      <c r="Q396" s="687" t="s">
        <v>583</v>
      </c>
      <c r="R396" s="687"/>
      <c r="S396" s="687"/>
      <c r="T396" s="687"/>
      <c r="U396" s="687"/>
      <c r="V396" s="97"/>
      <c r="W396" s="97"/>
      <c r="X396" s="97"/>
      <c r="Y396" s="575"/>
    </row>
    <row r="397" spans="1:25" ht="14.1" customHeight="1">
      <c r="A397" s="153">
        <v>57</v>
      </c>
      <c r="B397" s="203"/>
      <c r="C397" s="170" t="s">
        <v>436</v>
      </c>
      <c r="D397" s="413" t="str">
        <f t="shared" si="80"/>
        <v/>
      </c>
      <c r="E397" s="414" t="str">
        <f t="shared" si="80"/>
        <v/>
      </c>
      <c r="F397" s="414" t="str">
        <f t="shared" si="80"/>
        <v/>
      </c>
      <c r="G397" s="414" t="str">
        <f t="shared" si="80"/>
        <v/>
      </c>
      <c r="H397" s="414" t="str">
        <f t="shared" si="80"/>
        <v/>
      </c>
      <c r="I397" s="414" t="str">
        <f t="shared" si="80"/>
        <v/>
      </c>
      <c r="J397" s="414" t="str">
        <f t="shared" si="80"/>
        <v/>
      </c>
      <c r="K397" s="416" t="str">
        <f t="shared" si="80"/>
        <v/>
      </c>
      <c r="M397" s="206"/>
      <c r="O397" s="165"/>
      <c r="P397" s="553">
        <v>0</v>
      </c>
      <c r="Q397" s="554" t="str">
        <f>IF(AO91="","",AO91)</f>
        <v/>
      </c>
      <c r="R397" s="554" t="str">
        <f>IF(AO99="","",AO99)</f>
        <v/>
      </c>
      <c r="S397" s="554" t="str">
        <f>IF(AO107="","",AO107)</f>
        <v/>
      </c>
      <c r="T397" s="554" t="str">
        <f>IF(AO115="","",AO115)</f>
        <v/>
      </c>
      <c r="U397" s="554" t="str">
        <f>IF(AO123="","",AO123)</f>
        <v/>
      </c>
      <c r="V397" s="576"/>
      <c r="W397" s="348"/>
      <c r="X397" s="348"/>
      <c r="Y397" s="167"/>
    </row>
    <row r="398" spans="1:25" ht="14.1" customHeight="1">
      <c r="A398" s="153">
        <v>58</v>
      </c>
      <c r="B398" s="203"/>
      <c r="D398" s="97"/>
      <c r="E398" s="97"/>
      <c r="M398" s="206"/>
      <c r="O398" s="165"/>
      <c r="P398" s="556">
        <v>0</v>
      </c>
      <c r="Q398" s="557" t="str">
        <f>IF(AO92="","",AO92)</f>
        <v/>
      </c>
      <c r="R398" s="557" t="str">
        <f>IF(AO100="","",AO100)</f>
        <v/>
      </c>
      <c r="S398" s="557" t="str">
        <f>IF(AO108="","",AO108)</f>
        <v/>
      </c>
      <c r="T398" s="557" t="str">
        <f>IF(AO116="","",AO116)</f>
        <v/>
      </c>
      <c r="U398" s="557" t="str">
        <f>IF(AO124="","",AO124)</f>
        <v/>
      </c>
      <c r="V398" s="576"/>
      <c r="W398" s="348"/>
      <c r="X398" s="348"/>
      <c r="Y398" s="167"/>
    </row>
    <row r="399" spans="1:25" ht="14.1" customHeight="1">
      <c r="A399" s="153">
        <v>59</v>
      </c>
      <c r="B399" s="203"/>
      <c r="C399" s="551" t="s">
        <v>273</v>
      </c>
      <c r="D399" s="551" t="str">
        <f>$P$347&amp;"/"&amp;$Q$347</f>
        <v>/</v>
      </c>
      <c r="E399" s="551" t="str">
        <f>$P$347&amp;"/"&amp;$Q$347</f>
        <v>/</v>
      </c>
      <c r="F399" s="551" t="str">
        <f>$P$347&amp;"/"&amp;$Q$347</f>
        <v>/</v>
      </c>
      <c r="G399" s="551" t="str">
        <f>$P$347&amp;"/"&amp;$Q$347</f>
        <v>/</v>
      </c>
      <c r="H399" s="551" t="str">
        <f>$P$347&amp;"/"&amp;$Q$347</f>
        <v>/</v>
      </c>
      <c r="M399" s="206"/>
      <c r="O399" s="165"/>
      <c r="P399" s="560" t="s">
        <v>584</v>
      </c>
      <c r="Q399" s="561" t="str">
        <f>HVLProcessing!W3</f>
        <v/>
      </c>
      <c r="R399" s="561" t="str">
        <f>HVLProcessing!W11</f>
        <v/>
      </c>
      <c r="S399" s="561" t="str">
        <f>HVLProcessing!W19</f>
        <v/>
      </c>
      <c r="T399" s="561" t="str">
        <f>HVLProcessing!W27</f>
        <v/>
      </c>
      <c r="U399" s="561" t="str">
        <f>HVLProcessing!W35</f>
        <v/>
      </c>
      <c r="V399" s="577"/>
      <c r="W399" s="578"/>
      <c r="X399" s="578"/>
      <c r="Y399" s="167"/>
    </row>
    <row r="400" spans="1:25" ht="14.1" customHeight="1">
      <c r="A400" s="153">
        <v>60</v>
      </c>
      <c r="B400" s="203"/>
      <c r="C400" s="552" t="s">
        <v>494</v>
      </c>
      <c r="D400" s="552">
        <f>Q395</f>
        <v>28</v>
      </c>
      <c r="E400" s="552">
        <f>R395</f>
        <v>30</v>
      </c>
      <c r="F400" s="552">
        <f>S395</f>
        <v>32</v>
      </c>
      <c r="G400" s="552">
        <f>T395</f>
        <v>34</v>
      </c>
      <c r="H400" s="552">
        <f>U395</f>
        <v>38</v>
      </c>
      <c r="M400" s="206"/>
      <c r="O400" s="165"/>
      <c r="P400" s="564" t="s">
        <v>585</v>
      </c>
      <c r="Q400" s="565" t="str">
        <f>IF(OR(Q397="",Q398=""),"",ABS(Q398-Q397)/Q397)</f>
        <v/>
      </c>
      <c r="R400" s="565" t="str">
        <f>IF(OR(R397="",R398=""),"",ABS(R398-R397)/R397)</f>
        <v/>
      </c>
      <c r="S400" s="565" t="str">
        <f>IF(OR(S397="",S398=""),"",ABS(S398-S397)/S397)</f>
        <v/>
      </c>
      <c r="T400" s="565" t="str">
        <f>IF(OR(T397="",T398=""),"",ABS(T398-T397)/T397)</f>
        <v/>
      </c>
      <c r="U400" s="565" t="str">
        <f>IF(OR(U397="",U398=""),"",ABS(U398-U397)/U397)</f>
        <v/>
      </c>
      <c r="V400" s="579"/>
      <c r="W400" s="580"/>
      <c r="X400" s="580"/>
      <c r="Y400" s="167"/>
    </row>
    <row r="401" spans="1:25" ht="14.1" customHeight="1">
      <c r="A401" s="153">
        <v>61</v>
      </c>
      <c r="B401" s="203"/>
      <c r="C401" s="560" t="s">
        <v>584</v>
      </c>
      <c r="D401" s="574" t="str">
        <f t="shared" ref="D401:H404" si="81">IF(Q399="","",Q399)</f>
        <v/>
      </c>
      <c r="E401" s="574" t="str">
        <f t="shared" si="81"/>
        <v/>
      </c>
      <c r="F401" s="574" t="str">
        <f t="shared" si="81"/>
        <v/>
      </c>
      <c r="G401" s="574" t="str">
        <f t="shared" si="81"/>
        <v/>
      </c>
      <c r="H401" s="574" t="str">
        <f t="shared" si="81"/>
        <v/>
      </c>
      <c r="M401" s="206"/>
      <c r="O401" s="165"/>
      <c r="P401" s="560" t="s">
        <v>586</v>
      </c>
      <c r="Q401" s="567">
        <f>IF($Q$380=1,Q395/100+0.03,Q395/100)</f>
        <v>0.28000000000000003</v>
      </c>
      <c r="R401" s="567">
        <f>IF($Q$380=1,R395/100+0.03,R395/100)</f>
        <v>0.3</v>
      </c>
      <c r="S401" s="567">
        <f>IF($Q$380=1,S395/100+0.03,S395/100)</f>
        <v>0.32</v>
      </c>
      <c r="T401" s="567">
        <f>IF($Q$380=1,T395/100+0.03,T395/100)</f>
        <v>0.34</v>
      </c>
      <c r="U401" s="567">
        <f>IF($Q$380=1,U395/100+0.03,U395/100)</f>
        <v>0.38</v>
      </c>
      <c r="V401" s="581"/>
      <c r="W401" s="582"/>
      <c r="X401" s="582"/>
      <c r="Y401" s="167"/>
    </row>
    <row r="402" spans="1:25" ht="14.1" customHeight="1">
      <c r="A402" s="153">
        <v>62</v>
      </c>
      <c r="B402" s="203"/>
      <c r="C402" s="564" t="s">
        <v>585</v>
      </c>
      <c r="D402" s="394" t="str">
        <f t="shared" si="81"/>
        <v/>
      </c>
      <c r="E402" s="394" t="str">
        <f t="shared" si="81"/>
        <v/>
      </c>
      <c r="F402" s="394" t="str">
        <f t="shared" si="81"/>
        <v/>
      </c>
      <c r="G402" s="394" t="str">
        <f t="shared" si="81"/>
        <v/>
      </c>
      <c r="H402" s="394" t="str">
        <f t="shared" si="81"/>
        <v/>
      </c>
      <c r="M402" s="206"/>
      <c r="O402" s="165"/>
      <c r="P402" s="569" t="s">
        <v>587</v>
      </c>
      <c r="Q402" s="570">
        <f>Q395/100+0.12</f>
        <v>0.4</v>
      </c>
      <c r="R402" s="570">
        <f>R395/100+0.12</f>
        <v>0.42</v>
      </c>
      <c r="S402" s="570">
        <f>S395/100+0.12</f>
        <v>0.44</v>
      </c>
      <c r="T402" s="570">
        <f>T395/100+0.12</f>
        <v>0.46</v>
      </c>
      <c r="U402" s="570">
        <f>U395/100+0.19</f>
        <v>0.57000000000000006</v>
      </c>
      <c r="V402" s="581"/>
      <c r="W402" s="582"/>
      <c r="X402" s="582"/>
      <c r="Y402" s="167"/>
    </row>
    <row r="403" spans="1:25" ht="14.1" customHeight="1">
      <c r="A403" s="153">
        <v>63</v>
      </c>
      <c r="B403" s="203"/>
      <c r="C403" s="560" t="s">
        <v>586</v>
      </c>
      <c r="D403" s="574">
        <f t="shared" si="81"/>
        <v>0.28000000000000003</v>
      </c>
      <c r="E403" s="574">
        <f t="shared" si="81"/>
        <v>0.3</v>
      </c>
      <c r="F403" s="574">
        <f t="shared" si="81"/>
        <v>0.32</v>
      </c>
      <c r="G403" s="574">
        <f t="shared" si="81"/>
        <v>0.34</v>
      </c>
      <c r="H403" s="574">
        <f t="shared" si="81"/>
        <v>0.38</v>
      </c>
      <c r="M403" s="206"/>
      <c r="O403" s="165"/>
      <c r="P403" s="572"/>
      <c r="Q403" s="573" t="str">
        <f>IF(Q399="","",IF($P$326="Mo",IF(AND(Q399&gt;Q401,Q399&lt;Q402),"Pass","Fail"),IF($P$326="W",IF(Q399&gt;Q401,"Pass","Fail"),"")))</f>
        <v/>
      </c>
      <c r="R403" s="573" t="str">
        <f>IF(R399="","",IF($P$326="Mo",IF(AND(R399&gt;R401,R399&lt;R402),"Pass","Fail"),IF($P$326="W",IF(R399&gt;R401,"Pass","Fail"),"")))</f>
        <v/>
      </c>
      <c r="S403" s="573" t="str">
        <f>IF(S399="","",IF($P$326="Mo",IF(AND(S399&gt;S401,S399&lt;S402),"Pass","Fail"),IF($P$326="W",IF(S399&gt;S401,"Pass","Fail"),"")))</f>
        <v/>
      </c>
      <c r="T403" s="573" t="str">
        <f>IF(T399="","",IF($P$326="Mo",IF(AND(T399&gt;T401,T399&lt;T402),"Pass","Fail"),IF($P$326="W",IF(T399&gt;T401,"Pass","Fail"),"")))</f>
        <v/>
      </c>
      <c r="U403" s="573" t="str">
        <f>IF(U399="","",IF($P$337="Mo",IF(AND(U399&gt;U401,U399&lt;U402),"Pass","Fail"),IF($P$337="W",IF(U399&gt;U401,"Pass","Fail"),"")))</f>
        <v/>
      </c>
      <c r="V403" s="579"/>
      <c r="W403" s="580"/>
      <c r="X403" s="580"/>
      <c r="Y403" s="167"/>
    </row>
    <row r="404" spans="1:25" ht="14.1" customHeight="1">
      <c r="A404" s="153">
        <v>64</v>
      </c>
      <c r="B404" s="203"/>
      <c r="C404" s="564" t="s">
        <v>587</v>
      </c>
      <c r="D404" s="454">
        <f t="shared" si="81"/>
        <v>0.4</v>
      </c>
      <c r="E404" s="454">
        <f t="shared" si="81"/>
        <v>0.42</v>
      </c>
      <c r="F404" s="454">
        <f t="shared" si="81"/>
        <v>0.44</v>
      </c>
      <c r="G404" s="454">
        <f t="shared" si="81"/>
        <v>0.46</v>
      </c>
      <c r="H404" s="454">
        <f t="shared" si="81"/>
        <v>0.57000000000000006</v>
      </c>
      <c r="M404" s="206"/>
      <c r="O404" s="165"/>
      <c r="P404" s="277" t="s">
        <v>418</v>
      </c>
      <c r="Q404" s="152" t="s">
        <v>591</v>
      </c>
      <c r="R404" s="152"/>
      <c r="S404" s="152"/>
      <c r="T404" s="152"/>
      <c r="U404" s="152"/>
      <c r="V404" s="152"/>
      <c r="W404" s="152"/>
      <c r="X404" s="152"/>
      <c r="Y404" s="575"/>
    </row>
    <row r="405" spans="1:25" ht="14.1" customHeight="1">
      <c r="A405" s="153">
        <v>65</v>
      </c>
      <c r="B405" s="203"/>
      <c r="C405" s="170" t="s">
        <v>436</v>
      </c>
      <c r="D405" s="413" t="str">
        <f>IF($O$34=2,"NA",IF(Q403="","",Q403))</f>
        <v/>
      </c>
      <c r="E405" s="414" t="str">
        <f>IF($O$34=2,"NA",IF(R403="","",R403))</f>
        <v/>
      </c>
      <c r="F405" s="414" t="str">
        <f>IF($O$34=2,"NA",IF(S403="","",S403))</f>
        <v/>
      </c>
      <c r="G405" s="414" t="str">
        <f>IF($O$34=2,"NA",IF(T403="","",T403))</f>
        <v/>
      </c>
      <c r="H405" s="414" t="str">
        <f>IF($O$34=2,"NA",IF(U403="","",U403))</f>
        <v/>
      </c>
      <c r="M405" s="206"/>
      <c r="O405" s="175"/>
      <c r="P405" s="97"/>
      <c r="Q405" s="97" t="s">
        <v>592</v>
      </c>
      <c r="R405" s="97"/>
      <c r="S405" s="97"/>
      <c r="T405" s="97"/>
      <c r="U405" s="97"/>
      <c r="V405" s="176"/>
      <c r="W405" s="176"/>
      <c r="X405" s="176"/>
      <c r="Y405" s="177"/>
    </row>
    <row r="406" spans="1:25" ht="14.1" customHeight="1">
      <c r="A406" s="153">
        <v>66</v>
      </c>
      <c r="B406" s="228"/>
      <c r="C406" s="229"/>
      <c r="D406" s="463" t="s">
        <v>418</v>
      </c>
      <c r="E406" s="583" t="str">
        <f>IF(V21="W",Q405,Q404)</f>
        <v>Mo/Rh targets – HVL is between the minimum and maximum limits</v>
      </c>
      <c r="F406" s="229"/>
      <c r="G406" s="229"/>
      <c r="H406" s="229"/>
      <c r="I406" s="229"/>
      <c r="J406" s="229"/>
      <c r="K406" s="229"/>
      <c r="L406" s="229"/>
      <c r="M406" s="230"/>
      <c r="O406" s="315" t="s">
        <v>518</v>
      </c>
      <c r="P406" s="158"/>
      <c r="Q406" s="158"/>
      <c r="R406" s="158"/>
      <c r="S406" s="158"/>
      <c r="T406" s="158"/>
      <c r="U406" s="158"/>
      <c r="V406" s="158"/>
      <c r="W406" s="158"/>
      <c r="X406" s="158"/>
      <c r="Y406" s="159"/>
    </row>
    <row r="407" spans="1:25" ht="14.1" customHeight="1">
      <c r="A407" s="153">
        <v>67</v>
      </c>
      <c r="C407" s="271" t="s">
        <v>217</v>
      </c>
      <c r="D407" s="272" t="str">
        <f>IF($P$7="","",$P$7)</f>
        <v/>
      </c>
      <c r="E407" s="162"/>
      <c r="F407" s="162"/>
      <c r="G407" s="162"/>
      <c r="H407" s="162"/>
      <c r="I407" s="162"/>
      <c r="J407" s="162"/>
      <c r="K407" s="162"/>
      <c r="L407" s="271" t="s">
        <v>218</v>
      </c>
      <c r="M407" s="273" t="str">
        <f>IF($X$7="","",$X$7)</f>
        <v>Eugene Mah</v>
      </c>
      <c r="O407" s="584" t="s">
        <v>519</v>
      </c>
      <c r="P407" s="170" t="s">
        <v>120</v>
      </c>
      <c r="Q407" s="585"/>
      <c r="R407" s="170" t="s">
        <v>565</v>
      </c>
      <c r="S407" s="318"/>
      <c r="U407" s="170" t="s">
        <v>593</v>
      </c>
      <c r="V407" s="586"/>
      <c r="Y407" s="167"/>
    </row>
    <row r="408" spans="1:25" ht="14.1" customHeight="1">
      <c r="A408" s="153">
        <v>68</v>
      </c>
      <c r="C408" s="271" t="s">
        <v>324</v>
      </c>
      <c r="D408" s="274" t="str">
        <f>IF($R$14="","",$R$14)</f>
        <v/>
      </c>
      <c r="E408" s="162"/>
      <c r="F408" s="162"/>
      <c r="G408" s="162"/>
      <c r="H408" s="162"/>
      <c r="I408" s="162"/>
      <c r="J408" s="162"/>
      <c r="K408" s="162"/>
      <c r="L408" s="271" t="s">
        <v>241</v>
      </c>
      <c r="M408" s="275" t="str">
        <f>IF($R$13="","",$R$13)</f>
        <v/>
      </c>
      <c r="O408" s="165"/>
      <c r="Y408" s="167"/>
    </row>
    <row r="409" spans="1:25" ht="14.1" customHeight="1">
      <c r="O409" s="165"/>
      <c r="P409" s="170"/>
      <c r="R409" s="151" t="s">
        <v>561</v>
      </c>
      <c r="V409" s="151" t="s">
        <v>561</v>
      </c>
      <c r="Y409" s="167"/>
    </row>
    <row r="410" spans="1:25" ht="14.1" customHeight="1">
      <c r="O410" s="165"/>
      <c r="P410" s="170" t="s">
        <v>391</v>
      </c>
      <c r="Q410" s="252">
        <f>T260</f>
        <v>0</v>
      </c>
      <c r="R410" s="425" t="str">
        <f t="shared" ref="R410:R415" si="82">IF(AB99="","",AB99)</f>
        <v/>
      </c>
      <c r="T410" s="170" t="s">
        <v>404</v>
      </c>
      <c r="U410" s="316"/>
      <c r="V410" s="425" t="str">
        <f>IF(AB105="","",AB105)</f>
        <v/>
      </c>
      <c r="Y410" s="167"/>
    </row>
    <row r="411" spans="1:25" ht="14.1" customHeight="1">
      <c r="O411" s="165"/>
      <c r="P411" s="170" t="s">
        <v>434</v>
      </c>
      <c r="Q411" s="252">
        <f>Q267</f>
        <v>0</v>
      </c>
      <c r="R411" s="425" t="str">
        <f t="shared" si="82"/>
        <v/>
      </c>
      <c r="T411" s="170" t="s">
        <v>405</v>
      </c>
      <c r="U411" s="316"/>
      <c r="V411" s="425" t="str">
        <f>IF(AB106="","",AB106)</f>
        <v/>
      </c>
      <c r="Y411" s="167"/>
    </row>
    <row r="412" spans="1:25" ht="14.1" customHeight="1">
      <c r="O412" s="165"/>
      <c r="P412" s="170" t="s">
        <v>527</v>
      </c>
      <c r="Q412" s="316"/>
      <c r="R412" s="425" t="str">
        <f t="shared" si="82"/>
        <v/>
      </c>
      <c r="T412" s="170" t="s">
        <v>406</v>
      </c>
      <c r="U412" s="316"/>
      <c r="V412" s="425" t="str">
        <f>IF(AB107="","",AB107)</f>
        <v/>
      </c>
      <c r="Y412" s="167"/>
    </row>
    <row r="413" spans="1:25" ht="14.1" customHeight="1">
      <c r="O413" s="165"/>
      <c r="P413" s="170" t="s">
        <v>398</v>
      </c>
      <c r="Q413" s="316"/>
      <c r="R413" s="425" t="str">
        <f t="shared" si="82"/>
        <v/>
      </c>
      <c r="T413" s="170" t="s">
        <v>436</v>
      </c>
      <c r="U413" s="335" t="str">
        <f>IF(OR(U410="",U411="",U412=""),"",IF(AND(U410&gt;=5,U411&gt;=4,U412&gt;=4),"Pass","Fail"))</f>
        <v/>
      </c>
      <c r="Y413" s="167"/>
    </row>
    <row r="414" spans="1:25" ht="14.1" customHeight="1">
      <c r="O414" s="165"/>
      <c r="P414" s="170" t="s">
        <v>400</v>
      </c>
      <c r="Q414" s="316"/>
      <c r="R414" s="425" t="str">
        <f t="shared" si="82"/>
        <v/>
      </c>
      <c r="T414" s="97"/>
      <c r="U414" s="97"/>
      <c r="Y414" s="167"/>
    </row>
    <row r="415" spans="1:25" ht="14.1" customHeight="1">
      <c r="O415" s="165"/>
      <c r="P415" s="170" t="s">
        <v>402</v>
      </c>
      <c r="Q415" s="252" t="str">
        <f>IF(OR(Q413="",Q414=""),"",Q414-Q413)</f>
        <v/>
      </c>
      <c r="R415" s="425" t="str">
        <f t="shared" si="82"/>
        <v/>
      </c>
      <c r="Y415" s="167"/>
    </row>
    <row r="416" spans="1:25" ht="14.1" customHeight="1">
      <c r="O416" s="165"/>
      <c r="Y416" s="167"/>
    </row>
    <row r="417" spans="15:25" ht="14.1" customHeight="1">
      <c r="O417" s="584" t="s">
        <v>594</v>
      </c>
      <c r="Y417" s="167"/>
    </row>
    <row r="418" spans="15:25" ht="14.1" customHeight="1">
      <c r="O418" s="165"/>
      <c r="Q418" s="170" t="s">
        <v>526</v>
      </c>
      <c r="R418" s="586"/>
      <c r="U418" s="170" t="s">
        <v>526</v>
      </c>
      <c r="V418" s="586"/>
      <c r="Y418" s="167"/>
    </row>
    <row r="419" spans="15:25" ht="14.1" customHeight="1">
      <c r="O419" s="165"/>
      <c r="Q419" s="150" t="s">
        <v>455</v>
      </c>
      <c r="R419" s="150" t="s">
        <v>457</v>
      </c>
      <c r="U419" s="150" t="s">
        <v>455</v>
      </c>
      <c r="V419" s="150" t="s">
        <v>457</v>
      </c>
      <c r="Y419" s="167"/>
    </row>
    <row r="420" spans="15:25" ht="14.1" customHeight="1">
      <c r="O420" s="355"/>
      <c r="P420" s="170" t="s">
        <v>404</v>
      </c>
      <c r="Q420" s="316"/>
      <c r="R420" s="316"/>
      <c r="T420" s="170" t="s">
        <v>404</v>
      </c>
      <c r="U420" s="316"/>
      <c r="V420" s="316"/>
      <c r="Y420" s="167"/>
    </row>
    <row r="421" spans="15:25" ht="14.1" customHeight="1">
      <c r="O421" s="355"/>
      <c r="P421" s="170" t="s">
        <v>405</v>
      </c>
      <c r="Q421" s="316"/>
      <c r="R421" s="316"/>
      <c r="T421" s="170" t="s">
        <v>405</v>
      </c>
      <c r="U421" s="316"/>
      <c r="V421" s="316"/>
      <c r="Y421" s="167"/>
    </row>
    <row r="422" spans="15:25" ht="14.1" customHeight="1">
      <c r="O422" s="355"/>
      <c r="P422" s="170" t="s">
        <v>406</v>
      </c>
      <c r="Q422" s="316"/>
      <c r="R422" s="316"/>
      <c r="T422" s="170" t="s">
        <v>406</v>
      </c>
      <c r="U422" s="316"/>
      <c r="V422" s="316"/>
      <c r="Y422" s="167"/>
    </row>
    <row r="423" spans="15:25" ht="14.1" customHeight="1">
      <c r="O423" s="165"/>
      <c r="Y423" s="167"/>
    </row>
    <row r="424" spans="15:25" ht="14.1" customHeight="1">
      <c r="O424" s="584" t="s">
        <v>595</v>
      </c>
      <c r="Y424" s="167"/>
    </row>
    <row r="425" spans="15:25" ht="14.1" customHeight="1">
      <c r="O425" s="375"/>
      <c r="P425" s="587" t="s">
        <v>596</v>
      </c>
      <c r="Q425" s="469" t="s">
        <v>561</v>
      </c>
      <c r="R425" s="587" t="s">
        <v>524</v>
      </c>
      <c r="S425" s="469" t="s">
        <v>561</v>
      </c>
      <c r="T425" s="587" t="s">
        <v>597</v>
      </c>
      <c r="U425" s="469" t="s">
        <v>561</v>
      </c>
      <c r="V425" s="97"/>
      <c r="W425" s="97"/>
      <c r="X425" s="97"/>
      <c r="Y425" s="357"/>
    </row>
    <row r="426" spans="15:25" ht="14.1" customHeight="1">
      <c r="O426" s="355" t="s">
        <v>391</v>
      </c>
      <c r="P426" s="251">
        <f>T260</f>
        <v>0</v>
      </c>
      <c r="Q426" s="588" t="str">
        <f t="shared" ref="Q426:Q431" si="83">IF(AB109="","",AB109)</f>
        <v/>
      </c>
      <c r="R426" s="435"/>
      <c r="S426" s="588" t="str">
        <f t="shared" ref="S426:S431" si="84">IF(AB115="","",AB115)</f>
        <v/>
      </c>
      <c r="T426" s="435"/>
      <c r="U426" s="588" t="str">
        <f t="shared" ref="U426:U431" si="85">IF(AB121="","",AB121)</f>
        <v/>
      </c>
      <c r="V426" s="97"/>
      <c r="W426" s="170"/>
      <c r="X426" s="97"/>
      <c r="Y426" s="357"/>
    </row>
    <row r="427" spans="15:25" ht="14.1" customHeight="1">
      <c r="O427" s="355" t="s">
        <v>434</v>
      </c>
      <c r="P427" s="251">
        <f>Q267</f>
        <v>0</v>
      </c>
      <c r="Q427" s="588" t="str">
        <f t="shared" si="83"/>
        <v/>
      </c>
      <c r="R427" s="435"/>
      <c r="S427" s="588" t="str">
        <f t="shared" si="84"/>
        <v/>
      </c>
      <c r="T427" s="435"/>
      <c r="U427" s="588" t="str">
        <f t="shared" si="85"/>
        <v/>
      </c>
      <c r="V427" s="97"/>
      <c r="W427" s="170"/>
      <c r="X427" s="97"/>
      <c r="Y427" s="357"/>
    </row>
    <row r="428" spans="15:25" ht="14.1" customHeight="1">
      <c r="O428" s="355" t="s">
        <v>435</v>
      </c>
      <c r="P428" s="251">
        <f>R267</f>
        <v>0</v>
      </c>
      <c r="Q428" s="588" t="str">
        <f t="shared" si="83"/>
        <v/>
      </c>
      <c r="R428" s="435"/>
      <c r="S428" s="588" t="str">
        <f t="shared" si="84"/>
        <v/>
      </c>
      <c r="T428" s="435"/>
      <c r="U428" s="588" t="str">
        <f t="shared" si="85"/>
        <v/>
      </c>
      <c r="V428" s="97"/>
      <c r="W428" s="170"/>
      <c r="X428" s="97"/>
      <c r="Y428" s="357"/>
    </row>
    <row r="429" spans="15:25" ht="14.1" customHeight="1">
      <c r="O429" s="355" t="s">
        <v>404</v>
      </c>
      <c r="P429" s="435"/>
      <c r="Q429" s="588" t="str">
        <f t="shared" si="83"/>
        <v/>
      </c>
      <c r="R429" s="435"/>
      <c r="S429" s="588" t="str">
        <f t="shared" si="84"/>
        <v/>
      </c>
      <c r="T429" s="435"/>
      <c r="U429" s="588" t="str">
        <f t="shared" si="85"/>
        <v/>
      </c>
      <c r="V429" s="97"/>
      <c r="W429" s="170"/>
      <c r="X429" s="97"/>
      <c r="Y429" s="357"/>
    </row>
    <row r="430" spans="15:25" ht="14.1" customHeight="1">
      <c r="O430" s="355" t="s">
        <v>405</v>
      </c>
      <c r="P430" s="435"/>
      <c r="Q430" s="588" t="str">
        <f t="shared" si="83"/>
        <v/>
      </c>
      <c r="R430" s="435"/>
      <c r="S430" s="588" t="str">
        <f t="shared" si="84"/>
        <v/>
      </c>
      <c r="T430" s="435"/>
      <c r="U430" s="588" t="str">
        <f t="shared" si="85"/>
        <v/>
      </c>
      <c r="V430" s="97"/>
      <c r="W430" s="170"/>
      <c r="X430" s="97"/>
      <c r="Y430" s="357"/>
    </row>
    <row r="431" spans="15:25" ht="14.1" customHeight="1">
      <c r="O431" s="355" t="s">
        <v>406</v>
      </c>
      <c r="P431" s="439"/>
      <c r="Q431" s="589" t="str">
        <f t="shared" si="83"/>
        <v/>
      </c>
      <c r="R431" s="439"/>
      <c r="S431" s="589" t="str">
        <f t="shared" si="84"/>
        <v/>
      </c>
      <c r="T431" s="439"/>
      <c r="U431" s="589" t="str">
        <f t="shared" si="85"/>
        <v/>
      </c>
      <c r="V431" s="97"/>
      <c r="W431" s="170"/>
      <c r="X431" s="97"/>
      <c r="Y431" s="357"/>
    </row>
    <row r="432" spans="15:25" ht="14.1" customHeight="1">
      <c r="O432" s="375"/>
      <c r="P432" s="97"/>
      <c r="Q432" s="97"/>
      <c r="R432" s="97"/>
      <c r="S432" s="97"/>
      <c r="T432" s="97"/>
      <c r="U432" s="97"/>
      <c r="V432" s="97"/>
      <c r="W432" s="97"/>
      <c r="X432" s="97"/>
      <c r="Y432" s="357"/>
    </row>
    <row r="433" spans="15:25" ht="14.1" customHeight="1">
      <c r="O433" s="375"/>
      <c r="P433" s="277" t="s">
        <v>418</v>
      </c>
      <c r="Q433" s="162" t="s">
        <v>536</v>
      </c>
      <c r="R433" s="97"/>
      <c r="S433" s="97"/>
      <c r="T433" s="97"/>
      <c r="U433" s="97"/>
      <c r="V433" s="97"/>
      <c r="W433" s="97"/>
      <c r="X433" s="97"/>
      <c r="Y433" s="357"/>
    </row>
    <row r="434" spans="15:25" ht="14.1" customHeight="1">
      <c r="O434" s="175"/>
      <c r="P434" s="176"/>
      <c r="Q434" s="423" t="s">
        <v>538</v>
      </c>
      <c r="R434" s="176"/>
      <c r="S434" s="176"/>
      <c r="T434" s="176"/>
      <c r="U434" s="176"/>
      <c r="V434" s="176"/>
      <c r="W434" s="176"/>
      <c r="X434" s="176"/>
      <c r="Y434" s="177"/>
    </row>
    <row r="435" spans="15:25" ht="14.1" customHeight="1">
      <c r="O435" s="317" t="s">
        <v>598</v>
      </c>
      <c r="Y435" s="167"/>
    </row>
    <row r="436" spans="15:25" ht="14.1" customHeight="1">
      <c r="O436" s="165"/>
      <c r="T436" s="151" t="s">
        <v>599</v>
      </c>
      <c r="U436" s="151" t="s">
        <v>600</v>
      </c>
      <c r="Y436" s="167"/>
    </row>
    <row r="437" spans="15:25" ht="14.1" customHeight="1">
      <c r="O437" s="165"/>
      <c r="P437" s="170" t="s">
        <v>391</v>
      </c>
      <c r="Q437" s="356">
        <f>T260</f>
        <v>0</v>
      </c>
      <c r="R437" s="170"/>
      <c r="S437" s="170" t="s">
        <v>601</v>
      </c>
      <c r="T437" s="316"/>
      <c r="U437" s="316"/>
      <c r="Y437" s="167"/>
    </row>
    <row r="438" spans="15:25" ht="14.1" customHeight="1">
      <c r="O438" s="165"/>
      <c r="P438" s="170" t="s">
        <v>434</v>
      </c>
      <c r="Q438" s="356">
        <f>Q267</f>
        <v>0</v>
      </c>
      <c r="R438" s="170"/>
      <c r="S438" s="170" t="s">
        <v>602</v>
      </c>
      <c r="T438" s="316"/>
      <c r="U438" s="316"/>
      <c r="Y438" s="167"/>
    </row>
    <row r="439" spans="15:25" ht="14.1" customHeight="1">
      <c r="O439" s="165"/>
      <c r="P439" s="170" t="s">
        <v>254</v>
      </c>
      <c r="Q439" s="585"/>
      <c r="Y439" s="167"/>
    </row>
    <row r="440" spans="15:25" ht="14.1" customHeight="1">
      <c r="O440" s="165"/>
      <c r="P440" s="170" t="s">
        <v>256</v>
      </c>
      <c r="Q440" s="585"/>
      <c r="T440" s="150" t="s">
        <v>560</v>
      </c>
      <c r="U440" s="150" t="s">
        <v>561</v>
      </c>
      <c r="V440" s="150" t="s">
        <v>511</v>
      </c>
      <c r="W440" s="151" t="s">
        <v>512</v>
      </c>
      <c r="Y440" s="167"/>
    </row>
    <row r="441" spans="15:25" ht="14.1" customHeight="1">
      <c r="O441" s="165"/>
      <c r="S441" s="170" t="s">
        <v>427</v>
      </c>
      <c r="T441" s="521" t="str">
        <f>IF(OR(T438="",U438=""),"",(T438-50)/U438)</f>
        <v/>
      </c>
      <c r="U441" s="590" t="str">
        <f>IF(AB128="","",AB128)</f>
        <v/>
      </c>
      <c r="V441" s="488" t="str">
        <f>IF(OR(T441="",U441=""),"",(T441-U441)/U441)</f>
        <v/>
      </c>
      <c r="W441" s="522" t="str">
        <f>IF(T441&gt;=40,"Pass","Fail")</f>
        <v>Pass</v>
      </c>
      <c r="Y441" s="167"/>
    </row>
    <row r="442" spans="15:25" ht="14.1" customHeight="1">
      <c r="O442" s="165"/>
      <c r="S442" s="170" t="s">
        <v>428</v>
      </c>
      <c r="T442" s="521" t="str">
        <f>IF(OR(T438="",T437=""),"",(T438-T437)/U438)</f>
        <v/>
      </c>
      <c r="U442" s="590" t="str">
        <f>IF(AB129="","",AB129)</f>
        <v/>
      </c>
      <c r="V442" s="488" t="str">
        <f>IF(OR(T442="",U442=""),"",(T442-U442)/U442)</f>
        <v/>
      </c>
      <c r="W442" s="252" t="str">
        <f>IF(U442="","NA",IF(V442&lt;=0.15,"Pass","Fail"))</f>
        <v>NA</v>
      </c>
      <c r="Y442" s="167"/>
    </row>
    <row r="443" spans="15:25" ht="14.1" customHeight="1">
      <c r="O443" s="165"/>
      <c r="P443" s="277" t="s">
        <v>418</v>
      </c>
      <c r="Q443" s="419" t="s">
        <v>563</v>
      </c>
      <c r="R443" s="204"/>
      <c r="S443" s="204"/>
      <c r="T443" s="204"/>
      <c r="U443" s="204"/>
      <c r="V443" s="204"/>
      <c r="W443" s="204"/>
      <c r="X443" s="204"/>
      <c r="Y443" s="167"/>
    </row>
    <row r="444" spans="15:25" ht="14.1" customHeight="1">
      <c r="O444" s="165"/>
      <c r="Q444" s="162" t="s">
        <v>564</v>
      </c>
      <c r="Y444" s="167"/>
    </row>
    <row r="445" spans="15:25" ht="14.1" customHeight="1">
      <c r="O445" s="175"/>
      <c r="P445" s="176"/>
      <c r="Q445" s="176"/>
      <c r="R445" s="176"/>
      <c r="S445" s="176"/>
      <c r="T445" s="176"/>
      <c r="U445" s="176"/>
      <c r="V445" s="176"/>
      <c r="W445" s="176"/>
      <c r="X445" s="176"/>
      <c r="Y445" s="177"/>
    </row>
    <row r="446" spans="15:25" ht="14.1" customHeight="1">
      <c r="O446" s="591"/>
      <c r="P446" s="592"/>
      <c r="Q446" s="592"/>
      <c r="R446" s="592"/>
      <c r="S446" s="593" t="s">
        <v>603</v>
      </c>
      <c r="T446" s="592"/>
      <c r="U446" s="592"/>
      <c r="V446" s="592"/>
      <c r="W446" s="592"/>
      <c r="X446" s="592"/>
      <c r="Y446" s="594"/>
    </row>
    <row r="447" spans="15:25" ht="14.1" customHeight="1">
      <c r="O447" s="471"/>
      <c r="P447" s="271" t="s">
        <v>437</v>
      </c>
      <c r="Q447" s="595"/>
      <c r="R447" s="596"/>
      <c r="S447" s="597" t="str">
        <f>IF(AB131="","",AB131)</f>
        <v/>
      </c>
      <c r="T447" s="376"/>
      <c r="U447" s="376"/>
      <c r="V447" s="152"/>
      <c r="W447" s="162"/>
      <c r="X447" s="376"/>
      <c r="Y447" s="575"/>
    </row>
    <row r="448" spans="15:25" ht="14.1" customHeight="1">
      <c r="O448" s="471"/>
      <c r="P448" s="598" t="s">
        <v>438</v>
      </c>
      <c r="Q448" s="381"/>
      <c r="R448" s="599">
        <f>LEN(Q447)</f>
        <v>0</v>
      </c>
      <c r="S448" s="382"/>
      <c r="T448" s="382"/>
      <c r="U448" s="600" t="s">
        <v>604</v>
      </c>
      <c r="V448" s="382"/>
      <c r="W448" s="382"/>
      <c r="X448" s="382"/>
      <c r="Y448" s="575"/>
    </row>
    <row r="449" spans="15:25" ht="14.1" customHeight="1">
      <c r="O449" s="471"/>
      <c r="P449" s="271" t="s">
        <v>605</v>
      </c>
      <c r="Q449" s="595"/>
      <c r="R449" s="596"/>
      <c r="S449" s="597" t="str">
        <f>IF(AB133="","",AB133)</f>
        <v/>
      </c>
      <c r="T449" s="376"/>
      <c r="U449" s="376"/>
      <c r="V449" s="152"/>
      <c r="W449" s="162"/>
      <c r="X449" s="376"/>
      <c r="Y449" s="575"/>
    </row>
    <row r="450" spans="15:25" ht="14.1" customHeight="1">
      <c r="O450" s="471"/>
      <c r="P450" s="598" t="s">
        <v>438</v>
      </c>
      <c r="Q450" s="381"/>
      <c r="R450" s="599">
        <f>LEN(Q449)</f>
        <v>0</v>
      </c>
      <c r="S450" s="382"/>
      <c r="T450" s="382"/>
      <c r="U450" s="600" t="s">
        <v>606</v>
      </c>
      <c r="V450" s="382"/>
      <c r="W450" s="382"/>
      <c r="X450" s="382"/>
      <c r="Y450" s="575"/>
    </row>
    <row r="451" spans="15:25" ht="14.1" customHeight="1">
      <c r="O451" s="471"/>
      <c r="P451" s="271" t="s">
        <v>605</v>
      </c>
      <c r="Q451" s="595"/>
      <c r="R451" s="596"/>
      <c r="S451" s="597" t="str">
        <f>IF(AB135="","",AB135)</f>
        <v/>
      </c>
      <c r="T451" s="376"/>
      <c r="U451" s="376"/>
      <c r="V451" s="152"/>
      <c r="W451" s="162"/>
      <c r="X451" s="376"/>
      <c r="Y451" s="575"/>
    </row>
    <row r="452" spans="15:25" ht="14.1" customHeight="1">
      <c r="O452" s="471"/>
      <c r="P452" s="598" t="s">
        <v>438</v>
      </c>
      <c r="Q452" s="381"/>
      <c r="R452" s="599">
        <f>LEN(Q451)</f>
        <v>0</v>
      </c>
      <c r="S452" s="382"/>
      <c r="T452" s="382"/>
      <c r="U452" s="600" t="s">
        <v>607</v>
      </c>
      <c r="V452" s="382"/>
      <c r="W452" s="382"/>
      <c r="X452" s="382"/>
      <c r="Y452" s="575"/>
    </row>
    <row r="453" spans="15:25" ht="14.1" customHeight="1">
      <c r="O453" s="471"/>
      <c r="P453" s="271" t="s">
        <v>605</v>
      </c>
      <c r="Q453" s="595"/>
      <c r="R453" s="596"/>
      <c r="S453" s="597" t="str">
        <f>IF(AB137="","",AB137)</f>
        <v/>
      </c>
      <c r="T453" s="376"/>
      <c r="U453" s="376"/>
      <c r="V453" s="152"/>
      <c r="W453" s="162"/>
      <c r="X453" s="376"/>
      <c r="Y453" s="575"/>
    </row>
    <row r="454" spans="15:25" ht="14.1" customHeight="1">
      <c r="O454" s="471"/>
      <c r="P454" s="598" t="s">
        <v>438</v>
      </c>
      <c r="Q454" s="381"/>
      <c r="R454" s="599">
        <f>LEN(Q453)</f>
        <v>0</v>
      </c>
      <c r="S454" s="382"/>
      <c r="T454" s="382"/>
      <c r="U454" s="600" t="s">
        <v>608</v>
      </c>
      <c r="V454" s="382"/>
      <c r="W454" s="382"/>
      <c r="X454" s="382"/>
      <c r="Y454" s="575"/>
    </row>
    <row r="455" spans="15:25" ht="14.1" customHeight="1">
      <c r="O455" s="471"/>
      <c r="P455" s="271" t="s">
        <v>605</v>
      </c>
      <c r="Q455" s="595"/>
      <c r="R455" s="596"/>
      <c r="S455" s="597" t="str">
        <f>IF(AB139="","",AB139)</f>
        <v/>
      </c>
      <c r="T455" s="376"/>
      <c r="U455" s="376"/>
      <c r="V455" s="152"/>
      <c r="W455" s="162"/>
      <c r="X455" s="376"/>
      <c r="Y455" s="575"/>
    </row>
    <row r="456" spans="15:25" ht="14.1" customHeight="1">
      <c r="O456" s="471"/>
      <c r="P456" s="598" t="s">
        <v>438</v>
      </c>
      <c r="Q456" s="381"/>
      <c r="R456" s="599">
        <f>LEN(Q455)</f>
        <v>0</v>
      </c>
      <c r="S456" s="382"/>
      <c r="T456" s="382"/>
      <c r="U456" s="600" t="s">
        <v>609</v>
      </c>
      <c r="V456" s="382"/>
      <c r="W456" s="382"/>
      <c r="X456" s="382"/>
      <c r="Y456" s="575"/>
    </row>
    <row r="457" spans="15:25" ht="14.1" customHeight="1">
      <c r="O457" s="471"/>
      <c r="P457" s="271" t="s">
        <v>605</v>
      </c>
      <c r="Q457" s="595"/>
      <c r="R457" s="596"/>
      <c r="S457" s="597" t="str">
        <f>IF(AB141="","",AB141)</f>
        <v/>
      </c>
      <c r="T457" s="376"/>
      <c r="U457" s="376"/>
      <c r="V457" s="152"/>
      <c r="W457" s="162"/>
      <c r="X457" s="376"/>
      <c r="Y457" s="575"/>
    </row>
    <row r="458" spans="15:25" ht="14.1" customHeight="1">
      <c r="O458" s="471"/>
      <c r="P458" s="598" t="s">
        <v>438</v>
      </c>
      <c r="Q458" s="381"/>
      <c r="R458" s="599">
        <f>LEN(Q457)</f>
        <v>0</v>
      </c>
      <c r="S458" s="382"/>
      <c r="T458" s="382"/>
      <c r="U458" s="382"/>
      <c r="V458" s="382"/>
      <c r="W458" s="382"/>
      <c r="X458" s="382"/>
      <c r="Y458" s="575"/>
    </row>
    <row r="459" spans="15:25" ht="14.1" customHeight="1">
      <c r="O459" s="471"/>
      <c r="P459" s="271" t="s">
        <v>605</v>
      </c>
      <c r="Q459" s="595"/>
      <c r="R459" s="596"/>
      <c r="S459" s="597" t="str">
        <f>IF(AB143="","",AB143)</f>
        <v/>
      </c>
      <c r="T459" s="376"/>
      <c r="U459" s="376"/>
      <c r="V459" s="152"/>
      <c r="W459" s="162"/>
      <c r="X459" s="376"/>
      <c r="Y459" s="575"/>
    </row>
    <row r="460" spans="15:25" ht="14.1" customHeight="1">
      <c r="O460" s="471"/>
      <c r="P460" s="598" t="s">
        <v>438</v>
      </c>
      <c r="Q460" s="381"/>
      <c r="R460" s="599">
        <f>LEN(Q459)</f>
        <v>0</v>
      </c>
      <c r="S460" s="382"/>
      <c r="T460" s="382"/>
      <c r="U460" s="382"/>
      <c r="V460" s="382"/>
      <c r="W460" s="382"/>
      <c r="X460" s="382"/>
      <c r="Y460" s="575"/>
    </row>
    <row r="461" spans="15:25" ht="14.1" customHeight="1">
      <c r="O461" s="471"/>
      <c r="P461" s="271" t="s">
        <v>605</v>
      </c>
      <c r="Q461" s="595"/>
      <c r="R461" s="596"/>
      <c r="S461" s="597" t="str">
        <f>IF(AB145="","",AB145)</f>
        <v/>
      </c>
      <c r="T461" s="376"/>
      <c r="U461" s="376"/>
      <c r="V461" s="152"/>
      <c r="W461" s="162"/>
      <c r="X461" s="376"/>
      <c r="Y461" s="575"/>
    </row>
    <row r="462" spans="15:25" ht="14.1" customHeight="1">
      <c r="O462" s="471"/>
      <c r="P462" s="598" t="s">
        <v>438</v>
      </c>
      <c r="Q462" s="381"/>
      <c r="R462" s="599">
        <f>LEN(Q461)</f>
        <v>0</v>
      </c>
      <c r="S462" s="382"/>
      <c r="T462" s="382"/>
      <c r="U462" s="382"/>
      <c r="V462" s="382"/>
      <c r="W462" s="382"/>
      <c r="X462" s="382"/>
      <c r="Y462" s="575"/>
    </row>
    <row r="463" spans="15:25" ht="14.1" customHeight="1">
      <c r="O463" s="471"/>
      <c r="P463" s="271" t="s">
        <v>605</v>
      </c>
      <c r="Q463" s="595"/>
      <c r="R463" s="596"/>
      <c r="S463" s="597" t="str">
        <f>IF(AB147="","",AB147)</f>
        <v/>
      </c>
      <c r="T463" s="376"/>
      <c r="U463" s="376"/>
      <c r="V463" s="152"/>
      <c r="W463" s="162"/>
      <c r="X463" s="376"/>
      <c r="Y463" s="575"/>
    </row>
    <row r="464" spans="15:25" ht="14.1" customHeight="1">
      <c r="O464" s="471"/>
      <c r="P464" s="598" t="s">
        <v>438</v>
      </c>
      <c r="Q464" s="381"/>
      <c r="R464" s="599">
        <f>LEN(Q463)</f>
        <v>0</v>
      </c>
      <c r="S464" s="382"/>
      <c r="T464" s="382"/>
      <c r="U464" s="382"/>
      <c r="V464" s="382"/>
      <c r="W464" s="382"/>
      <c r="X464" s="382"/>
      <c r="Y464" s="575"/>
    </row>
    <row r="465" spans="15:25" ht="14.1" customHeight="1">
      <c r="O465" s="601"/>
      <c r="P465" s="491"/>
      <c r="Q465" s="491"/>
      <c r="R465" s="491"/>
      <c r="S465" s="491"/>
      <c r="T465" s="491"/>
      <c r="U465" s="491"/>
      <c r="V465" s="491"/>
      <c r="W465" s="491"/>
      <c r="X465" s="491"/>
      <c r="Y465" s="602"/>
    </row>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86">
    <mergeCell ref="T370:X370"/>
    <mergeCell ref="Q383:X383"/>
    <mergeCell ref="Q396:U396"/>
    <mergeCell ref="T335:X335"/>
    <mergeCell ref="I343:J343"/>
    <mergeCell ref="I344:J344"/>
    <mergeCell ref="T345:X345"/>
    <mergeCell ref="T356:X356"/>
    <mergeCell ref="E305:I305"/>
    <mergeCell ref="E316:I316"/>
    <mergeCell ref="T321:U321"/>
    <mergeCell ref="T322:U322"/>
    <mergeCell ref="T324:X324"/>
    <mergeCell ref="X246:Y246"/>
    <mergeCell ref="Z246:AA246"/>
    <mergeCell ref="AB246:AC246"/>
    <mergeCell ref="D259:E259"/>
    <mergeCell ref="G259:H259"/>
    <mergeCell ref="K259:L259"/>
    <mergeCell ref="D180:D181"/>
    <mergeCell ref="E180:G180"/>
    <mergeCell ref="I180:I181"/>
    <mergeCell ref="P187:U187"/>
    <mergeCell ref="P188:P189"/>
    <mergeCell ref="Q188:S188"/>
    <mergeCell ref="U188:U189"/>
    <mergeCell ref="D189:I189"/>
    <mergeCell ref="I173:J173"/>
    <mergeCell ref="I174:J174"/>
    <mergeCell ref="P178:P179"/>
    <mergeCell ref="Q178:S178"/>
    <mergeCell ref="U178:U179"/>
    <mergeCell ref="D179:I179"/>
    <mergeCell ref="P164:U164"/>
    <mergeCell ref="P165:P166"/>
    <mergeCell ref="Q165:S165"/>
    <mergeCell ref="U165:U166"/>
    <mergeCell ref="D172:G172"/>
    <mergeCell ref="I172:J172"/>
    <mergeCell ref="P150:S150"/>
    <mergeCell ref="U150:V150"/>
    <mergeCell ref="U151:V151"/>
    <mergeCell ref="U152:V152"/>
    <mergeCell ref="P156:P157"/>
    <mergeCell ref="Q156:S156"/>
    <mergeCell ref="U156:U157"/>
    <mergeCell ref="L44:M44"/>
    <mergeCell ref="P97:R98"/>
    <mergeCell ref="S97:U98"/>
    <mergeCell ref="V97:X98"/>
    <mergeCell ref="P105:R106"/>
    <mergeCell ref="S105:U106"/>
    <mergeCell ref="V105:X106"/>
    <mergeCell ref="F30:G30"/>
    <mergeCell ref="K30:L30"/>
    <mergeCell ref="D35:F36"/>
    <mergeCell ref="G35:I36"/>
    <mergeCell ref="J35:L36"/>
    <mergeCell ref="K27:L27"/>
    <mergeCell ref="F28:G28"/>
    <mergeCell ref="K28:L28"/>
    <mergeCell ref="F29:G29"/>
    <mergeCell ref="K29:L29"/>
    <mergeCell ref="K23:L23"/>
    <mergeCell ref="F24:G24"/>
    <mergeCell ref="K24:L24"/>
    <mergeCell ref="F25:G25"/>
    <mergeCell ref="F26:G26"/>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6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abSelected="1" zoomScale="75" zoomScaleNormal="75" workbookViewId="0">
      <selection activeCell="A2" sqref="A2"/>
    </sheetView>
  </sheetViews>
  <sheetFormatPr defaultRowHeight="14.25"/>
  <cols>
    <col min="1" max="1025" width="10.5" customWidth="1"/>
  </cols>
  <sheetData>
    <row r="1" spans="1:7">
      <c r="A1" t="s">
        <v>687</v>
      </c>
      <c r="B1" s="694" t="s">
        <v>688</v>
      </c>
    </row>
    <row r="2" spans="1:7">
      <c r="A2" s="52" t="s">
        <v>699</v>
      </c>
      <c r="B2" s="693" t="str">
        <f>Sheet1!F13</f>
        <v/>
      </c>
    </row>
    <row r="3" spans="1:7">
      <c r="A3" t="s">
        <v>689</v>
      </c>
      <c r="B3" s="695" t="str">
        <f>Sheet1!U152</f>
        <v/>
      </c>
    </row>
    <row r="4" spans="1:7">
      <c r="A4" t="s">
        <v>690</v>
      </c>
      <c r="B4" s="694">
        <f>Sheet1!Q205</f>
        <v>0</v>
      </c>
      <c r="C4" s="694">
        <f>Sheet1!R205</f>
        <v>0</v>
      </c>
      <c r="D4" s="694">
        <f>Sheet1!S205</f>
        <v>0</v>
      </c>
    </row>
    <row r="5" spans="1:7">
      <c r="B5" s="694">
        <f>Sheet1!Q206</f>
        <v>0</v>
      </c>
      <c r="C5" s="694">
        <f>Sheet1!R206</f>
        <v>0</v>
      </c>
      <c r="D5" s="694">
        <f>Sheet1!S206</f>
        <v>0</v>
      </c>
    </row>
    <row r="6" spans="1:7">
      <c r="B6" s="694">
        <f>Sheet1!Q209</f>
        <v>0</v>
      </c>
      <c r="C6" s="694">
        <f>Sheet1!R209</f>
        <v>0</v>
      </c>
      <c r="D6" s="694">
        <f>Sheet1!S209</f>
        <v>0</v>
      </c>
    </row>
    <row r="7" spans="1:7">
      <c r="A7" t="s">
        <v>691</v>
      </c>
      <c r="B7" s="694" t="str">
        <f>Sheet1!X266</f>
        <v/>
      </c>
    </row>
    <row r="8" spans="1:7">
      <c r="A8" t="s">
        <v>692</v>
      </c>
      <c r="B8" s="694" t="str">
        <f>Sheet1!X281</f>
        <v/>
      </c>
    </row>
    <row r="9" spans="1:7">
      <c r="A9" t="s">
        <v>693</v>
      </c>
      <c r="B9" s="695" t="str">
        <f>Sheet1!X318</f>
        <v/>
      </c>
    </row>
    <row r="10" spans="1:7">
      <c r="A10" t="s">
        <v>694</v>
      </c>
      <c r="B10" s="697" t="str">
        <f>Sheet1!P326&amp;"/"&amp;Sheet1!Q326</f>
        <v>/</v>
      </c>
      <c r="C10" s="697"/>
      <c r="D10" s="697" t="str">
        <f>Sheet1!P337&amp;"/"&amp;Sheet1!Q337</f>
        <v>/</v>
      </c>
      <c r="E10" s="697"/>
      <c r="F10" s="697" t="str">
        <f>Sheet1!P347&amp;"/"&amp;Sheet1!Q347</f>
        <v>/</v>
      </c>
    </row>
    <row r="11" spans="1:7">
      <c r="B11" s="694">
        <f>Sheet1!R326</f>
        <v>24</v>
      </c>
      <c r="C11" s="694" t="str">
        <f>Sheet1!W326</f>
        <v/>
      </c>
      <c r="D11" s="694">
        <f>Sheet1!R337</f>
        <v>28</v>
      </c>
      <c r="E11" s="694" t="str">
        <f>Sheet1!W337</f>
        <v/>
      </c>
      <c r="F11" s="694">
        <f>Sheet1!R347</f>
        <v>28</v>
      </c>
      <c r="G11" s="696" t="str">
        <f>Sheet1!W347</f>
        <v/>
      </c>
    </row>
    <row r="12" spans="1:7">
      <c r="B12" s="694">
        <f>Sheet1!R327</f>
        <v>25</v>
      </c>
      <c r="C12" s="694" t="str">
        <f>Sheet1!W327</f>
        <v/>
      </c>
      <c r="D12" s="694">
        <f>Sheet1!R338</f>
        <v>30</v>
      </c>
      <c r="E12" s="694" t="str">
        <f>Sheet1!W338</f>
        <v/>
      </c>
      <c r="F12" s="694">
        <f>Sheet1!R348</f>
        <v>30</v>
      </c>
      <c r="G12" s="696" t="str">
        <f>Sheet1!W348</f>
        <v/>
      </c>
    </row>
    <row r="13" spans="1:7">
      <c r="B13" s="694">
        <f>Sheet1!R328</f>
        <v>26</v>
      </c>
      <c r="C13" s="694" t="str">
        <f>Sheet1!W328</f>
        <v/>
      </c>
      <c r="D13" s="694">
        <f>Sheet1!R339</f>
        <v>32</v>
      </c>
      <c r="E13" s="694" t="str">
        <f>Sheet1!W339</f>
        <v/>
      </c>
      <c r="F13" s="694">
        <f>Sheet1!R349</f>
        <v>32</v>
      </c>
      <c r="G13" s="696" t="str">
        <f>Sheet1!W349</f>
        <v/>
      </c>
    </row>
    <row r="14" spans="1:7">
      <c r="B14" s="694">
        <f>Sheet1!R329</f>
        <v>28</v>
      </c>
      <c r="C14" s="694" t="str">
        <f>Sheet1!W329</f>
        <v/>
      </c>
      <c r="D14" s="694">
        <f>Sheet1!R340</f>
        <v>34</v>
      </c>
      <c r="E14" s="694" t="str">
        <f>Sheet1!W340</f>
        <v/>
      </c>
      <c r="F14" s="694">
        <f>Sheet1!R350</f>
        <v>34</v>
      </c>
      <c r="G14" s="696" t="str">
        <f>Sheet1!W350</f>
        <v/>
      </c>
    </row>
    <row r="15" spans="1:7">
      <c r="B15" s="694">
        <f>Sheet1!R330</f>
        <v>30</v>
      </c>
      <c r="C15" s="694" t="str">
        <f>Sheet1!W330</f>
        <v/>
      </c>
      <c r="D15" s="694">
        <f>Sheet1!R341</f>
        <v>36</v>
      </c>
      <c r="E15" s="694" t="str">
        <f>Sheet1!W341</f>
        <v/>
      </c>
      <c r="F15" s="694">
        <f>Sheet1!R351</f>
        <v>38</v>
      </c>
      <c r="G15" s="696" t="str">
        <f>Sheet1!W351</f>
        <v/>
      </c>
    </row>
    <row r="16" spans="1:7">
      <c r="B16" s="694">
        <f>Sheet1!R331</f>
        <v>32</v>
      </c>
      <c r="C16" s="694" t="str">
        <f>Sheet1!W331</f>
        <v/>
      </c>
      <c r="D16" s="694">
        <f>Sheet1!R342</f>
        <v>38</v>
      </c>
      <c r="E16" s="698" t="str">
        <f>Sheet1!W342</f>
        <v/>
      </c>
    </row>
    <row r="17" spans="1:4">
      <c r="B17" s="694">
        <f>Sheet1!R332</f>
        <v>34</v>
      </c>
      <c r="C17" s="694" t="str">
        <f>Sheet1!W332</f>
        <v/>
      </c>
    </row>
    <row r="18" spans="1:4">
      <c r="A18" t="s">
        <v>695</v>
      </c>
      <c r="B18" s="694">
        <f>Sheet1!S372</f>
        <v>20</v>
      </c>
      <c r="C18" s="694" t="str">
        <f>Sheet1!W372</f>
        <v/>
      </c>
    </row>
    <row r="19" spans="1:4">
      <c r="B19" s="694">
        <f>Sheet1!S373</f>
        <v>50</v>
      </c>
      <c r="C19" s="694" t="str">
        <f>Sheet1!W373</f>
        <v/>
      </c>
    </row>
    <row r="20" spans="1:4">
      <c r="B20" s="694">
        <f>Sheet1!S374</f>
        <v>100</v>
      </c>
      <c r="C20" s="694" t="str">
        <f>Sheet1!W374</f>
        <v/>
      </c>
    </row>
    <row r="21" spans="1:4">
      <c r="B21" s="695">
        <f>Sheet1!S375</f>
        <v>300</v>
      </c>
      <c r="C21" s="695" t="str">
        <f>Sheet1!W375</f>
        <v/>
      </c>
    </row>
    <row r="22" spans="1:4">
      <c r="A22" t="s">
        <v>584</v>
      </c>
      <c r="B22" s="694" t="str">
        <f>Sheet1!Q381</f>
        <v>/</v>
      </c>
      <c r="C22" s="694">
        <f>Sheet1!Q382</f>
        <v>24</v>
      </c>
      <c r="D22" s="694" t="str">
        <f>Sheet1!Q386</f>
        <v/>
      </c>
    </row>
    <row r="23" spans="1:4">
      <c r="B23" s="694" t="str">
        <f>Sheet1!R381</f>
        <v>/</v>
      </c>
      <c r="C23" s="694">
        <f>Sheet1!R382</f>
        <v>25</v>
      </c>
      <c r="D23" s="694" t="str">
        <f>Sheet1!R386</f>
        <v/>
      </c>
    </row>
    <row r="24" spans="1:4">
      <c r="B24" s="694" t="str">
        <f>Sheet1!S381</f>
        <v>/</v>
      </c>
      <c r="C24" s="694">
        <f>Sheet1!S382</f>
        <v>28</v>
      </c>
      <c r="D24" s="694" t="str">
        <f>Sheet1!S386</f>
        <v/>
      </c>
    </row>
    <row r="25" spans="1:4">
      <c r="B25" s="694" t="str">
        <f>Sheet1!T381</f>
        <v>/</v>
      </c>
      <c r="C25" s="694">
        <f>Sheet1!T382</f>
        <v>32</v>
      </c>
      <c r="D25" s="694" t="str">
        <f>Sheet1!T386</f>
        <v/>
      </c>
    </row>
    <row r="26" spans="1:4">
      <c r="B26" s="694" t="str">
        <f>Sheet1!U381</f>
        <v>/</v>
      </c>
      <c r="C26" s="694">
        <f>Sheet1!U382</f>
        <v>28</v>
      </c>
      <c r="D26" s="694" t="str">
        <f>Sheet1!U386</f>
        <v/>
      </c>
    </row>
    <row r="27" spans="1:4">
      <c r="B27" s="694" t="str">
        <f>Sheet1!V381</f>
        <v>/</v>
      </c>
      <c r="C27" s="694">
        <f>Sheet1!V382</f>
        <v>30</v>
      </c>
      <c r="D27" s="694" t="str">
        <f>Sheet1!V386</f>
        <v/>
      </c>
    </row>
    <row r="28" spans="1:4">
      <c r="B28" s="694" t="str">
        <f>Sheet1!W381</f>
        <v>/</v>
      </c>
      <c r="C28" s="694">
        <f>Sheet1!W382</f>
        <v>32</v>
      </c>
      <c r="D28" s="694" t="str">
        <f>Sheet1!W386</f>
        <v/>
      </c>
    </row>
    <row r="29" spans="1:4">
      <c r="B29" s="694" t="str">
        <f>Sheet1!X381</f>
        <v>/</v>
      </c>
      <c r="C29" s="694">
        <f>Sheet1!X382</f>
        <v>34</v>
      </c>
      <c r="D29" s="694" t="str">
        <f>Sheet1!X386</f>
        <v/>
      </c>
    </row>
    <row r="30" spans="1:4">
      <c r="B30" s="694" t="str">
        <f>Sheet1!Q394</f>
        <v>/</v>
      </c>
      <c r="C30" s="694">
        <f>Sheet1!Q395</f>
        <v>28</v>
      </c>
      <c r="D30" s="694" t="str">
        <f>Sheet1!Q399</f>
        <v/>
      </c>
    </row>
    <row r="31" spans="1:4">
      <c r="B31" s="694" t="str">
        <f>Sheet1!R394</f>
        <v>/</v>
      </c>
      <c r="C31" s="694">
        <f>Sheet1!R395</f>
        <v>30</v>
      </c>
      <c r="D31" s="694" t="str">
        <f>Sheet1!R399</f>
        <v/>
      </c>
    </row>
    <row r="32" spans="1:4">
      <c r="B32" s="694" t="str">
        <f>Sheet1!S394</f>
        <v>/</v>
      </c>
      <c r="C32" s="694">
        <f>Sheet1!S395</f>
        <v>32</v>
      </c>
      <c r="D32" s="694" t="str">
        <f>Sheet1!S399</f>
        <v/>
      </c>
    </row>
    <row r="33" spans="1:4">
      <c r="B33" s="694" t="str">
        <f>Sheet1!T394</f>
        <v>/</v>
      </c>
      <c r="C33" s="694">
        <f>Sheet1!T395</f>
        <v>34</v>
      </c>
      <c r="D33" s="694" t="str">
        <f>Sheet1!T399</f>
        <v/>
      </c>
    </row>
    <row r="34" spans="1:4">
      <c r="B34" s="694" t="str">
        <f>Sheet1!U394</f>
        <v>/</v>
      </c>
      <c r="C34" s="694">
        <f>Sheet1!U395</f>
        <v>38</v>
      </c>
      <c r="D34" s="694" t="str">
        <f>Sheet1!U399</f>
        <v/>
      </c>
    </row>
    <row r="35" spans="1:4">
      <c r="A35" t="s">
        <v>519</v>
      </c>
      <c r="B35" s="694">
        <f>Sheet1!Q412</f>
        <v>0</v>
      </c>
    </row>
    <row r="36" spans="1:4">
      <c r="B36" s="694">
        <f>Sheet1!Q413</f>
        <v>0</v>
      </c>
    </row>
    <row r="37" spans="1:4">
      <c r="B37" s="694">
        <f>Sheet1!Q414</f>
        <v>0</v>
      </c>
    </row>
    <row r="38" spans="1:4">
      <c r="B38" s="694" t="str">
        <f>Sheet1!Q415</f>
        <v/>
      </c>
    </row>
    <row r="39" spans="1:4">
      <c r="B39" s="694">
        <f>Sheet1!U410</f>
        <v>0</v>
      </c>
    </row>
    <row r="40" spans="1:4">
      <c r="B40" s="694">
        <f>Sheet1!U411</f>
        <v>0</v>
      </c>
    </row>
    <row r="41" spans="1:4">
      <c r="B41" s="695">
        <f>Sheet1!U412</f>
        <v>0</v>
      </c>
    </row>
    <row r="42" spans="1:4">
      <c r="A42" t="s">
        <v>696</v>
      </c>
      <c r="B42" s="694" t="str">
        <f>Sheet1!P425</f>
        <v>2D</v>
      </c>
      <c r="C42" s="694" t="str">
        <f>Sheet1!R425</f>
        <v>Mag</v>
      </c>
      <c r="D42" s="694" t="str">
        <f>Sheet1!T425</f>
        <v>3D</v>
      </c>
    </row>
    <row r="43" spans="1:4">
      <c r="B43" s="694">
        <f>Sheet1!P429</f>
        <v>0</v>
      </c>
      <c r="C43" s="694">
        <f>Sheet1!R429</f>
        <v>0</v>
      </c>
      <c r="D43" s="694">
        <f>Sheet1!T429</f>
        <v>0</v>
      </c>
    </row>
    <row r="44" spans="1:4">
      <c r="B44" s="694">
        <f>Sheet1!P430</f>
        <v>0</v>
      </c>
      <c r="C44" s="694">
        <f>Sheet1!R430</f>
        <v>0</v>
      </c>
      <c r="D44" s="694">
        <f>Sheet1!T430</f>
        <v>0</v>
      </c>
    </row>
    <row r="45" spans="1:4">
      <c r="B45" s="694">
        <f>Sheet1!P431</f>
        <v>0</v>
      </c>
      <c r="C45" s="694">
        <f>Sheet1!R431</f>
        <v>0</v>
      </c>
      <c r="D45" s="694">
        <f>Sheet1!T431</f>
        <v>0</v>
      </c>
    </row>
    <row r="46" spans="1:4">
      <c r="A46" t="s">
        <v>697</v>
      </c>
      <c r="B46" s="694" t="str">
        <f>Sheet1!T441</f>
        <v/>
      </c>
    </row>
    <row r="47" spans="1:4">
      <c r="A47" t="s">
        <v>698</v>
      </c>
      <c r="B47" s="694"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94"/>
  <sheetViews>
    <sheetView topLeftCell="A137" zoomScale="75" zoomScaleNormal="75" workbookViewId="0">
      <selection activeCell="H157" sqref="H157"/>
    </sheetView>
  </sheetViews>
  <sheetFormatPr defaultRowHeight="14.25"/>
  <cols>
    <col min="1" max="1025" width="10.5" style="603" customWidth="1"/>
  </cols>
  <sheetData>
    <row r="1" spans="1:30" ht="14.1" customHeight="1">
      <c r="A1" s="604" t="s">
        <v>610</v>
      </c>
      <c r="K1" s="604" t="s">
        <v>611</v>
      </c>
      <c r="U1" s="603" t="s">
        <v>612</v>
      </c>
    </row>
    <row r="2" spans="1:30" ht="14.1" customHeight="1">
      <c r="A2" s="605"/>
      <c r="B2" s="688" t="s">
        <v>230</v>
      </c>
      <c r="C2" s="688"/>
      <c r="D2" s="688"/>
      <c r="E2" s="688"/>
      <c r="F2" s="688"/>
      <c r="G2" s="688"/>
      <c r="H2" s="688"/>
      <c r="I2" s="688"/>
      <c r="J2" s="688"/>
      <c r="K2" s="605"/>
      <c r="L2" s="688" t="s">
        <v>230</v>
      </c>
      <c r="M2" s="688"/>
      <c r="N2" s="688"/>
      <c r="O2" s="688"/>
      <c r="P2" s="688"/>
      <c r="Q2" s="688"/>
      <c r="R2" s="688"/>
      <c r="S2" s="688"/>
      <c r="T2" s="688"/>
      <c r="U2" s="605"/>
      <c r="V2" s="688" t="s">
        <v>230</v>
      </c>
      <c r="W2" s="688"/>
      <c r="X2" s="688"/>
      <c r="Y2" s="688"/>
      <c r="Z2" s="688"/>
      <c r="AA2" s="688"/>
      <c r="AB2" s="688"/>
      <c r="AC2" s="688"/>
      <c r="AD2" s="688"/>
    </row>
    <row r="3" spans="1:30" ht="14.1" customHeight="1">
      <c r="A3" s="606" t="s">
        <v>584</v>
      </c>
      <c r="B3" s="607">
        <v>23</v>
      </c>
      <c r="C3" s="607">
        <v>24</v>
      </c>
      <c r="D3" s="607">
        <v>25</v>
      </c>
      <c r="E3" s="607">
        <v>26</v>
      </c>
      <c r="F3" s="607">
        <v>27</v>
      </c>
      <c r="G3" s="607">
        <v>28</v>
      </c>
      <c r="H3" s="607">
        <v>29</v>
      </c>
      <c r="I3" s="607">
        <v>30</v>
      </c>
      <c r="J3" s="608">
        <v>31</v>
      </c>
      <c r="K3" s="606" t="s">
        <v>584</v>
      </c>
      <c r="L3" s="607">
        <v>23</v>
      </c>
      <c r="M3" s="607">
        <v>24</v>
      </c>
      <c r="N3" s="607">
        <v>25</v>
      </c>
      <c r="O3" s="607">
        <v>26</v>
      </c>
      <c r="P3" s="607">
        <v>27</v>
      </c>
      <c r="Q3" s="607">
        <v>28</v>
      </c>
      <c r="R3" s="607">
        <v>29</v>
      </c>
      <c r="S3" s="607">
        <v>30</v>
      </c>
      <c r="T3" s="608">
        <v>31</v>
      </c>
      <c r="U3" s="606" t="s">
        <v>584</v>
      </c>
      <c r="V3" s="607">
        <v>23</v>
      </c>
      <c r="W3" s="607">
        <v>24</v>
      </c>
      <c r="X3" s="607">
        <v>25</v>
      </c>
      <c r="Y3" s="607">
        <v>26</v>
      </c>
      <c r="Z3" s="607">
        <v>27</v>
      </c>
      <c r="AA3" s="607">
        <v>28</v>
      </c>
      <c r="AB3" s="607">
        <v>29</v>
      </c>
      <c r="AC3" s="607">
        <v>30</v>
      </c>
      <c r="AD3" s="608">
        <v>31</v>
      </c>
    </row>
    <row r="4" spans="1:30" ht="14.1" customHeight="1">
      <c r="A4" s="606">
        <v>0.23</v>
      </c>
      <c r="B4" s="607">
        <v>116</v>
      </c>
      <c r="C4" s="607"/>
      <c r="D4" s="607"/>
      <c r="E4" s="607"/>
      <c r="F4" s="607"/>
      <c r="G4" s="607"/>
      <c r="H4" s="607"/>
      <c r="I4" s="607"/>
      <c r="J4" s="608"/>
      <c r="K4" s="606">
        <v>0.23</v>
      </c>
      <c r="L4" s="607"/>
      <c r="M4" s="607"/>
      <c r="N4" s="607"/>
      <c r="O4" s="607"/>
      <c r="P4" s="607"/>
      <c r="Q4" s="607"/>
      <c r="R4" s="607"/>
      <c r="S4" s="607"/>
      <c r="T4" s="608"/>
      <c r="U4" s="606">
        <v>0.23</v>
      </c>
      <c r="V4" s="607"/>
      <c r="W4" s="607"/>
      <c r="X4" s="607"/>
      <c r="Y4" s="607"/>
      <c r="Z4" s="607"/>
      <c r="AA4" s="607"/>
      <c r="AB4" s="607"/>
      <c r="AC4" s="607"/>
      <c r="AD4" s="608"/>
    </row>
    <row r="5" spans="1:30" ht="14.1" customHeight="1">
      <c r="A5" s="606">
        <v>0.24</v>
      </c>
      <c r="B5" s="607">
        <v>121</v>
      </c>
      <c r="C5" s="607">
        <v>124</v>
      </c>
      <c r="D5" s="607"/>
      <c r="E5" s="607"/>
      <c r="F5" s="607"/>
      <c r="G5" s="607"/>
      <c r="H5" s="607"/>
      <c r="I5" s="607"/>
      <c r="J5" s="608"/>
      <c r="K5" s="606">
        <v>0.24</v>
      </c>
      <c r="L5" s="607"/>
      <c r="M5" s="607"/>
      <c r="N5" s="607"/>
      <c r="O5" s="607"/>
      <c r="P5" s="607"/>
      <c r="Q5" s="607"/>
      <c r="R5" s="607"/>
      <c r="S5" s="607"/>
      <c r="T5" s="608"/>
      <c r="U5" s="606">
        <v>0.24</v>
      </c>
      <c r="V5" s="607"/>
      <c r="W5" s="607"/>
      <c r="X5" s="607"/>
      <c r="Y5" s="607"/>
      <c r="Z5" s="607"/>
      <c r="AA5" s="607"/>
      <c r="AB5" s="607"/>
      <c r="AC5" s="607"/>
      <c r="AD5" s="608"/>
    </row>
    <row r="6" spans="1:30" ht="14.1" customHeight="1">
      <c r="A6" s="606">
        <v>0.25</v>
      </c>
      <c r="B6" s="607">
        <v>126</v>
      </c>
      <c r="C6" s="607">
        <v>129</v>
      </c>
      <c r="D6" s="607">
        <v>131</v>
      </c>
      <c r="E6" s="607"/>
      <c r="F6" s="607"/>
      <c r="G6" s="607"/>
      <c r="H6" s="607"/>
      <c r="I6" s="607"/>
      <c r="J6" s="608"/>
      <c r="K6" s="606">
        <v>0.25</v>
      </c>
      <c r="L6" s="607"/>
      <c r="M6" s="607"/>
      <c r="N6" s="607"/>
      <c r="O6" s="607"/>
      <c r="P6" s="607"/>
      <c r="Q6" s="607"/>
      <c r="R6" s="607"/>
      <c r="S6" s="607"/>
      <c r="T6" s="608"/>
      <c r="U6" s="606">
        <v>0.25</v>
      </c>
      <c r="V6" s="607"/>
      <c r="W6" s="607"/>
      <c r="X6" s="607"/>
      <c r="Y6" s="607"/>
      <c r="Z6" s="607"/>
      <c r="AA6" s="607"/>
      <c r="AB6" s="607"/>
      <c r="AC6" s="607"/>
      <c r="AD6" s="608"/>
    </row>
    <row r="7" spans="1:30" ht="14.1" customHeight="1">
      <c r="A7" s="606">
        <v>0.26</v>
      </c>
      <c r="B7" s="607">
        <v>130</v>
      </c>
      <c r="C7" s="607">
        <v>133</v>
      </c>
      <c r="D7" s="607">
        <v>135</v>
      </c>
      <c r="E7" s="607">
        <v>138</v>
      </c>
      <c r="F7" s="607"/>
      <c r="G7" s="607"/>
      <c r="H7" s="607"/>
      <c r="I7" s="607"/>
      <c r="J7" s="608"/>
      <c r="K7" s="606">
        <v>0.26</v>
      </c>
      <c r="L7" s="607"/>
      <c r="M7" s="607"/>
      <c r="N7" s="607"/>
      <c r="O7" s="607"/>
      <c r="P7" s="607"/>
      <c r="Q7" s="607"/>
      <c r="R7" s="607"/>
      <c r="S7" s="607"/>
      <c r="T7" s="608"/>
      <c r="U7" s="606">
        <v>0.26</v>
      </c>
      <c r="V7" s="607"/>
      <c r="W7" s="607"/>
      <c r="X7" s="607"/>
      <c r="Y7" s="607"/>
      <c r="Z7" s="607"/>
      <c r="AA7" s="607"/>
      <c r="AB7" s="607"/>
      <c r="AC7" s="607"/>
      <c r="AD7" s="608"/>
    </row>
    <row r="8" spans="1:30" ht="14.1" customHeight="1">
      <c r="A8" s="606">
        <v>0.27</v>
      </c>
      <c r="B8" s="607">
        <v>135</v>
      </c>
      <c r="C8" s="607">
        <v>138</v>
      </c>
      <c r="D8" s="607">
        <v>140</v>
      </c>
      <c r="E8" s="607">
        <v>142</v>
      </c>
      <c r="F8" s="607">
        <v>143</v>
      </c>
      <c r="G8" s="607"/>
      <c r="H8" s="607"/>
      <c r="I8" s="607"/>
      <c r="J8" s="608"/>
      <c r="K8" s="606">
        <v>0.27</v>
      </c>
      <c r="L8" s="607"/>
      <c r="M8" s="607"/>
      <c r="N8" s="607"/>
      <c r="O8" s="607"/>
      <c r="P8" s="607"/>
      <c r="Q8" s="607"/>
      <c r="R8" s="607"/>
      <c r="S8" s="607"/>
      <c r="T8" s="608"/>
      <c r="U8" s="606">
        <v>0.27</v>
      </c>
      <c r="V8" s="607"/>
      <c r="W8" s="607"/>
      <c r="X8" s="607"/>
      <c r="Y8" s="607"/>
      <c r="Z8" s="607"/>
      <c r="AA8" s="607"/>
      <c r="AB8" s="607"/>
      <c r="AC8" s="607"/>
      <c r="AD8" s="608"/>
    </row>
    <row r="9" spans="1:30" ht="14.1" customHeight="1">
      <c r="A9" s="606">
        <v>0.28000000000000003</v>
      </c>
      <c r="B9" s="607">
        <v>140</v>
      </c>
      <c r="C9" s="607">
        <v>142</v>
      </c>
      <c r="D9" s="607">
        <v>144</v>
      </c>
      <c r="E9" s="607">
        <v>146</v>
      </c>
      <c r="F9" s="607">
        <v>147</v>
      </c>
      <c r="G9" s="607">
        <v>149</v>
      </c>
      <c r="H9" s="607"/>
      <c r="I9" s="607"/>
      <c r="J9" s="608"/>
      <c r="K9" s="606">
        <v>0.28000000000000003</v>
      </c>
      <c r="L9" s="607"/>
      <c r="M9" s="607"/>
      <c r="N9" s="607">
        <v>149</v>
      </c>
      <c r="O9" s="607">
        <v>151</v>
      </c>
      <c r="P9" s="607">
        <v>154</v>
      </c>
      <c r="Q9" s="607"/>
      <c r="R9" s="607"/>
      <c r="S9" s="607"/>
      <c r="T9" s="608"/>
      <c r="U9" s="606">
        <v>0.28000000000000003</v>
      </c>
      <c r="V9" s="607"/>
      <c r="W9" s="607"/>
      <c r="X9" s="607">
        <v>150</v>
      </c>
      <c r="Y9" s="607">
        <v>155</v>
      </c>
      <c r="Z9" s="607">
        <v>159</v>
      </c>
      <c r="AA9" s="607"/>
      <c r="AB9" s="607"/>
      <c r="AC9" s="607"/>
      <c r="AD9" s="608"/>
    </row>
    <row r="10" spans="1:30" ht="14.1" customHeight="1">
      <c r="A10" s="606">
        <v>0.28999999999999998</v>
      </c>
      <c r="B10" s="607">
        <v>144</v>
      </c>
      <c r="C10" s="607">
        <v>146</v>
      </c>
      <c r="D10" s="607">
        <v>148</v>
      </c>
      <c r="E10" s="607">
        <v>150</v>
      </c>
      <c r="F10" s="607">
        <v>151</v>
      </c>
      <c r="G10" s="607">
        <v>153</v>
      </c>
      <c r="H10" s="607">
        <v>154</v>
      </c>
      <c r="I10" s="607"/>
      <c r="J10" s="608"/>
      <c r="K10" s="606">
        <v>0.28999999999999998</v>
      </c>
      <c r="L10" s="607"/>
      <c r="M10" s="607"/>
      <c r="N10" s="607">
        <v>154</v>
      </c>
      <c r="O10" s="607">
        <v>156</v>
      </c>
      <c r="P10" s="607">
        <v>158</v>
      </c>
      <c r="Q10" s="607">
        <v>159</v>
      </c>
      <c r="R10" s="607"/>
      <c r="S10" s="607"/>
      <c r="T10" s="608"/>
      <c r="U10" s="606">
        <v>0.28999999999999998</v>
      </c>
      <c r="V10" s="607"/>
      <c r="W10" s="607"/>
      <c r="X10" s="607">
        <v>155</v>
      </c>
      <c r="Y10" s="607">
        <v>160</v>
      </c>
      <c r="Z10" s="607">
        <v>164</v>
      </c>
      <c r="AA10" s="607">
        <v>168</v>
      </c>
      <c r="AB10" s="607"/>
      <c r="AC10" s="607"/>
      <c r="AD10" s="608"/>
    </row>
    <row r="11" spans="1:30" ht="14.1" customHeight="1">
      <c r="A11" s="606">
        <v>0.3</v>
      </c>
      <c r="B11" s="607">
        <v>149</v>
      </c>
      <c r="C11" s="607">
        <v>151</v>
      </c>
      <c r="D11" s="607">
        <v>153</v>
      </c>
      <c r="E11" s="607">
        <v>155</v>
      </c>
      <c r="F11" s="607">
        <v>156</v>
      </c>
      <c r="G11" s="607">
        <v>157</v>
      </c>
      <c r="H11" s="607">
        <v>158</v>
      </c>
      <c r="I11" s="607">
        <v>159</v>
      </c>
      <c r="J11" s="608"/>
      <c r="K11" s="606">
        <v>0.3</v>
      </c>
      <c r="L11" s="607"/>
      <c r="M11" s="607"/>
      <c r="N11" s="607">
        <v>158</v>
      </c>
      <c r="O11" s="607">
        <v>160</v>
      </c>
      <c r="P11" s="607">
        <v>162</v>
      </c>
      <c r="Q11" s="607">
        <v>162</v>
      </c>
      <c r="R11" s="607">
        <v>163</v>
      </c>
      <c r="S11" s="607"/>
      <c r="T11" s="608"/>
      <c r="U11" s="606">
        <v>0.3</v>
      </c>
      <c r="V11" s="607"/>
      <c r="W11" s="607"/>
      <c r="X11" s="607">
        <v>160</v>
      </c>
      <c r="Y11" s="607">
        <v>164</v>
      </c>
      <c r="Z11" s="607">
        <v>168</v>
      </c>
      <c r="AA11" s="607">
        <v>172</v>
      </c>
      <c r="AB11" s="607">
        <v>176</v>
      </c>
      <c r="AC11" s="607"/>
      <c r="AD11" s="608"/>
    </row>
    <row r="12" spans="1:30" ht="14.1" customHeight="1">
      <c r="A12" s="606">
        <v>0.31</v>
      </c>
      <c r="B12" s="607">
        <v>154</v>
      </c>
      <c r="C12" s="607">
        <v>156</v>
      </c>
      <c r="D12" s="607">
        <v>157</v>
      </c>
      <c r="E12" s="607">
        <v>159</v>
      </c>
      <c r="F12" s="607">
        <v>160</v>
      </c>
      <c r="G12" s="607">
        <v>161</v>
      </c>
      <c r="H12" s="607">
        <v>162</v>
      </c>
      <c r="I12" s="607">
        <v>163</v>
      </c>
      <c r="J12" s="608">
        <v>164</v>
      </c>
      <c r="K12" s="606">
        <v>0.31</v>
      </c>
      <c r="L12" s="607"/>
      <c r="M12" s="607"/>
      <c r="N12" s="607">
        <v>163</v>
      </c>
      <c r="O12" s="607">
        <v>164</v>
      </c>
      <c r="P12" s="607">
        <v>166</v>
      </c>
      <c r="Q12" s="607">
        <v>166</v>
      </c>
      <c r="R12" s="607">
        <v>167</v>
      </c>
      <c r="S12" s="607">
        <v>167</v>
      </c>
      <c r="T12" s="608"/>
      <c r="U12" s="606">
        <v>0.31</v>
      </c>
      <c r="V12" s="607"/>
      <c r="W12" s="607"/>
      <c r="X12" s="607">
        <v>165</v>
      </c>
      <c r="Y12" s="607">
        <v>168</v>
      </c>
      <c r="Z12" s="607">
        <v>172</v>
      </c>
      <c r="AA12" s="607">
        <v>174</v>
      </c>
      <c r="AB12" s="607">
        <v>180</v>
      </c>
      <c r="AC12" s="607">
        <v>182</v>
      </c>
      <c r="AD12" s="608"/>
    </row>
    <row r="13" spans="1:30" ht="14.1" customHeight="1">
      <c r="A13" s="606">
        <v>0.32</v>
      </c>
      <c r="B13" s="607">
        <v>158</v>
      </c>
      <c r="C13" s="607">
        <v>160</v>
      </c>
      <c r="D13" s="607">
        <v>162</v>
      </c>
      <c r="E13" s="607">
        <v>163</v>
      </c>
      <c r="F13" s="607">
        <v>164</v>
      </c>
      <c r="G13" s="607">
        <v>166</v>
      </c>
      <c r="H13" s="607">
        <v>167</v>
      </c>
      <c r="I13" s="607">
        <v>168</v>
      </c>
      <c r="J13" s="608">
        <v>168</v>
      </c>
      <c r="K13" s="606">
        <v>0.32</v>
      </c>
      <c r="L13" s="607"/>
      <c r="M13" s="607"/>
      <c r="N13" s="607">
        <v>167</v>
      </c>
      <c r="O13" s="607">
        <v>169</v>
      </c>
      <c r="P13" s="607">
        <v>171</v>
      </c>
      <c r="Q13" s="607">
        <v>171</v>
      </c>
      <c r="R13" s="607">
        <v>171</v>
      </c>
      <c r="S13" s="607">
        <v>172</v>
      </c>
      <c r="T13" s="608">
        <v>172</v>
      </c>
      <c r="U13" s="606">
        <v>0.32</v>
      </c>
      <c r="V13" s="607"/>
      <c r="W13" s="607"/>
      <c r="X13" s="607">
        <v>169</v>
      </c>
      <c r="Y13" s="607">
        <v>173</v>
      </c>
      <c r="Z13" s="607">
        <v>177</v>
      </c>
      <c r="AA13" s="607">
        <v>181</v>
      </c>
      <c r="AB13" s="607">
        <v>184</v>
      </c>
      <c r="AC13" s="607">
        <v>186</v>
      </c>
      <c r="AD13" s="608">
        <v>188</v>
      </c>
    </row>
    <row r="14" spans="1:30" ht="14.1" customHeight="1">
      <c r="A14" s="606">
        <v>0.33</v>
      </c>
      <c r="B14" s="607">
        <v>163</v>
      </c>
      <c r="C14" s="607">
        <v>165</v>
      </c>
      <c r="D14" s="607">
        <v>166</v>
      </c>
      <c r="E14" s="607">
        <v>168</v>
      </c>
      <c r="F14" s="607">
        <v>169</v>
      </c>
      <c r="G14" s="607">
        <v>170</v>
      </c>
      <c r="H14" s="607">
        <v>171</v>
      </c>
      <c r="I14" s="607">
        <v>173</v>
      </c>
      <c r="J14" s="608">
        <v>173</v>
      </c>
      <c r="K14" s="606">
        <v>0.33</v>
      </c>
      <c r="L14" s="607"/>
      <c r="M14" s="607"/>
      <c r="N14" s="607">
        <v>171</v>
      </c>
      <c r="O14" s="607">
        <v>173</v>
      </c>
      <c r="P14" s="607">
        <v>175</v>
      </c>
      <c r="Q14" s="607">
        <v>176</v>
      </c>
      <c r="R14" s="607">
        <v>176</v>
      </c>
      <c r="S14" s="607">
        <v>176</v>
      </c>
      <c r="T14" s="608">
        <v>176</v>
      </c>
      <c r="U14" s="606">
        <v>0.33</v>
      </c>
      <c r="V14" s="607"/>
      <c r="W14" s="607"/>
      <c r="X14" s="607">
        <v>174</v>
      </c>
      <c r="Y14" s="607">
        <v>178</v>
      </c>
      <c r="Z14" s="607">
        <v>181</v>
      </c>
      <c r="AA14" s="607">
        <v>185</v>
      </c>
      <c r="AB14" s="607">
        <v>188</v>
      </c>
      <c r="AC14" s="607">
        <v>190</v>
      </c>
      <c r="AD14" s="608">
        <v>192</v>
      </c>
    </row>
    <row r="15" spans="1:30" ht="14.1" customHeight="1">
      <c r="A15" s="606">
        <v>0.34</v>
      </c>
      <c r="B15" s="607">
        <v>168</v>
      </c>
      <c r="C15" s="607">
        <v>170</v>
      </c>
      <c r="D15" s="607">
        <v>171</v>
      </c>
      <c r="E15" s="607">
        <v>172</v>
      </c>
      <c r="F15" s="607">
        <v>173</v>
      </c>
      <c r="G15" s="607">
        <v>174</v>
      </c>
      <c r="H15" s="607">
        <v>175</v>
      </c>
      <c r="I15" s="607">
        <v>176</v>
      </c>
      <c r="J15" s="608">
        <v>177</v>
      </c>
      <c r="K15" s="606">
        <v>0.34</v>
      </c>
      <c r="L15" s="607"/>
      <c r="M15" s="607"/>
      <c r="N15" s="607">
        <v>176</v>
      </c>
      <c r="O15" s="607">
        <v>178</v>
      </c>
      <c r="P15" s="607">
        <v>179</v>
      </c>
      <c r="Q15" s="607">
        <v>179</v>
      </c>
      <c r="R15" s="607">
        <v>180</v>
      </c>
      <c r="S15" s="607">
        <v>180</v>
      </c>
      <c r="T15" s="608">
        <v>180</v>
      </c>
      <c r="U15" s="606">
        <v>0.34</v>
      </c>
      <c r="V15" s="607"/>
      <c r="W15" s="607"/>
      <c r="X15" s="607">
        <v>179</v>
      </c>
      <c r="Y15" s="607">
        <v>183</v>
      </c>
      <c r="Z15" s="607">
        <v>186</v>
      </c>
      <c r="AA15" s="607">
        <v>190</v>
      </c>
      <c r="AB15" s="607">
        <v>193</v>
      </c>
      <c r="AC15" s="607">
        <v>195</v>
      </c>
      <c r="AD15" s="608">
        <v>196</v>
      </c>
    </row>
    <row r="16" spans="1:30" ht="14.1" customHeight="1">
      <c r="A16" s="606">
        <v>0.35</v>
      </c>
      <c r="B16" s="607"/>
      <c r="C16" s="607">
        <v>174</v>
      </c>
      <c r="D16" s="607">
        <v>175</v>
      </c>
      <c r="E16" s="607">
        <v>176</v>
      </c>
      <c r="F16" s="607">
        <v>177</v>
      </c>
      <c r="G16" s="607">
        <v>178</v>
      </c>
      <c r="H16" s="607">
        <v>179</v>
      </c>
      <c r="I16" s="607">
        <v>180</v>
      </c>
      <c r="J16" s="608">
        <v>181</v>
      </c>
      <c r="K16" s="606">
        <v>0.35</v>
      </c>
      <c r="L16" s="607"/>
      <c r="M16" s="607"/>
      <c r="N16" s="607">
        <v>180</v>
      </c>
      <c r="O16" s="607">
        <v>181</v>
      </c>
      <c r="P16" s="607">
        <v>183</v>
      </c>
      <c r="Q16" s="607">
        <v>183</v>
      </c>
      <c r="R16" s="607">
        <v>184</v>
      </c>
      <c r="S16" s="607">
        <v>185</v>
      </c>
      <c r="T16" s="608">
        <v>185</v>
      </c>
      <c r="U16" s="606">
        <v>0.35</v>
      </c>
      <c r="V16" s="607"/>
      <c r="W16" s="607"/>
      <c r="X16" s="607">
        <v>184</v>
      </c>
      <c r="Y16" s="607">
        <v>187</v>
      </c>
      <c r="Z16" s="607">
        <v>190</v>
      </c>
      <c r="AA16" s="607">
        <v>194</v>
      </c>
      <c r="AB16" s="607">
        <v>197</v>
      </c>
      <c r="AC16" s="607">
        <v>199</v>
      </c>
      <c r="AD16" s="608">
        <v>201</v>
      </c>
    </row>
    <row r="17" spans="1:41" ht="14.1" customHeight="1">
      <c r="A17" s="606">
        <v>0.36</v>
      </c>
      <c r="B17" s="607"/>
      <c r="C17" s="607"/>
      <c r="D17" s="607">
        <v>179</v>
      </c>
      <c r="E17" s="607">
        <v>181</v>
      </c>
      <c r="F17" s="607">
        <v>182</v>
      </c>
      <c r="G17" s="607">
        <v>183</v>
      </c>
      <c r="H17" s="607">
        <v>184</v>
      </c>
      <c r="I17" s="607">
        <v>185</v>
      </c>
      <c r="J17" s="608">
        <v>185</v>
      </c>
      <c r="K17" s="606">
        <v>0.36</v>
      </c>
      <c r="L17" s="607"/>
      <c r="M17" s="607"/>
      <c r="N17" s="607">
        <v>185</v>
      </c>
      <c r="O17" s="607">
        <v>186</v>
      </c>
      <c r="P17" s="607">
        <v>187</v>
      </c>
      <c r="Q17" s="607">
        <v>187</v>
      </c>
      <c r="R17" s="607">
        <v>188</v>
      </c>
      <c r="S17" s="607">
        <v>188</v>
      </c>
      <c r="T17" s="608">
        <v>189</v>
      </c>
      <c r="U17" s="606">
        <v>0.36</v>
      </c>
      <c r="V17" s="607"/>
      <c r="W17" s="607"/>
      <c r="X17" s="607">
        <v>189</v>
      </c>
      <c r="Y17" s="607">
        <v>192</v>
      </c>
      <c r="Z17" s="607">
        <v>195</v>
      </c>
      <c r="AA17" s="607">
        <v>198</v>
      </c>
      <c r="AB17" s="607">
        <v>201</v>
      </c>
      <c r="AC17" s="607">
        <v>204</v>
      </c>
      <c r="AD17" s="608">
        <v>205</v>
      </c>
    </row>
    <row r="18" spans="1:41" ht="14.1" customHeight="1">
      <c r="A18" s="606">
        <v>0.37</v>
      </c>
      <c r="B18" s="607"/>
      <c r="C18" s="607"/>
      <c r="D18" s="607"/>
      <c r="E18" s="607">
        <v>185</v>
      </c>
      <c r="F18" s="607">
        <v>186</v>
      </c>
      <c r="G18" s="607">
        <v>187</v>
      </c>
      <c r="H18" s="607">
        <v>188</v>
      </c>
      <c r="I18" s="607">
        <v>189</v>
      </c>
      <c r="J18" s="608">
        <v>190</v>
      </c>
      <c r="K18" s="606">
        <v>0.37</v>
      </c>
      <c r="L18" s="607"/>
      <c r="M18" s="607"/>
      <c r="N18" s="607">
        <v>189</v>
      </c>
      <c r="O18" s="607">
        <v>190</v>
      </c>
      <c r="P18" s="607">
        <v>191</v>
      </c>
      <c r="Q18" s="607">
        <v>191</v>
      </c>
      <c r="R18" s="607">
        <v>192</v>
      </c>
      <c r="S18" s="607">
        <v>193</v>
      </c>
      <c r="T18" s="608">
        <v>193</v>
      </c>
      <c r="U18" s="606">
        <v>0.37</v>
      </c>
      <c r="V18" s="607"/>
      <c r="W18" s="607"/>
      <c r="X18" s="607">
        <v>193</v>
      </c>
      <c r="Y18" s="607">
        <v>196</v>
      </c>
      <c r="Z18" s="607">
        <v>199</v>
      </c>
      <c r="AA18" s="607">
        <v>202</v>
      </c>
      <c r="AB18" s="607">
        <v>205</v>
      </c>
      <c r="AC18" s="607">
        <v>207</v>
      </c>
      <c r="AD18" s="608">
        <v>209</v>
      </c>
    </row>
    <row r="19" spans="1:41" ht="14.1" customHeight="1">
      <c r="A19" s="606">
        <v>0.38</v>
      </c>
      <c r="B19" s="607"/>
      <c r="C19" s="607"/>
      <c r="D19" s="607"/>
      <c r="E19" s="607"/>
      <c r="F19" s="607">
        <v>190</v>
      </c>
      <c r="G19" s="607">
        <v>191</v>
      </c>
      <c r="H19" s="607">
        <v>192</v>
      </c>
      <c r="I19" s="607">
        <v>193</v>
      </c>
      <c r="J19" s="608">
        <v>194</v>
      </c>
      <c r="K19" s="606">
        <v>0.38</v>
      </c>
      <c r="L19" s="607"/>
      <c r="M19" s="607"/>
      <c r="N19" s="607">
        <v>193</v>
      </c>
      <c r="O19" s="607">
        <v>194</v>
      </c>
      <c r="P19" s="607">
        <v>196</v>
      </c>
      <c r="Q19" s="607">
        <v>196</v>
      </c>
      <c r="R19" s="607">
        <v>197</v>
      </c>
      <c r="S19" s="607">
        <v>197</v>
      </c>
      <c r="T19" s="608">
        <v>197</v>
      </c>
      <c r="U19" s="606">
        <v>0.38</v>
      </c>
      <c r="V19" s="607"/>
      <c r="W19" s="607"/>
      <c r="X19" s="607">
        <v>198</v>
      </c>
      <c r="Y19" s="607">
        <v>201</v>
      </c>
      <c r="Z19" s="607">
        <v>204</v>
      </c>
      <c r="AA19" s="607">
        <v>207</v>
      </c>
      <c r="AB19" s="607">
        <v>209</v>
      </c>
      <c r="AC19" s="607">
        <v>211</v>
      </c>
      <c r="AD19" s="608">
        <v>213</v>
      </c>
    </row>
    <row r="20" spans="1:41" ht="14.1" customHeight="1">
      <c r="A20" s="606">
        <v>0.39</v>
      </c>
      <c r="B20" s="607"/>
      <c r="C20" s="607"/>
      <c r="D20" s="607"/>
      <c r="E20" s="607"/>
      <c r="F20" s="607"/>
      <c r="G20" s="607">
        <v>196</v>
      </c>
      <c r="H20" s="607">
        <v>197</v>
      </c>
      <c r="I20" s="607">
        <v>198</v>
      </c>
      <c r="J20" s="608">
        <v>198</v>
      </c>
      <c r="K20" s="606">
        <v>0.39</v>
      </c>
      <c r="L20" s="607"/>
      <c r="M20" s="607"/>
      <c r="N20" s="607">
        <v>198</v>
      </c>
      <c r="O20" s="607">
        <v>199</v>
      </c>
      <c r="P20" s="607">
        <v>200</v>
      </c>
      <c r="Q20" s="607">
        <v>200</v>
      </c>
      <c r="R20" s="607">
        <v>201</v>
      </c>
      <c r="S20" s="607">
        <v>201</v>
      </c>
      <c r="T20" s="608">
        <v>202</v>
      </c>
      <c r="U20" s="606">
        <v>0.39</v>
      </c>
      <c r="V20" s="607"/>
      <c r="W20" s="607"/>
      <c r="X20" s="607">
        <v>203</v>
      </c>
      <c r="Y20" s="607">
        <v>206</v>
      </c>
      <c r="Z20" s="607">
        <v>208</v>
      </c>
      <c r="AA20" s="607">
        <v>211</v>
      </c>
      <c r="AB20" s="607">
        <v>214</v>
      </c>
      <c r="AC20" s="607">
        <v>216</v>
      </c>
      <c r="AD20" s="608">
        <v>217</v>
      </c>
    </row>
    <row r="21" spans="1:41" ht="14.1" customHeight="1">
      <c r="A21" s="606">
        <v>0.4</v>
      </c>
      <c r="B21" s="607"/>
      <c r="C21" s="607"/>
      <c r="D21" s="607"/>
      <c r="E21" s="607"/>
      <c r="F21" s="607"/>
      <c r="G21" s="607"/>
      <c r="H21" s="607">
        <v>201</v>
      </c>
      <c r="I21" s="607">
        <v>202</v>
      </c>
      <c r="J21" s="608">
        <v>203</v>
      </c>
      <c r="K21" s="606">
        <v>0.4</v>
      </c>
      <c r="L21" s="607"/>
      <c r="M21" s="607"/>
      <c r="N21" s="607">
        <v>202</v>
      </c>
      <c r="O21" s="607">
        <v>203</v>
      </c>
      <c r="P21" s="607">
        <v>204</v>
      </c>
      <c r="Q21" s="607">
        <v>204</v>
      </c>
      <c r="R21" s="607">
        <v>205</v>
      </c>
      <c r="S21" s="607">
        <v>205</v>
      </c>
      <c r="T21" s="608">
        <v>206</v>
      </c>
      <c r="U21" s="606">
        <v>0.4</v>
      </c>
      <c r="V21" s="607"/>
      <c r="W21" s="607"/>
      <c r="X21" s="607">
        <v>208</v>
      </c>
      <c r="Y21" s="607">
        <v>211</v>
      </c>
      <c r="Z21" s="607">
        <v>213</v>
      </c>
      <c r="AA21" s="607">
        <v>216</v>
      </c>
      <c r="AB21" s="607">
        <v>218</v>
      </c>
      <c r="AC21" s="607">
        <v>220</v>
      </c>
      <c r="AD21" s="608">
        <v>221</v>
      </c>
    </row>
    <row r="22" spans="1:41" ht="14.1" customHeight="1">
      <c r="A22" s="606">
        <v>0.41</v>
      </c>
      <c r="B22" s="607"/>
      <c r="C22" s="607"/>
      <c r="D22" s="607"/>
      <c r="E22" s="607"/>
      <c r="F22" s="607"/>
      <c r="G22" s="607"/>
      <c r="H22" s="607"/>
      <c r="I22" s="607">
        <v>206</v>
      </c>
      <c r="J22" s="608">
        <v>207</v>
      </c>
      <c r="K22" s="606">
        <v>0.41</v>
      </c>
      <c r="L22" s="607"/>
      <c r="M22" s="607"/>
      <c r="N22" s="607">
        <v>206</v>
      </c>
      <c r="O22" s="607">
        <v>207</v>
      </c>
      <c r="P22" s="607">
        <v>208</v>
      </c>
      <c r="Q22" s="607">
        <v>208</v>
      </c>
      <c r="R22" s="607">
        <v>209</v>
      </c>
      <c r="S22" s="607">
        <v>209</v>
      </c>
      <c r="T22" s="608">
        <v>210</v>
      </c>
      <c r="U22" s="606">
        <v>0.41</v>
      </c>
      <c r="V22" s="607"/>
      <c r="W22" s="607"/>
      <c r="X22" s="607">
        <v>213</v>
      </c>
      <c r="Y22" s="607">
        <v>215</v>
      </c>
      <c r="Z22" s="607">
        <v>217</v>
      </c>
      <c r="AA22" s="607">
        <v>220</v>
      </c>
      <c r="AB22" s="607">
        <v>222</v>
      </c>
      <c r="AC22" s="607">
        <v>224</v>
      </c>
      <c r="AD22" s="608">
        <v>225</v>
      </c>
    </row>
    <row r="23" spans="1:41" ht="14.1" customHeight="1">
      <c r="A23" s="609">
        <v>0.42</v>
      </c>
      <c r="B23" s="610"/>
      <c r="C23" s="610"/>
      <c r="D23" s="610"/>
      <c r="E23" s="610"/>
      <c r="F23" s="610"/>
      <c r="G23" s="610"/>
      <c r="H23" s="610"/>
      <c r="I23" s="610"/>
      <c r="J23" s="611">
        <v>211</v>
      </c>
      <c r="K23" s="609">
        <v>0.42</v>
      </c>
      <c r="L23" s="610"/>
      <c r="M23" s="610"/>
      <c r="N23" s="610">
        <v>211</v>
      </c>
      <c r="O23" s="610">
        <v>211</v>
      </c>
      <c r="P23" s="610">
        <v>212</v>
      </c>
      <c r="Q23" s="610">
        <v>212</v>
      </c>
      <c r="R23" s="610">
        <v>213</v>
      </c>
      <c r="S23" s="610">
        <v>213</v>
      </c>
      <c r="T23" s="611">
        <v>214</v>
      </c>
      <c r="U23" s="609">
        <v>0.42</v>
      </c>
      <c r="V23" s="610"/>
      <c r="W23" s="610"/>
      <c r="X23" s="610">
        <v>218</v>
      </c>
      <c r="Y23" s="610">
        <v>220</v>
      </c>
      <c r="Z23" s="610">
        <v>222</v>
      </c>
      <c r="AA23" s="610">
        <v>224</v>
      </c>
      <c r="AB23" s="610">
        <v>226</v>
      </c>
      <c r="AC23" s="610">
        <v>228</v>
      </c>
      <c r="AD23" s="611">
        <v>229</v>
      </c>
    </row>
    <row r="25" spans="1:41" ht="14.1" customHeight="1">
      <c r="A25" s="604" t="s">
        <v>613</v>
      </c>
      <c r="N25" s="604" t="s">
        <v>614</v>
      </c>
      <c r="AB25" s="97"/>
      <c r="AC25" s="97"/>
      <c r="AD25" s="97"/>
      <c r="AE25" s="97"/>
      <c r="AF25" s="97"/>
      <c r="AG25" s="97"/>
      <c r="AH25" s="97"/>
      <c r="AI25" s="97"/>
      <c r="AJ25" s="97"/>
      <c r="AK25" s="97"/>
      <c r="AL25" s="97"/>
      <c r="AM25" s="97"/>
      <c r="AN25" s="97"/>
      <c r="AO25" s="97"/>
    </row>
    <row r="26" spans="1:41" ht="14.1" customHeight="1">
      <c r="A26" s="605"/>
      <c r="B26" s="689" t="s">
        <v>230</v>
      </c>
      <c r="C26" s="689"/>
      <c r="D26" s="689"/>
      <c r="E26" s="689"/>
      <c r="F26" s="689"/>
      <c r="G26" s="689"/>
      <c r="H26" s="689"/>
      <c r="I26" s="689"/>
      <c r="J26" s="689"/>
      <c r="K26" s="689"/>
      <c r="L26" s="689"/>
      <c r="M26" s="612"/>
      <c r="N26" s="605"/>
      <c r="O26" s="688" t="s">
        <v>230</v>
      </c>
      <c r="P26" s="688"/>
      <c r="Q26" s="688"/>
      <c r="R26" s="688"/>
      <c r="S26" s="688"/>
      <c r="T26" s="688"/>
      <c r="U26" s="688"/>
      <c r="V26" s="688"/>
      <c r="W26" s="688"/>
      <c r="X26" s="688"/>
      <c r="Y26" s="688"/>
      <c r="Z26" s="688"/>
      <c r="AA26" s="688"/>
      <c r="AB26" s="97"/>
      <c r="AC26" s="97"/>
      <c r="AD26" s="97"/>
      <c r="AE26" s="97"/>
      <c r="AF26" s="97"/>
      <c r="AG26" s="97"/>
      <c r="AH26" s="97"/>
      <c r="AI26" s="97"/>
      <c r="AJ26" s="97"/>
      <c r="AK26" s="97"/>
      <c r="AL26" s="97"/>
      <c r="AM26" s="97"/>
      <c r="AN26" s="97"/>
      <c r="AO26" s="97"/>
    </row>
    <row r="27" spans="1:41" ht="14.1" customHeight="1">
      <c r="A27" s="606" t="s">
        <v>584</v>
      </c>
      <c r="B27" s="607">
        <v>22</v>
      </c>
      <c r="C27" s="607">
        <v>23</v>
      </c>
      <c r="D27" s="607">
        <v>24</v>
      </c>
      <c r="E27" s="607">
        <v>25</v>
      </c>
      <c r="F27" s="607">
        <v>26</v>
      </c>
      <c r="G27" s="607">
        <v>27</v>
      </c>
      <c r="H27" s="607">
        <v>28</v>
      </c>
      <c r="I27" s="607">
        <v>29</v>
      </c>
      <c r="J27" s="607">
        <v>30</v>
      </c>
      <c r="K27" s="607">
        <v>31</v>
      </c>
      <c r="L27" s="607">
        <v>32</v>
      </c>
      <c r="M27" s="608">
        <v>33</v>
      </c>
      <c r="N27" s="606" t="s">
        <v>584</v>
      </c>
      <c r="O27" s="607">
        <v>27</v>
      </c>
      <c r="P27" s="607">
        <v>28</v>
      </c>
      <c r="Q27" s="607">
        <v>29</v>
      </c>
      <c r="R27" s="607">
        <v>30</v>
      </c>
      <c r="S27" s="607">
        <v>31</v>
      </c>
      <c r="T27" s="607">
        <v>32</v>
      </c>
      <c r="U27" s="607">
        <v>33</v>
      </c>
      <c r="V27" s="607">
        <v>34</v>
      </c>
      <c r="W27" s="607">
        <v>35</v>
      </c>
      <c r="X27" s="607">
        <v>36</v>
      </c>
      <c r="Y27" s="607">
        <v>37</v>
      </c>
      <c r="Z27" s="607">
        <v>38</v>
      </c>
      <c r="AA27" s="608">
        <v>39</v>
      </c>
      <c r="AB27" s="97"/>
      <c r="AC27" s="97"/>
      <c r="AD27" s="97"/>
      <c r="AE27" s="97"/>
      <c r="AF27" s="97"/>
      <c r="AG27" s="97"/>
      <c r="AH27" s="97"/>
      <c r="AI27" s="97"/>
      <c r="AJ27" s="97"/>
      <c r="AK27" s="97"/>
      <c r="AL27" s="97"/>
      <c r="AM27" s="97"/>
      <c r="AN27" s="97"/>
      <c r="AO27" s="97"/>
    </row>
    <row r="28" spans="1:41" ht="14.1" customHeight="1">
      <c r="A28" s="606">
        <v>0.3</v>
      </c>
      <c r="B28" s="607">
        <v>152</v>
      </c>
      <c r="C28" s="607">
        <v>157</v>
      </c>
      <c r="D28" s="607">
        <v>163</v>
      </c>
      <c r="E28" s="607">
        <v>166</v>
      </c>
      <c r="F28" s="607">
        <v>170</v>
      </c>
      <c r="G28" s="607">
        <v>173</v>
      </c>
      <c r="H28" s="607">
        <v>175</v>
      </c>
      <c r="I28" s="607">
        <v>177</v>
      </c>
      <c r="J28" s="607">
        <v>179</v>
      </c>
      <c r="K28" s="607">
        <v>182</v>
      </c>
      <c r="L28" s="607">
        <v>184</v>
      </c>
      <c r="M28" s="608">
        <v>187</v>
      </c>
      <c r="N28" s="606">
        <v>0.4</v>
      </c>
      <c r="O28" s="607">
        <v>222</v>
      </c>
      <c r="P28" s="607">
        <v>226</v>
      </c>
      <c r="Q28" s="607">
        <v>229</v>
      </c>
      <c r="R28" s="607">
        <v>231</v>
      </c>
      <c r="S28" s="607">
        <v>234</v>
      </c>
      <c r="T28" s="607">
        <v>236</v>
      </c>
      <c r="U28" s="607">
        <v>239</v>
      </c>
      <c r="V28" s="607">
        <v>241</v>
      </c>
      <c r="W28" s="607">
        <v>244</v>
      </c>
      <c r="X28" s="607">
        <v>246</v>
      </c>
      <c r="Y28" s="607">
        <v>248</v>
      </c>
      <c r="Z28" s="607">
        <v>250</v>
      </c>
      <c r="AA28" s="608">
        <v>252</v>
      </c>
      <c r="AB28" s="97"/>
      <c r="AC28" s="97"/>
      <c r="AD28" s="97"/>
      <c r="AE28" s="97"/>
      <c r="AF28" s="97"/>
      <c r="AG28" s="97"/>
      <c r="AH28" s="97"/>
      <c r="AI28" s="97"/>
      <c r="AJ28" s="97"/>
      <c r="AK28" s="97"/>
      <c r="AL28" s="97"/>
      <c r="AM28" s="97"/>
      <c r="AN28" s="97"/>
      <c r="AO28" s="97"/>
    </row>
    <row r="29" spans="1:41" ht="14.1" customHeight="1">
      <c r="A29" s="606">
        <v>0.32500000000000001</v>
      </c>
      <c r="B29" s="607">
        <v>163</v>
      </c>
      <c r="C29" s="607">
        <v>169</v>
      </c>
      <c r="D29" s="607">
        <v>174</v>
      </c>
      <c r="E29" s="607">
        <v>177</v>
      </c>
      <c r="F29" s="607">
        <v>181</v>
      </c>
      <c r="G29" s="607">
        <v>183</v>
      </c>
      <c r="H29" s="607">
        <v>186</v>
      </c>
      <c r="I29" s="607">
        <v>188</v>
      </c>
      <c r="J29" s="607">
        <v>190</v>
      </c>
      <c r="K29" s="607">
        <v>192</v>
      </c>
      <c r="L29" s="607">
        <v>195</v>
      </c>
      <c r="M29" s="608">
        <v>197</v>
      </c>
      <c r="N29" s="606">
        <v>0.42499999999999999</v>
      </c>
      <c r="O29" s="607">
        <v>233</v>
      </c>
      <c r="P29" s="607">
        <v>236</v>
      </c>
      <c r="Q29" s="607">
        <v>239</v>
      </c>
      <c r="R29" s="607">
        <v>242</v>
      </c>
      <c r="S29" s="607">
        <v>244</v>
      </c>
      <c r="T29" s="607">
        <v>246</v>
      </c>
      <c r="U29" s="607">
        <v>248</v>
      </c>
      <c r="V29" s="607">
        <v>251</v>
      </c>
      <c r="W29" s="607">
        <v>253</v>
      </c>
      <c r="X29" s="607">
        <v>256</v>
      </c>
      <c r="Y29" s="607">
        <v>258</v>
      </c>
      <c r="Z29" s="607">
        <v>260</v>
      </c>
      <c r="AA29" s="608">
        <v>262</v>
      </c>
      <c r="AB29" s="97"/>
      <c r="AC29" s="97"/>
      <c r="AD29" s="97"/>
      <c r="AE29" s="97"/>
      <c r="AF29" s="97"/>
      <c r="AG29" s="97"/>
      <c r="AH29" s="97"/>
      <c r="AI29" s="97"/>
      <c r="AJ29" s="97"/>
      <c r="AK29" s="97"/>
      <c r="AL29" s="97"/>
      <c r="AM29" s="97"/>
      <c r="AN29" s="97"/>
      <c r="AO29" s="97"/>
    </row>
    <row r="30" spans="1:41" ht="14.1" customHeight="1">
      <c r="A30" s="606">
        <v>0.35</v>
      </c>
      <c r="B30" s="607">
        <v>175</v>
      </c>
      <c r="C30" s="607">
        <v>180</v>
      </c>
      <c r="D30" s="607">
        <v>185</v>
      </c>
      <c r="E30" s="607">
        <v>188</v>
      </c>
      <c r="F30" s="607">
        <v>191</v>
      </c>
      <c r="G30" s="607">
        <v>194</v>
      </c>
      <c r="H30" s="607">
        <v>196</v>
      </c>
      <c r="I30" s="607">
        <v>198</v>
      </c>
      <c r="J30" s="607">
        <v>200</v>
      </c>
      <c r="K30" s="607">
        <v>202</v>
      </c>
      <c r="L30" s="607">
        <v>205</v>
      </c>
      <c r="M30" s="608">
        <v>207</v>
      </c>
      <c r="N30" s="606">
        <v>0.45</v>
      </c>
      <c r="O30" s="607">
        <v>244</v>
      </c>
      <c r="P30" s="607">
        <v>247</v>
      </c>
      <c r="Q30" s="607">
        <v>249</v>
      </c>
      <c r="R30" s="607">
        <v>252</v>
      </c>
      <c r="S30" s="607">
        <v>254</v>
      </c>
      <c r="T30" s="607">
        <v>256</v>
      </c>
      <c r="U30" s="607">
        <v>258</v>
      </c>
      <c r="V30" s="607">
        <v>260</v>
      </c>
      <c r="W30" s="607">
        <v>263</v>
      </c>
      <c r="X30" s="607">
        <v>265</v>
      </c>
      <c r="Y30" s="607">
        <v>267</v>
      </c>
      <c r="Z30" s="607">
        <v>269</v>
      </c>
      <c r="AA30" s="608">
        <v>271</v>
      </c>
      <c r="AB30" s="97"/>
      <c r="AC30" s="97"/>
      <c r="AD30" s="97"/>
      <c r="AE30" s="97"/>
      <c r="AF30" s="97"/>
      <c r="AG30" s="97"/>
      <c r="AH30" s="97"/>
      <c r="AI30" s="97"/>
      <c r="AJ30" s="97"/>
      <c r="AK30" s="97"/>
      <c r="AL30" s="97"/>
      <c r="AM30" s="97"/>
      <c r="AN30" s="97"/>
      <c r="AO30" s="97"/>
    </row>
    <row r="31" spans="1:41" ht="14.1" customHeight="1">
      <c r="A31" s="606">
        <v>0.375</v>
      </c>
      <c r="B31" s="607">
        <v>186</v>
      </c>
      <c r="C31" s="607">
        <v>191</v>
      </c>
      <c r="D31" s="607">
        <v>196</v>
      </c>
      <c r="E31" s="607">
        <v>199</v>
      </c>
      <c r="F31" s="607">
        <v>202</v>
      </c>
      <c r="G31" s="607">
        <v>205</v>
      </c>
      <c r="H31" s="607">
        <v>207</v>
      </c>
      <c r="I31" s="607">
        <v>209</v>
      </c>
      <c r="J31" s="607">
        <v>211</v>
      </c>
      <c r="K31" s="607">
        <v>213</v>
      </c>
      <c r="L31" s="607">
        <v>215</v>
      </c>
      <c r="M31" s="608">
        <v>218</v>
      </c>
      <c r="N31" s="606">
        <v>0.47499999999999998</v>
      </c>
      <c r="O31" s="607">
        <v>254</v>
      </c>
      <c r="P31" s="607">
        <v>257</v>
      </c>
      <c r="Q31" s="607">
        <v>260</v>
      </c>
      <c r="R31" s="607">
        <v>262</v>
      </c>
      <c r="S31" s="607">
        <v>264</v>
      </c>
      <c r="T31" s="607">
        <v>266</v>
      </c>
      <c r="U31" s="607">
        <v>268</v>
      </c>
      <c r="V31" s="607">
        <v>270</v>
      </c>
      <c r="W31" s="607">
        <v>273</v>
      </c>
      <c r="X31" s="607">
        <v>275</v>
      </c>
      <c r="Y31" s="607">
        <v>277</v>
      </c>
      <c r="Z31" s="607">
        <v>279</v>
      </c>
      <c r="AA31" s="608">
        <v>281</v>
      </c>
      <c r="AB31" s="97"/>
      <c r="AC31" s="97"/>
      <c r="AD31" s="97"/>
      <c r="AE31" s="97"/>
      <c r="AF31" s="97"/>
      <c r="AG31" s="97"/>
      <c r="AH31" s="97"/>
      <c r="AI31" s="97"/>
      <c r="AJ31" s="97"/>
      <c r="AK31" s="97"/>
      <c r="AL31" s="97"/>
      <c r="AM31" s="97"/>
      <c r="AN31" s="97"/>
      <c r="AO31" s="97"/>
    </row>
    <row r="32" spans="1:41" ht="14.1" customHeight="1">
      <c r="A32" s="606">
        <v>0.4</v>
      </c>
      <c r="B32" s="607">
        <v>198</v>
      </c>
      <c r="C32" s="607">
        <v>203</v>
      </c>
      <c r="D32" s="607">
        <v>207</v>
      </c>
      <c r="E32" s="607">
        <v>210</v>
      </c>
      <c r="F32" s="607">
        <v>213</v>
      </c>
      <c r="G32" s="607">
        <v>215</v>
      </c>
      <c r="H32" s="607">
        <v>217</v>
      </c>
      <c r="I32" s="607">
        <v>219</v>
      </c>
      <c r="J32" s="607">
        <v>221</v>
      </c>
      <c r="K32" s="607">
        <v>223</v>
      </c>
      <c r="L32" s="607">
        <v>226</v>
      </c>
      <c r="M32" s="608">
        <v>228</v>
      </c>
      <c r="N32" s="606">
        <v>0.5</v>
      </c>
      <c r="O32" s="607">
        <v>265</v>
      </c>
      <c r="P32" s="607">
        <v>267</v>
      </c>
      <c r="Q32" s="607">
        <v>270</v>
      </c>
      <c r="R32" s="607">
        <v>272</v>
      </c>
      <c r="S32" s="607">
        <v>274</v>
      </c>
      <c r="T32" s="607">
        <v>276</v>
      </c>
      <c r="U32" s="607">
        <v>278</v>
      </c>
      <c r="V32" s="607">
        <v>280</v>
      </c>
      <c r="W32" s="607">
        <v>282</v>
      </c>
      <c r="X32" s="607">
        <v>284</v>
      </c>
      <c r="Y32" s="607">
        <v>286</v>
      </c>
      <c r="Z32" s="607">
        <v>288</v>
      </c>
      <c r="AA32" s="608">
        <v>290</v>
      </c>
      <c r="AB32" s="97"/>
      <c r="AC32" s="97"/>
      <c r="AD32" s="97"/>
      <c r="AE32" s="97"/>
      <c r="AF32" s="97"/>
      <c r="AG32" s="97"/>
      <c r="AH32" s="97"/>
      <c r="AI32" s="97"/>
      <c r="AJ32" s="97"/>
      <c r="AK32" s="97"/>
      <c r="AL32" s="97"/>
      <c r="AM32" s="97"/>
      <c r="AN32" s="97"/>
      <c r="AO32" s="97"/>
    </row>
    <row r="33" spans="1:41" ht="14.1" customHeight="1">
      <c r="A33" s="606">
        <v>0.42499999999999999</v>
      </c>
      <c r="B33" s="607">
        <v>209</v>
      </c>
      <c r="C33" s="607">
        <v>214</v>
      </c>
      <c r="D33" s="607">
        <v>218</v>
      </c>
      <c r="E33" s="607">
        <v>221</v>
      </c>
      <c r="F33" s="607">
        <v>224</v>
      </c>
      <c r="G33" s="607">
        <v>226</v>
      </c>
      <c r="H33" s="607">
        <v>228</v>
      </c>
      <c r="I33" s="607">
        <v>230</v>
      </c>
      <c r="J33" s="607">
        <v>232</v>
      </c>
      <c r="K33" s="607">
        <v>234</v>
      </c>
      <c r="L33" s="607">
        <v>236</v>
      </c>
      <c r="M33" s="608">
        <v>238</v>
      </c>
      <c r="N33" s="606">
        <v>0.52500000000000002</v>
      </c>
      <c r="O33" s="607">
        <v>275</v>
      </c>
      <c r="P33" s="607">
        <v>278</v>
      </c>
      <c r="Q33" s="607">
        <v>280</v>
      </c>
      <c r="R33" s="607">
        <v>282</v>
      </c>
      <c r="S33" s="607">
        <v>284</v>
      </c>
      <c r="T33" s="607">
        <v>286</v>
      </c>
      <c r="U33" s="607">
        <v>288</v>
      </c>
      <c r="V33" s="607">
        <v>290</v>
      </c>
      <c r="W33" s="607">
        <v>292</v>
      </c>
      <c r="X33" s="607">
        <v>294</v>
      </c>
      <c r="Y33" s="607">
        <v>296</v>
      </c>
      <c r="Z33" s="607">
        <v>298</v>
      </c>
      <c r="AA33" s="608">
        <v>300</v>
      </c>
      <c r="AB33" s="97"/>
      <c r="AC33" s="97"/>
      <c r="AD33" s="97"/>
      <c r="AE33" s="97"/>
      <c r="AF33" s="97"/>
      <c r="AG33" s="97"/>
      <c r="AH33" s="97"/>
      <c r="AI33" s="97"/>
      <c r="AJ33" s="97"/>
      <c r="AK33" s="97"/>
      <c r="AL33" s="97"/>
      <c r="AM33" s="97"/>
      <c r="AN33" s="97"/>
      <c r="AO33" s="97"/>
    </row>
    <row r="34" spans="1:41" ht="14.1" customHeight="1">
      <c r="A34" s="606">
        <v>0.45</v>
      </c>
      <c r="B34" s="607">
        <v>221</v>
      </c>
      <c r="C34" s="607">
        <v>226</v>
      </c>
      <c r="D34" s="607">
        <v>230</v>
      </c>
      <c r="E34" s="607">
        <v>232</v>
      </c>
      <c r="F34" s="607">
        <v>235</v>
      </c>
      <c r="G34" s="607">
        <v>237</v>
      </c>
      <c r="H34" s="607">
        <v>238</v>
      </c>
      <c r="I34" s="607">
        <v>240</v>
      </c>
      <c r="J34" s="607">
        <v>242</v>
      </c>
      <c r="K34" s="607">
        <v>244</v>
      </c>
      <c r="L34" s="607">
        <v>246</v>
      </c>
      <c r="M34" s="608">
        <v>248</v>
      </c>
      <c r="N34" s="606">
        <v>0.55000000000000004</v>
      </c>
      <c r="O34" s="607">
        <v>286</v>
      </c>
      <c r="P34" s="607">
        <v>288</v>
      </c>
      <c r="Q34" s="607">
        <v>290</v>
      </c>
      <c r="R34" s="607">
        <v>292</v>
      </c>
      <c r="S34" s="607">
        <v>294</v>
      </c>
      <c r="T34" s="607">
        <v>296</v>
      </c>
      <c r="U34" s="607">
        <v>298</v>
      </c>
      <c r="V34" s="607">
        <v>299</v>
      </c>
      <c r="W34" s="607">
        <v>301</v>
      </c>
      <c r="X34" s="607">
        <v>303</v>
      </c>
      <c r="Y34" s="607">
        <v>305</v>
      </c>
      <c r="Z34" s="607">
        <v>307</v>
      </c>
      <c r="AA34" s="608">
        <v>309</v>
      </c>
      <c r="AB34" s="97"/>
      <c r="AC34" s="97"/>
      <c r="AD34" s="97"/>
      <c r="AE34" s="97"/>
      <c r="AF34" s="97"/>
      <c r="AG34" s="97"/>
      <c r="AH34" s="97"/>
      <c r="AI34" s="97"/>
      <c r="AJ34" s="97"/>
      <c r="AK34" s="97"/>
      <c r="AL34" s="97"/>
      <c r="AM34" s="97"/>
      <c r="AN34" s="97"/>
      <c r="AO34" s="97"/>
    </row>
    <row r="35" spans="1:41" ht="14.1" customHeight="1">
      <c r="A35" s="606">
        <v>0.47499999999999998</v>
      </c>
      <c r="B35" s="607">
        <v>233</v>
      </c>
      <c r="C35" s="607">
        <v>237</v>
      </c>
      <c r="D35" s="607">
        <v>241</v>
      </c>
      <c r="E35" s="607">
        <v>243</v>
      </c>
      <c r="F35" s="607">
        <v>245</v>
      </c>
      <c r="G35" s="607">
        <v>247</v>
      </c>
      <c r="H35" s="607">
        <v>249</v>
      </c>
      <c r="I35" s="607">
        <v>251</v>
      </c>
      <c r="J35" s="607">
        <v>253</v>
      </c>
      <c r="K35" s="607">
        <v>254</v>
      </c>
      <c r="L35" s="607">
        <v>256</v>
      </c>
      <c r="M35" s="608">
        <v>258</v>
      </c>
      <c r="N35" s="606">
        <v>0.57499999999999996</v>
      </c>
      <c r="O35" s="607">
        <v>296</v>
      </c>
      <c r="P35" s="607">
        <v>298</v>
      </c>
      <c r="Q35" s="607">
        <v>3090</v>
      </c>
      <c r="R35" s="607">
        <v>302</v>
      </c>
      <c r="S35" s="607">
        <v>304</v>
      </c>
      <c r="T35" s="607">
        <v>305</v>
      </c>
      <c r="U35" s="607">
        <v>307</v>
      </c>
      <c r="V35" s="607">
        <v>309</v>
      </c>
      <c r="W35" s="607">
        <v>311</v>
      </c>
      <c r="X35" s="607">
        <v>313</v>
      </c>
      <c r="Y35" s="607">
        <v>315</v>
      </c>
      <c r="Z35" s="607">
        <v>317</v>
      </c>
      <c r="AA35" s="608">
        <v>318</v>
      </c>
      <c r="AB35" s="97"/>
      <c r="AC35" s="97"/>
      <c r="AD35" s="97"/>
      <c r="AE35" s="97"/>
      <c r="AF35" s="97"/>
      <c r="AG35" s="97"/>
      <c r="AH35" s="97"/>
      <c r="AI35" s="97"/>
      <c r="AJ35" s="97"/>
      <c r="AK35" s="97"/>
      <c r="AL35" s="97"/>
      <c r="AM35" s="97"/>
      <c r="AN35" s="97"/>
      <c r="AO35" s="97"/>
    </row>
    <row r="36" spans="1:41" ht="14.1" customHeight="1">
      <c r="A36" s="606">
        <v>0.5</v>
      </c>
      <c r="B36" s="607">
        <v>244</v>
      </c>
      <c r="C36" s="607">
        <v>248</v>
      </c>
      <c r="D36" s="607">
        <v>252</v>
      </c>
      <c r="E36" s="607">
        <v>254</v>
      </c>
      <c r="F36" s="607">
        <v>256</v>
      </c>
      <c r="G36" s="607">
        <v>258</v>
      </c>
      <c r="H36" s="607">
        <v>260</v>
      </c>
      <c r="I36" s="607">
        <v>261</v>
      </c>
      <c r="J36" s="607">
        <v>263</v>
      </c>
      <c r="K36" s="607">
        <v>265</v>
      </c>
      <c r="L36" s="607">
        <v>267</v>
      </c>
      <c r="M36" s="608">
        <v>269</v>
      </c>
      <c r="N36" s="606">
        <v>0.6</v>
      </c>
      <c r="O36" s="607">
        <v>306</v>
      </c>
      <c r="P36" s="607">
        <v>308</v>
      </c>
      <c r="Q36" s="607">
        <v>310</v>
      </c>
      <c r="R36" s="607">
        <v>312</v>
      </c>
      <c r="S36" s="607">
        <v>313</v>
      </c>
      <c r="T36" s="607">
        <v>315</v>
      </c>
      <c r="U36" s="607">
        <v>317</v>
      </c>
      <c r="V36" s="607">
        <v>319</v>
      </c>
      <c r="W36" s="607">
        <v>320</v>
      </c>
      <c r="X36" s="607">
        <v>322</v>
      </c>
      <c r="Y36" s="607">
        <v>324</v>
      </c>
      <c r="Z36" s="607">
        <v>326</v>
      </c>
      <c r="AA36" s="608">
        <v>328</v>
      </c>
      <c r="AB36" s="97"/>
      <c r="AC36" s="97"/>
      <c r="AD36" s="97"/>
      <c r="AE36" s="97"/>
      <c r="AF36" s="97"/>
      <c r="AG36" s="97"/>
      <c r="AH36" s="97"/>
      <c r="AI36" s="97"/>
      <c r="AJ36" s="97"/>
      <c r="AK36" s="97"/>
      <c r="AL36" s="97"/>
      <c r="AM36" s="97"/>
      <c r="AN36" s="97"/>
      <c r="AO36" s="97"/>
    </row>
    <row r="37" spans="1:41" ht="14.1" customHeight="1">
      <c r="A37" s="606">
        <v>0.52500000000000002</v>
      </c>
      <c r="B37" s="607">
        <v>256</v>
      </c>
      <c r="C37" s="607">
        <v>260</v>
      </c>
      <c r="D37" s="607">
        <v>263</v>
      </c>
      <c r="E37" s="607">
        <v>265</v>
      </c>
      <c r="F37" s="607">
        <v>267</v>
      </c>
      <c r="G37" s="607">
        <v>269</v>
      </c>
      <c r="H37" s="607">
        <v>270</v>
      </c>
      <c r="I37" s="607">
        <v>272</v>
      </c>
      <c r="J37" s="607">
        <v>273</v>
      </c>
      <c r="K37" s="607">
        <v>275</v>
      </c>
      <c r="L37" s="607">
        <v>277</v>
      </c>
      <c r="M37" s="608">
        <v>279</v>
      </c>
      <c r="N37" s="606">
        <v>0.625</v>
      </c>
      <c r="O37" s="607">
        <v>316</v>
      </c>
      <c r="P37" s="607">
        <v>318</v>
      </c>
      <c r="Q37" s="607">
        <v>320</v>
      </c>
      <c r="R37" s="607">
        <v>322</v>
      </c>
      <c r="S37" s="607">
        <v>323</v>
      </c>
      <c r="T37" s="607">
        <v>325</v>
      </c>
      <c r="U37" s="607">
        <v>326</v>
      </c>
      <c r="V37" s="607">
        <v>328</v>
      </c>
      <c r="W37" s="607">
        <v>330</v>
      </c>
      <c r="X37" s="607">
        <v>332</v>
      </c>
      <c r="Y37" s="607">
        <v>333</v>
      </c>
      <c r="Z37" s="607">
        <v>335</v>
      </c>
      <c r="AA37" s="608">
        <v>337</v>
      </c>
      <c r="AB37" s="97"/>
      <c r="AC37" s="97"/>
      <c r="AD37" s="97"/>
      <c r="AE37" s="97"/>
      <c r="AF37" s="97"/>
      <c r="AG37" s="97"/>
      <c r="AH37" s="97"/>
      <c r="AI37" s="97"/>
      <c r="AJ37" s="97"/>
      <c r="AK37" s="97"/>
      <c r="AL37" s="97"/>
      <c r="AM37" s="97"/>
      <c r="AN37" s="97"/>
      <c r="AO37" s="97"/>
    </row>
    <row r="38" spans="1:41" ht="14.1" customHeight="1">
      <c r="A38" s="606">
        <v>0.55000000000000004</v>
      </c>
      <c r="B38" s="607">
        <v>267</v>
      </c>
      <c r="C38" s="607">
        <v>271</v>
      </c>
      <c r="D38" s="607">
        <v>274</v>
      </c>
      <c r="E38" s="607">
        <v>276</v>
      </c>
      <c r="F38" s="607">
        <v>278</v>
      </c>
      <c r="G38" s="607">
        <v>279</v>
      </c>
      <c r="H38" s="607">
        <v>281</v>
      </c>
      <c r="I38" s="607">
        <v>282</v>
      </c>
      <c r="J38" s="607">
        <v>284</v>
      </c>
      <c r="K38" s="607">
        <v>285</v>
      </c>
      <c r="L38" s="607">
        <v>287</v>
      </c>
      <c r="M38" s="608">
        <v>289</v>
      </c>
      <c r="N38" s="606">
        <v>0.65</v>
      </c>
      <c r="O38" s="607">
        <v>326</v>
      </c>
      <c r="P38" s="607">
        <v>328</v>
      </c>
      <c r="Q38" s="607">
        <v>330</v>
      </c>
      <c r="R38" s="607">
        <v>331</v>
      </c>
      <c r="S38" s="607">
        <v>333</v>
      </c>
      <c r="T38" s="607">
        <v>334</v>
      </c>
      <c r="U38" s="607">
        <v>336</v>
      </c>
      <c r="V38" s="607">
        <v>338</v>
      </c>
      <c r="W38" s="607">
        <v>339</v>
      </c>
      <c r="X38" s="607">
        <v>341</v>
      </c>
      <c r="Y38" s="607">
        <v>343</v>
      </c>
      <c r="Z38" s="607">
        <v>344</v>
      </c>
      <c r="AA38" s="608">
        <v>346</v>
      </c>
      <c r="AB38" s="97"/>
      <c r="AC38" s="97"/>
      <c r="AD38" s="97"/>
      <c r="AE38" s="97"/>
      <c r="AF38" s="97"/>
      <c r="AG38" s="97"/>
      <c r="AH38" s="97"/>
      <c r="AI38" s="97"/>
      <c r="AJ38" s="97"/>
      <c r="AK38" s="97"/>
      <c r="AL38" s="97"/>
      <c r="AM38" s="97"/>
      <c r="AN38" s="97"/>
      <c r="AO38" s="97"/>
    </row>
    <row r="39" spans="1:41" ht="14.1" customHeight="1">
      <c r="A39" s="606">
        <v>0.57499999999999996</v>
      </c>
      <c r="B39" s="607">
        <v>279</v>
      </c>
      <c r="C39" s="607">
        <v>282</v>
      </c>
      <c r="D39" s="607">
        <v>285</v>
      </c>
      <c r="E39" s="607">
        <v>287</v>
      </c>
      <c r="F39" s="607">
        <v>288</v>
      </c>
      <c r="G39" s="607">
        <v>290</v>
      </c>
      <c r="H39" s="607">
        <v>291</v>
      </c>
      <c r="I39" s="607">
        <v>292</v>
      </c>
      <c r="J39" s="607">
        <v>294</v>
      </c>
      <c r="K39" s="607">
        <v>296</v>
      </c>
      <c r="L39" s="607">
        <v>297</v>
      </c>
      <c r="M39" s="608">
        <v>299</v>
      </c>
      <c r="N39" s="606">
        <v>0.67500000000000004</v>
      </c>
      <c r="O39" s="607">
        <v>336</v>
      </c>
      <c r="P39" s="607">
        <v>338</v>
      </c>
      <c r="Q39" s="607">
        <v>339</v>
      </c>
      <c r="R39" s="607">
        <v>341</v>
      </c>
      <c r="S39" s="607">
        <v>342</v>
      </c>
      <c r="T39" s="607">
        <v>344</v>
      </c>
      <c r="U39" s="607">
        <v>345</v>
      </c>
      <c r="V39" s="607">
        <v>347</v>
      </c>
      <c r="W39" s="607">
        <v>349</v>
      </c>
      <c r="X39" s="607">
        <v>350</v>
      </c>
      <c r="Y39" s="607">
        <v>352</v>
      </c>
      <c r="Z39" s="607">
        <v>354</v>
      </c>
      <c r="AA39" s="608">
        <v>355</v>
      </c>
      <c r="AB39" s="97"/>
      <c r="AC39" s="97"/>
      <c r="AD39" s="97"/>
      <c r="AE39" s="97"/>
      <c r="AF39" s="97"/>
      <c r="AG39" s="97"/>
      <c r="AH39" s="97"/>
      <c r="AI39" s="97"/>
      <c r="AJ39" s="97"/>
      <c r="AK39" s="97"/>
      <c r="AL39" s="97"/>
      <c r="AM39" s="97"/>
      <c r="AN39" s="97"/>
      <c r="AO39" s="97"/>
    </row>
    <row r="40" spans="1:41" ht="14.1" customHeight="1">
      <c r="A40" s="606">
        <v>0.6</v>
      </c>
      <c r="B40" s="607">
        <v>290</v>
      </c>
      <c r="C40" s="607">
        <v>293</v>
      </c>
      <c r="D40" s="607">
        <v>296</v>
      </c>
      <c r="E40" s="607">
        <v>297</v>
      </c>
      <c r="F40" s="607">
        <v>299</v>
      </c>
      <c r="G40" s="607">
        <v>300</v>
      </c>
      <c r="H40" s="607">
        <v>301</v>
      </c>
      <c r="I40" s="607">
        <v>303</v>
      </c>
      <c r="J40" s="607">
        <v>304</v>
      </c>
      <c r="K40" s="607">
        <v>306</v>
      </c>
      <c r="L40" s="607">
        <v>308</v>
      </c>
      <c r="M40" s="608">
        <v>310</v>
      </c>
      <c r="N40" s="606">
        <v>0.7</v>
      </c>
      <c r="O40" s="607">
        <v>346</v>
      </c>
      <c r="P40" s="607">
        <v>348</v>
      </c>
      <c r="Q40" s="607">
        <v>349</v>
      </c>
      <c r="R40" s="607">
        <v>350</v>
      </c>
      <c r="S40" s="607">
        <v>352</v>
      </c>
      <c r="T40" s="607">
        <v>353</v>
      </c>
      <c r="U40" s="607">
        <v>355</v>
      </c>
      <c r="V40" s="607">
        <v>356</v>
      </c>
      <c r="W40" s="607">
        <v>358</v>
      </c>
      <c r="X40" s="607">
        <v>359</v>
      </c>
      <c r="Y40" s="607">
        <v>361</v>
      </c>
      <c r="Z40" s="607">
        <v>363</v>
      </c>
      <c r="AA40" s="608">
        <v>364</v>
      </c>
      <c r="AB40" s="97"/>
      <c r="AC40" s="97"/>
      <c r="AD40" s="97"/>
      <c r="AE40" s="97"/>
      <c r="AF40" s="97"/>
      <c r="AG40" s="97"/>
      <c r="AH40" s="97"/>
      <c r="AI40" s="97"/>
      <c r="AJ40" s="97"/>
      <c r="AK40" s="97"/>
      <c r="AL40" s="97"/>
      <c r="AM40" s="97"/>
      <c r="AN40" s="97"/>
      <c r="AO40" s="97"/>
    </row>
    <row r="41" spans="1:41" ht="14.1" customHeight="1">
      <c r="A41" s="606">
        <v>0.625</v>
      </c>
      <c r="B41" s="607">
        <v>301</v>
      </c>
      <c r="C41" s="607">
        <v>304</v>
      </c>
      <c r="D41" s="607">
        <v>306</v>
      </c>
      <c r="E41" s="607">
        <v>308</v>
      </c>
      <c r="F41" s="607">
        <v>309</v>
      </c>
      <c r="G41" s="607">
        <v>310</v>
      </c>
      <c r="H41" s="607">
        <v>312</v>
      </c>
      <c r="I41" s="607">
        <v>313</v>
      </c>
      <c r="J41" s="607">
        <v>315</v>
      </c>
      <c r="K41" s="607">
        <v>316</v>
      </c>
      <c r="L41" s="607">
        <v>318</v>
      </c>
      <c r="M41" s="608">
        <v>320</v>
      </c>
      <c r="N41" s="606">
        <v>0.72499999999999998</v>
      </c>
      <c r="O41" s="607">
        <v>356</v>
      </c>
      <c r="P41" s="607">
        <v>357</v>
      </c>
      <c r="Q41" s="607">
        <v>358</v>
      </c>
      <c r="R41" s="607">
        <v>360</v>
      </c>
      <c r="S41" s="607">
        <v>361</v>
      </c>
      <c r="T41" s="607">
        <v>362</v>
      </c>
      <c r="U41" s="607">
        <v>364</v>
      </c>
      <c r="V41" s="607">
        <v>365</v>
      </c>
      <c r="W41" s="607">
        <v>367</v>
      </c>
      <c r="X41" s="607">
        <v>368</v>
      </c>
      <c r="Y41" s="607">
        <v>370</v>
      </c>
      <c r="Z41" s="607">
        <v>372</v>
      </c>
      <c r="AA41" s="608">
        <v>373</v>
      </c>
      <c r="AB41" s="97"/>
      <c r="AC41" s="97"/>
      <c r="AD41" s="97"/>
      <c r="AE41" s="97"/>
      <c r="AF41" s="97"/>
      <c r="AG41" s="97"/>
      <c r="AH41" s="97"/>
      <c r="AI41" s="97"/>
      <c r="AJ41" s="97"/>
      <c r="AK41" s="97"/>
      <c r="AL41" s="97"/>
      <c r="AM41" s="97"/>
      <c r="AN41" s="97"/>
      <c r="AO41" s="97"/>
    </row>
    <row r="42" spans="1:41" ht="14.1" customHeight="1">
      <c r="A42" s="606">
        <v>0.65</v>
      </c>
      <c r="B42" s="607">
        <v>312</v>
      </c>
      <c r="C42" s="607">
        <v>314</v>
      </c>
      <c r="D42" s="607">
        <v>317</v>
      </c>
      <c r="E42" s="607">
        <v>318</v>
      </c>
      <c r="F42" s="607">
        <v>320</v>
      </c>
      <c r="G42" s="607">
        <v>321</v>
      </c>
      <c r="H42" s="607">
        <v>322</v>
      </c>
      <c r="I42" s="607">
        <v>323</v>
      </c>
      <c r="J42" s="607">
        <v>325</v>
      </c>
      <c r="K42" s="607">
        <v>326</v>
      </c>
      <c r="L42" s="607">
        <v>328</v>
      </c>
      <c r="M42" s="608">
        <v>330</v>
      </c>
      <c r="N42" s="606">
        <v>0.75</v>
      </c>
      <c r="O42" s="607">
        <v>365</v>
      </c>
      <c r="P42" s="607">
        <v>367</v>
      </c>
      <c r="Q42" s="607">
        <v>368</v>
      </c>
      <c r="R42" s="607">
        <v>369</v>
      </c>
      <c r="S42" s="607">
        <v>370</v>
      </c>
      <c r="T42" s="607">
        <v>372</v>
      </c>
      <c r="U42" s="607">
        <v>373</v>
      </c>
      <c r="V42" s="607">
        <v>375</v>
      </c>
      <c r="W42" s="607">
        <v>376</v>
      </c>
      <c r="X42" s="607">
        <v>378</v>
      </c>
      <c r="Y42" s="607">
        <v>379</v>
      </c>
      <c r="Z42" s="607">
        <v>381</v>
      </c>
      <c r="AA42" s="608">
        <v>382</v>
      </c>
      <c r="AB42" s="97"/>
      <c r="AC42" s="97"/>
      <c r="AD42" s="97"/>
      <c r="AE42" s="97"/>
      <c r="AF42" s="97"/>
      <c r="AG42" s="97"/>
      <c r="AH42" s="97"/>
      <c r="AI42" s="97"/>
      <c r="AJ42" s="97"/>
      <c r="AK42" s="97"/>
      <c r="AL42" s="97"/>
      <c r="AM42" s="97"/>
      <c r="AN42" s="97"/>
      <c r="AO42" s="97"/>
    </row>
    <row r="43" spans="1:41" ht="14.1" customHeight="1">
      <c r="A43" s="606">
        <v>0.67500000000000004</v>
      </c>
      <c r="B43" s="607">
        <v>322</v>
      </c>
      <c r="C43" s="607">
        <v>325</v>
      </c>
      <c r="D43" s="607">
        <v>327</v>
      </c>
      <c r="E43" s="607">
        <v>328</v>
      </c>
      <c r="F43" s="607">
        <v>330</v>
      </c>
      <c r="G43" s="607">
        <v>331</v>
      </c>
      <c r="H43" s="607">
        <v>333</v>
      </c>
      <c r="I43" s="607">
        <v>333</v>
      </c>
      <c r="J43" s="607">
        <v>335</v>
      </c>
      <c r="K43" s="607">
        <v>336</v>
      </c>
      <c r="L43" s="607">
        <v>338</v>
      </c>
      <c r="M43" s="608">
        <v>340</v>
      </c>
      <c r="N43" s="606">
        <v>0.77500000000000002</v>
      </c>
      <c r="O43" s="607">
        <v>374</v>
      </c>
      <c r="P43" s="607">
        <v>376</v>
      </c>
      <c r="Q43" s="607">
        <v>377</v>
      </c>
      <c r="R43" s="607">
        <v>378</v>
      </c>
      <c r="S43" s="607">
        <v>379</v>
      </c>
      <c r="T43" s="607">
        <v>381</v>
      </c>
      <c r="U43" s="607">
        <v>382</v>
      </c>
      <c r="V43" s="607">
        <v>383</v>
      </c>
      <c r="W43" s="607">
        <v>385</v>
      </c>
      <c r="X43" s="607">
        <v>386</v>
      </c>
      <c r="Y43" s="607">
        <v>388</v>
      </c>
      <c r="Z43" s="607">
        <v>390</v>
      </c>
      <c r="AA43" s="608">
        <v>391</v>
      </c>
      <c r="AB43" s="97"/>
      <c r="AC43" s="97"/>
      <c r="AD43" s="97"/>
      <c r="AE43" s="97"/>
      <c r="AF43" s="97"/>
      <c r="AG43" s="97"/>
      <c r="AH43" s="97"/>
      <c r="AI43" s="97"/>
      <c r="AJ43" s="97"/>
      <c r="AK43" s="97"/>
      <c r="AL43" s="97"/>
      <c r="AM43" s="97"/>
      <c r="AN43" s="97"/>
      <c r="AO43" s="97"/>
    </row>
    <row r="44" spans="1:41" ht="14.1" customHeight="1">
      <c r="A44" s="606">
        <v>0.7</v>
      </c>
      <c r="B44" s="607">
        <v>333</v>
      </c>
      <c r="C44" s="607">
        <v>335</v>
      </c>
      <c r="D44" s="607">
        <v>337</v>
      </c>
      <c r="E44" s="607">
        <v>339</v>
      </c>
      <c r="F44" s="607">
        <v>340</v>
      </c>
      <c r="G44" s="607">
        <v>341</v>
      </c>
      <c r="H44" s="607">
        <v>342</v>
      </c>
      <c r="I44" s="607">
        <v>343</v>
      </c>
      <c r="J44" s="607">
        <v>345</v>
      </c>
      <c r="K44" s="607">
        <v>346</v>
      </c>
      <c r="L44" s="607">
        <v>348</v>
      </c>
      <c r="M44" s="608">
        <v>350</v>
      </c>
      <c r="N44" s="606">
        <v>0.8</v>
      </c>
      <c r="O44" s="607">
        <v>384</v>
      </c>
      <c r="P44" s="607">
        <v>385</v>
      </c>
      <c r="Q44" s="607">
        <v>386</v>
      </c>
      <c r="R44" s="607">
        <v>387</v>
      </c>
      <c r="S44" s="607">
        <v>388</v>
      </c>
      <c r="T44" s="607">
        <v>390</v>
      </c>
      <c r="U44" s="607">
        <v>391</v>
      </c>
      <c r="V44" s="607">
        <v>392</v>
      </c>
      <c r="W44" s="607">
        <v>394</v>
      </c>
      <c r="X44" s="607">
        <v>395</v>
      </c>
      <c r="Y44" s="607">
        <v>397</v>
      </c>
      <c r="Z44" s="607">
        <v>398</v>
      </c>
      <c r="AA44" s="608">
        <v>400</v>
      </c>
      <c r="AB44" s="97"/>
      <c r="AC44" s="97"/>
      <c r="AD44" s="97"/>
      <c r="AE44" s="97"/>
      <c r="AF44" s="97"/>
      <c r="AG44" s="97"/>
      <c r="AH44" s="97"/>
      <c r="AI44" s="97"/>
      <c r="AJ44" s="97"/>
      <c r="AK44" s="97"/>
      <c r="AL44" s="97"/>
      <c r="AM44" s="97"/>
      <c r="AN44" s="97"/>
      <c r="AO44" s="97"/>
    </row>
    <row r="45" spans="1:41" ht="14.1" customHeight="1">
      <c r="A45" s="606">
        <v>0.72499999999999998</v>
      </c>
      <c r="B45" s="607">
        <v>342</v>
      </c>
      <c r="C45" s="607">
        <v>345</v>
      </c>
      <c r="D45" s="607">
        <v>347</v>
      </c>
      <c r="E45" s="607">
        <v>348</v>
      </c>
      <c r="F45" s="607">
        <v>349</v>
      </c>
      <c r="G45" s="607">
        <v>351</v>
      </c>
      <c r="H45" s="607">
        <v>352</v>
      </c>
      <c r="I45" s="607">
        <v>353</v>
      </c>
      <c r="J45" s="607">
        <v>354</v>
      </c>
      <c r="K45" s="607">
        <v>356</v>
      </c>
      <c r="L45" s="607">
        <v>358</v>
      </c>
      <c r="M45" s="608">
        <v>360</v>
      </c>
      <c r="N45" s="606">
        <v>0.82499999999999996</v>
      </c>
      <c r="O45" s="607">
        <v>393</v>
      </c>
      <c r="P45" s="607">
        <v>394</v>
      </c>
      <c r="Q45" s="607">
        <v>395</v>
      </c>
      <c r="R45" s="607">
        <v>396</v>
      </c>
      <c r="S45" s="607">
        <v>397</v>
      </c>
      <c r="T45" s="607">
        <v>399</v>
      </c>
      <c r="U45" s="607">
        <v>400</v>
      </c>
      <c r="V45" s="607">
        <v>401</v>
      </c>
      <c r="W45" s="607">
        <v>403</v>
      </c>
      <c r="X45" s="607">
        <v>404</v>
      </c>
      <c r="Y45" s="607">
        <v>406</v>
      </c>
      <c r="Z45" s="607">
        <v>407</v>
      </c>
      <c r="AA45" s="608">
        <v>408</v>
      </c>
      <c r="AB45" s="613"/>
      <c r="AC45" s="613"/>
      <c r="AD45" s="613"/>
      <c r="AE45" s="613"/>
      <c r="AF45" s="613"/>
      <c r="AG45" s="613"/>
      <c r="AH45" s="613"/>
      <c r="AI45" s="613"/>
      <c r="AJ45" s="613"/>
      <c r="AK45" s="613"/>
      <c r="AL45" s="613"/>
      <c r="AM45" s="613"/>
      <c r="AN45" s="613"/>
      <c r="AO45" s="613"/>
    </row>
    <row r="46" spans="1:41" ht="14.1" customHeight="1">
      <c r="A46" s="606">
        <v>0.75</v>
      </c>
      <c r="B46" s="607">
        <v>352</v>
      </c>
      <c r="C46" s="607">
        <v>355</v>
      </c>
      <c r="D46" s="607">
        <v>357</v>
      </c>
      <c r="E46" s="607">
        <v>358</v>
      </c>
      <c r="F46" s="607">
        <v>359</v>
      </c>
      <c r="G46" s="607">
        <v>360</v>
      </c>
      <c r="H46" s="607">
        <v>361</v>
      </c>
      <c r="I46" s="607">
        <v>363</v>
      </c>
      <c r="J46" s="607">
        <v>364</v>
      </c>
      <c r="K46" s="607">
        <v>366</v>
      </c>
      <c r="L46" s="607">
        <v>368</v>
      </c>
      <c r="M46" s="608">
        <v>369</v>
      </c>
      <c r="N46" s="606">
        <v>0.84999999999999898</v>
      </c>
      <c r="O46" s="607">
        <v>402</v>
      </c>
      <c r="P46" s="607">
        <v>403</v>
      </c>
      <c r="Q46" s="607">
        <v>404</v>
      </c>
      <c r="R46" s="607">
        <v>405</v>
      </c>
      <c r="S46" s="607">
        <v>406</v>
      </c>
      <c r="T46" s="607">
        <v>407</v>
      </c>
      <c r="U46" s="607">
        <v>409</v>
      </c>
      <c r="V46" s="607">
        <v>410</v>
      </c>
      <c r="W46" s="607">
        <v>411</v>
      </c>
      <c r="X46" s="607">
        <v>413</v>
      </c>
      <c r="Y46" s="607">
        <v>414</v>
      </c>
      <c r="Z46" s="607">
        <v>416</v>
      </c>
      <c r="AA46" s="608">
        <v>417</v>
      </c>
      <c r="AB46" s="613"/>
      <c r="AC46" s="613"/>
      <c r="AD46" s="613"/>
      <c r="AE46" s="613"/>
      <c r="AF46" s="613"/>
      <c r="AG46" s="613"/>
      <c r="AH46" s="613"/>
      <c r="AI46" s="613"/>
      <c r="AJ46" s="613"/>
      <c r="AK46" s="613"/>
      <c r="AL46" s="613"/>
      <c r="AM46" s="613"/>
      <c r="AN46" s="613"/>
      <c r="AO46" s="613"/>
    </row>
    <row r="47" spans="1:41" ht="14.1" customHeight="1">
      <c r="A47" s="606">
        <v>0.77500000000000002</v>
      </c>
      <c r="B47" s="607">
        <v>361</v>
      </c>
      <c r="C47" s="607">
        <v>365</v>
      </c>
      <c r="D47" s="607">
        <v>367</v>
      </c>
      <c r="E47" s="607">
        <v>368</v>
      </c>
      <c r="F47" s="607">
        <v>369</v>
      </c>
      <c r="G47" s="607">
        <v>370</v>
      </c>
      <c r="H47" s="607">
        <v>371</v>
      </c>
      <c r="I47" s="607">
        <v>372</v>
      </c>
      <c r="J47" s="607">
        <v>374</v>
      </c>
      <c r="K47" s="607">
        <v>375</v>
      </c>
      <c r="L47" s="607">
        <v>377</v>
      </c>
      <c r="M47" s="608">
        <v>379</v>
      </c>
      <c r="N47" s="606">
        <v>0.874999999999999</v>
      </c>
      <c r="O47" s="607">
        <v>410</v>
      </c>
      <c r="P47" s="607">
        <v>411</v>
      </c>
      <c r="Q47" s="607">
        <v>412</v>
      </c>
      <c r="R47" s="607">
        <v>413</v>
      </c>
      <c r="S47" s="607">
        <v>415</v>
      </c>
      <c r="T47" s="607">
        <v>416</v>
      </c>
      <c r="U47" s="607">
        <v>417</v>
      </c>
      <c r="V47" s="607">
        <v>418</v>
      </c>
      <c r="W47" s="607">
        <v>420</v>
      </c>
      <c r="X47" s="607">
        <v>421</v>
      </c>
      <c r="Y47" s="607">
        <v>423</v>
      </c>
      <c r="Z47" s="607">
        <v>424</v>
      </c>
      <c r="AA47" s="608">
        <v>425</v>
      </c>
      <c r="AB47" s="613"/>
      <c r="AC47" s="613"/>
      <c r="AD47" s="613"/>
      <c r="AE47" s="613"/>
      <c r="AF47" s="613"/>
      <c r="AG47" s="613"/>
      <c r="AH47" s="613"/>
      <c r="AI47" s="613"/>
      <c r="AJ47" s="613"/>
      <c r="AK47" s="613"/>
      <c r="AL47" s="613"/>
      <c r="AM47" s="613"/>
      <c r="AN47" s="613"/>
      <c r="AO47" s="613"/>
    </row>
    <row r="48" spans="1:41" ht="14.1" customHeight="1">
      <c r="A48" s="609">
        <v>0.8</v>
      </c>
      <c r="B48" s="610">
        <v>369</v>
      </c>
      <c r="C48" s="610">
        <v>374</v>
      </c>
      <c r="D48" s="610">
        <v>376</v>
      </c>
      <c r="E48" s="610">
        <v>377</v>
      </c>
      <c r="F48" s="610">
        <v>378</v>
      </c>
      <c r="G48" s="610">
        <v>379</v>
      </c>
      <c r="H48" s="610">
        <v>380</v>
      </c>
      <c r="I48" s="610">
        <v>382</v>
      </c>
      <c r="J48" s="610">
        <v>383</v>
      </c>
      <c r="K48" s="610">
        <v>385</v>
      </c>
      <c r="L48" s="610">
        <v>387</v>
      </c>
      <c r="M48" s="611">
        <v>389</v>
      </c>
      <c r="N48" s="609">
        <v>0.9</v>
      </c>
      <c r="O48" s="610">
        <v>419</v>
      </c>
      <c r="P48" s="610">
        <v>420</v>
      </c>
      <c r="Q48" s="610">
        <v>421</v>
      </c>
      <c r="R48" s="610">
        <v>422</v>
      </c>
      <c r="S48" s="610">
        <v>423</v>
      </c>
      <c r="T48" s="610">
        <v>424</v>
      </c>
      <c r="U48" s="610">
        <v>425</v>
      </c>
      <c r="V48" s="610">
        <v>427</v>
      </c>
      <c r="W48" s="610">
        <v>428</v>
      </c>
      <c r="X48" s="610">
        <v>429</v>
      </c>
      <c r="Y48" s="610">
        <v>431</v>
      </c>
      <c r="Z48" s="610">
        <v>432</v>
      </c>
      <c r="AA48" s="611">
        <v>434</v>
      </c>
      <c r="AB48" s="613"/>
      <c r="AC48" s="613"/>
      <c r="AD48" s="613"/>
      <c r="AE48" s="613"/>
      <c r="AF48" s="613"/>
      <c r="AG48" s="613"/>
      <c r="AH48" s="613"/>
      <c r="AI48" s="613"/>
      <c r="AJ48" s="613"/>
      <c r="AK48" s="613"/>
      <c r="AL48" s="613"/>
      <c r="AM48" s="613"/>
      <c r="AN48" s="613"/>
      <c r="AO48" s="613"/>
    </row>
    <row r="50" spans="1:26" ht="14.1" customHeight="1">
      <c r="A50" s="604" t="s">
        <v>615</v>
      </c>
    </row>
    <row r="51" spans="1:26" ht="14.1" customHeight="1">
      <c r="A51" s="605"/>
      <c r="B51" s="690" t="s">
        <v>230</v>
      </c>
      <c r="C51" s="690"/>
      <c r="D51" s="690"/>
      <c r="E51" s="690"/>
      <c r="F51" s="690"/>
      <c r="G51" s="690"/>
      <c r="H51" s="690"/>
      <c r="I51" s="690"/>
      <c r="J51" s="690"/>
      <c r="K51" s="690"/>
      <c r="L51" s="690"/>
      <c r="M51" s="690"/>
      <c r="N51" s="690"/>
      <c r="O51" s="690"/>
      <c r="P51" s="690"/>
      <c r="Q51" s="690"/>
      <c r="R51" s="690"/>
      <c r="S51" s="690"/>
      <c r="T51" s="690"/>
      <c r="U51" s="690"/>
      <c r="V51" s="690"/>
      <c r="W51" s="690"/>
      <c r="X51" s="690"/>
      <c r="Y51" s="690"/>
      <c r="Z51" s="690"/>
    </row>
    <row r="52" spans="1:26" ht="14.1" customHeight="1">
      <c r="A52" s="606" t="s">
        <v>584</v>
      </c>
      <c r="B52" s="607">
        <v>25</v>
      </c>
      <c r="C52" s="607">
        <v>26</v>
      </c>
      <c r="D52" s="607">
        <v>27</v>
      </c>
      <c r="E52" s="607">
        <v>28</v>
      </c>
      <c r="F52" s="607">
        <v>29</v>
      </c>
      <c r="G52" s="607">
        <v>30</v>
      </c>
      <c r="H52" s="607">
        <v>31</v>
      </c>
      <c r="I52" s="607">
        <v>32</v>
      </c>
      <c r="J52" s="607">
        <v>33</v>
      </c>
      <c r="K52" s="607">
        <v>34</v>
      </c>
      <c r="L52" s="607">
        <v>35</v>
      </c>
      <c r="M52" s="607">
        <v>36</v>
      </c>
      <c r="N52" s="607">
        <v>37</v>
      </c>
      <c r="O52" s="614">
        <v>38</v>
      </c>
      <c r="P52" s="614">
        <v>39</v>
      </c>
      <c r="Q52" s="614">
        <v>40</v>
      </c>
      <c r="R52" s="614">
        <v>41</v>
      </c>
      <c r="S52" s="614">
        <v>42</v>
      </c>
      <c r="T52" s="614">
        <v>43</v>
      </c>
      <c r="U52" s="614">
        <v>44</v>
      </c>
      <c r="V52" s="614">
        <v>45</v>
      </c>
      <c r="W52" s="614">
        <v>46</v>
      </c>
      <c r="X52" s="614">
        <v>47</v>
      </c>
      <c r="Y52" s="614">
        <v>48</v>
      </c>
      <c r="Z52" s="614">
        <v>49</v>
      </c>
    </row>
    <row r="53" spans="1:26" ht="14.1" customHeight="1">
      <c r="A53" s="606">
        <v>0.2</v>
      </c>
      <c r="B53" s="607">
        <v>120</v>
      </c>
      <c r="C53" s="607">
        <v>125</v>
      </c>
      <c r="D53" s="607">
        <v>133</v>
      </c>
      <c r="E53" s="607">
        <v>138</v>
      </c>
      <c r="F53" s="607">
        <v>143</v>
      </c>
      <c r="G53" s="607">
        <v>148</v>
      </c>
      <c r="H53" s="607">
        <v>156</v>
      </c>
      <c r="I53" s="607">
        <v>160</v>
      </c>
      <c r="J53" s="607">
        <v>165</v>
      </c>
      <c r="K53" s="607">
        <v>169</v>
      </c>
      <c r="L53" s="607">
        <v>177</v>
      </c>
      <c r="M53" s="607">
        <v>181</v>
      </c>
      <c r="N53" s="607">
        <v>185</v>
      </c>
      <c r="O53" s="614">
        <v>188</v>
      </c>
      <c r="P53" s="614">
        <v>195</v>
      </c>
      <c r="Q53" s="614">
        <v>198</v>
      </c>
      <c r="R53" s="614">
        <v>200</v>
      </c>
      <c r="S53" s="614">
        <v>203</v>
      </c>
      <c r="T53" s="614">
        <v>208</v>
      </c>
      <c r="U53" s="614">
        <v>216</v>
      </c>
      <c r="V53" s="614">
        <v>219</v>
      </c>
      <c r="W53" s="614">
        <v>222</v>
      </c>
      <c r="X53" s="614">
        <v>225</v>
      </c>
      <c r="Y53" s="614">
        <v>231</v>
      </c>
      <c r="Z53" s="614">
        <v>234</v>
      </c>
    </row>
    <row r="54" spans="1:26" ht="14.1" customHeight="1">
      <c r="A54" s="606">
        <v>0.25</v>
      </c>
      <c r="B54" s="607">
        <v>143</v>
      </c>
      <c r="C54" s="607">
        <v>148</v>
      </c>
      <c r="D54" s="607">
        <v>155</v>
      </c>
      <c r="E54" s="607">
        <v>160</v>
      </c>
      <c r="F54" s="607">
        <v>165</v>
      </c>
      <c r="G54" s="607">
        <v>169</v>
      </c>
      <c r="H54" s="607">
        <v>176</v>
      </c>
      <c r="I54" s="607">
        <v>181</v>
      </c>
      <c r="J54" s="607">
        <v>185</v>
      </c>
      <c r="K54" s="607">
        <v>189</v>
      </c>
      <c r="L54" s="607">
        <v>196</v>
      </c>
      <c r="M54" s="607">
        <v>200</v>
      </c>
      <c r="N54" s="607">
        <v>204</v>
      </c>
      <c r="O54" s="614">
        <v>207</v>
      </c>
      <c r="P54" s="614">
        <v>213</v>
      </c>
      <c r="Q54" s="614">
        <v>216</v>
      </c>
      <c r="R54" s="614">
        <v>219</v>
      </c>
      <c r="S54" s="614">
        <v>221</v>
      </c>
      <c r="T54" s="614">
        <v>226</v>
      </c>
      <c r="U54" s="614">
        <v>233</v>
      </c>
      <c r="V54" s="614">
        <v>236</v>
      </c>
      <c r="W54" s="614">
        <v>239</v>
      </c>
      <c r="X54" s="614">
        <v>241</v>
      </c>
      <c r="Y54" s="614">
        <v>247</v>
      </c>
      <c r="Z54" s="614">
        <v>250</v>
      </c>
    </row>
    <row r="55" spans="1:26" ht="14.1" customHeight="1">
      <c r="A55" s="606">
        <v>0.3</v>
      </c>
      <c r="B55" s="607">
        <v>166</v>
      </c>
      <c r="C55" s="607">
        <v>171</v>
      </c>
      <c r="D55" s="607">
        <v>177</v>
      </c>
      <c r="E55" s="607">
        <v>182</v>
      </c>
      <c r="F55" s="607">
        <v>187</v>
      </c>
      <c r="G55" s="607">
        <v>191</v>
      </c>
      <c r="H55" s="607">
        <v>197</v>
      </c>
      <c r="I55" s="607">
        <v>202</v>
      </c>
      <c r="J55" s="607">
        <v>206</v>
      </c>
      <c r="K55" s="607">
        <v>210</v>
      </c>
      <c r="L55" s="607">
        <v>216</v>
      </c>
      <c r="M55" s="607">
        <v>220</v>
      </c>
      <c r="N55" s="607">
        <v>223</v>
      </c>
      <c r="O55" s="614">
        <v>226</v>
      </c>
      <c r="P55" s="614">
        <v>232</v>
      </c>
      <c r="Q55" s="614">
        <v>235</v>
      </c>
      <c r="R55" s="614">
        <v>237</v>
      </c>
      <c r="S55" s="614">
        <v>239</v>
      </c>
      <c r="T55" s="614">
        <v>244</v>
      </c>
      <c r="U55" s="614">
        <v>250</v>
      </c>
      <c r="V55" s="614">
        <v>253</v>
      </c>
      <c r="W55" s="614">
        <v>256</v>
      </c>
      <c r="X55" s="614">
        <v>258</v>
      </c>
      <c r="Y55" s="614">
        <v>264</v>
      </c>
      <c r="Z55" s="614">
        <v>266</v>
      </c>
    </row>
    <row r="56" spans="1:26" ht="14.1" customHeight="1">
      <c r="A56" s="606">
        <v>0.35</v>
      </c>
      <c r="B56" s="607">
        <v>189</v>
      </c>
      <c r="C56" s="607">
        <v>195</v>
      </c>
      <c r="D56" s="607">
        <v>200</v>
      </c>
      <c r="E56" s="607">
        <v>204</v>
      </c>
      <c r="F56" s="607">
        <v>209</v>
      </c>
      <c r="G56" s="607">
        <v>213</v>
      </c>
      <c r="H56" s="607">
        <v>218</v>
      </c>
      <c r="I56" s="607">
        <v>222</v>
      </c>
      <c r="J56" s="607">
        <v>226</v>
      </c>
      <c r="K56" s="607">
        <v>230</v>
      </c>
      <c r="L56" s="607">
        <v>236</v>
      </c>
      <c r="M56" s="607">
        <v>239</v>
      </c>
      <c r="N56" s="607">
        <v>243</v>
      </c>
      <c r="O56" s="614">
        <v>246</v>
      </c>
      <c r="P56" s="614">
        <v>250</v>
      </c>
      <c r="Q56" s="614">
        <v>253</v>
      </c>
      <c r="R56" s="614">
        <v>255</v>
      </c>
      <c r="S56" s="614">
        <v>257</v>
      </c>
      <c r="T56" s="614">
        <v>262</v>
      </c>
      <c r="U56" s="614">
        <v>267</v>
      </c>
      <c r="V56" s="614">
        <v>270</v>
      </c>
      <c r="W56" s="614">
        <v>273</v>
      </c>
      <c r="X56" s="614">
        <v>275</v>
      </c>
      <c r="Y56" s="614">
        <v>280</v>
      </c>
      <c r="Z56" s="614">
        <v>282</v>
      </c>
    </row>
    <row r="57" spans="1:26" ht="14.1" customHeight="1">
      <c r="A57" s="606">
        <v>0.4</v>
      </c>
      <c r="B57" s="607">
        <v>212</v>
      </c>
      <c r="C57" s="607">
        <v>217</v>
      </c>
      <c r="D57" s="607">
        <v>222</v>
      </c>
      <c r="E57" s="607">
        <v>226</v>
      </c>
      <c r="F57" s="607">
        <v>231</v>
      </c>
      <c r="G57" s="607">
        <v>235</v>
      </c>
      <c r="H57" s="607">
        <v>239</v>
      </c>
      <c r="I57" s="607">
        <v>243</v>
      </c>
      <c r="J57" s="607">
        <v>247</v>
      </c>
      <c r="K57" s="607">
        <v>251</v>
      </c>
      <c r="L57" s="607">
        <v>255</v>
      </c>
      <c r="M57" s="607">
        <v>258</v>
      </c>
      <c r="N57" s="607">
        <v>262</v>
      </c>
      <c r="O57" s="614">
        <v>265</v>
      </c>
      <c r="P57" s="614">
        <v>269</v>
      </c>
      <c r="Q57" s="614">
        <v>271</v>
      </c>
      <c r="R57" s="614">
        <v>273</v>
      </c>
      <c r="S57" s="614">
        <v>275</v>
      </c>
      <c r="T57" s="614">
        <v>280</v>
      </c>
      <c r="U57" s="614">
        <v>285</v>
      </c>
      <c r="V57" s="614">
        <v>287</v>
      </c>
      <c r="W57" s="614">
        <v>290</v>
      </c>
      <c r="X57" s="614">
        <v>292</v>
      </c>
      <c r="Y57" s="614">
        <v>296</v>
      </c>
      <c r="Z57" s="614">
        <v>298</v>
      </c>
    </row>
    <row r="58" spans="1:26" ht="14.1" customHeight="1">
      <c r="A58" s="606">
        <v>0.45</v>
      </c>
      <c r="B58" s="607">
        <v>234</v>
      </c>
      <c r="C58" s="607">
        <v>239</v>
      </c>
      <c r="D58" s="607">
        <v>244</v>
      </c>
      <c r="E58" s="607">
        <v>248</v>
      </c>
      <c r="F58" s="607">
        <v>252</v>
      </c>
      <c r="G58" s="607">
        <v>256</v>
      </c>
      <c r="H58" s="607">
        <v>260</v>
      </c>
      <c r="I58" s="607">
        <v>264</v>
      </c>
      <c r="J58" s="607">
        <v>268</v>
      </c>
      <c r="K58" s="607">
        <v>271</v>
      </c>
      <c r="L58" s="607">
        <v>275</v>
      </c>
      <c r="M58" s="607">
        <v>278</v>
      </c>
      <c r="N58" s="607">
        <v>281</v>
      </c>
      <c r="O58" s="614">
        <v>284</v>
      </c>
      <c r="P58" s="614">
        <v>287</v>
      </c>
      <c r="Q58" s="614">
        <v>290</v>
      </c>
      <c r="R58" s="614">
        <v>292</v>
      </c>
      <c r="S58" s="614">
        <v>294</v>
      </c>
      <c r="T58" s="614">
        <v>298</v>
      </c>
      <c r="U58" s="614">
        <v>302</v>
      </c>
      <c r="V58" s="614">
        <v>304</v>
      </c>
      <c r="W58" s="614">
        <v>307</v>
      </c>
      <c r="X58" s="614">
        <v>309</v>
      </c>
      <c r="Y58" s="614">
        <v>313</v>
      </c>
      <c r="Z58" s="614">
        <v>315</v>
      </c>
    </row>
    <row r="59" spans="1:26" ht="14.1" customHeight="1">
      <c r="A59" s="606">
        <v>0.5</v>
      </c>
      <c r="B59" s="607">
        <v>256</v>
      </c>
      <c r="C59" s="607">
        <v>261</v>
      </c>
      <c r="D59" s="607">
        <v>265</v>
      </c>
      <c r="E59" s="607">
        <v>269</v>
      </c>
      <c r="F59" s="607">
        <v>273</v>
      </c>
      <c r="G59" s="607">
        <v>277</v>
      </c>
      <c r="H59" s="607">
        <v>280</v>
      </c>
      <c r="I59" s="607">
        <v>284</v>
      </c>
      <c r="J59" s="607">
        <v>288</v>
      </c>
      <c r="K59" s="607">
        <v>291</v>
      </c>
      <c r="L59" s="607">
        <v>294</v>
      </c>
      <c r="M59" s="607">
        <v>297</v>
      </c>
      <c r="N59" s="607">
        <v>300</v>
      </c>
      <c r="O59" s="614">
        <v>303</v>
      </c>
      <c r="P59" s="614">
        <v>306</v>
      </c>
      <c r="Q59" s="614">
        <v>308</v>
      </c>
      <c r="R59" s="614">
        <v>310</v>
      </c>
      <c r="S59" s="614">
        <v>312</v>
      </c>
      <c r="T59" s="614">
        <v>316</v>
      </c>
      <c r="U59" s="614">
        <v>319</v>
      </c>
      <c r="V59" s="614">
        <v>321</v>
      </c>
      <c r="W59" s="614">
        <v>324</v>
      </c>
      <c r="X59" s="614">
        <v>326</v>
      </c>
      <c r="Y59" s="614">
        <v>329</v>
      </c>
      <c r="Z59" s="614">
        <v>331</v>
      </c>
    </row>
    <row r="60" spans="1:26" ht="14.1" customHeight="1">
      <c r="A60" s="606">
        <v>0.55000000000000004</v>
      </c>
      <c r="B60" s="607">
        <v>278</v>
      </c>
      <c r="C60" s="607">
        <v>282</v>
      </c>
      <c r="D60" s="607">
        <v>286</v>
      </c>
      <c r="E60" s="607">
        <v>290</v>
      </c>
      <c r="F60" s="607">
        <v>293</v>
      </c>
      <c r="G60" s="607">
        <v>297</v>
      </c>
      <c r="H60" s="607">
        <v>300</v>
      </c>
      <c r="I60" s="607">
        <v>304</v>
      </c>
      <c r="J60" s="607">
        <v>307</v>
      </c>
      <c r="K60" s="607">
        <v>310</v>
      </c>
      <c r="L60" s="607">
        <v>313</v>
      </c>
      <c r="M60" s="607">
        <v>316</v>
      </c>
      <c r="N60" s="607">
        <v>319</v>
      </c>
      <c r="O60" s="614">
        <v>322</v>
      </c>
      <c r="P60" s="614">
        <v>324</v>
      </c>
      <c r="Q60" s="614">
        <v>326</v>
      </c>
      <c r="R60" s="614">
        <v>328</v>
      </c>
      <c r="S60" s="614">
        <v>330</v>
      </c>
      <c r="T60" s="614">
        <v>334</v>
      </c>
      <c r="U60" s="614">
        <v>336</v>
      </c>
      <c r="V60" s="614">
        <v>339</v>
      </c>
      <c r="W60" s="614">
        <v>341</v>
      </c>
      <c r="X60" s="614">
        <v>343</v>
      </c>
      <c r="Y60" s="614">
        <v>345</v>
      </c>
      <c r="Z60" s="614">
        <v>347</v>
      </c>
    </row>
    <row r="61" spans="1:26" ht="14.1" customHeight="1">
      <c r="A61" s="606">
        <v>0.6</v>
      </c>
      <c r="B61" s="607">
        <v>300</v>
      </c>
      <c r="C61" s="607">
        <v>303</v>
      </c>
      <c r="D61" s="607">
        <v>307</v>
      </c>
      <c r="E61" s="607">
        <v>310</v>
      </c>
      <c r="F61" s="607">
        <v>313</v>
      </c>
      <c r="G61" s="607">
        <v>317</v>
      </c>
      <c r="H61" s="607">
        <v>320</v>
      </c>
      <c r="I61" s="607">
        <v>323</v>
      </c>
      <c r="J61" s="607">
        <v>326</v>
      </c>
      <c r="K61" s="607">
        <v>329</v>
      </c>
      <c r="L61" s="607">
        <v>332</v>
      </c>
      <c r="M61" s="607">
        <v>335</v>
      </c>
      <c r="N61" s="607">
        <v>337</v>
      </c>
      <c r="O61" s="614">
        <v>340</v>
      </c>
      <c r="P61" s="614">
        <v>342</v>
      </c>
      <c r="Q61" s="614">
        <v>344</v>
      </c>
      <c r="R61" s="614">
        <v>346</v>
      </c>
      <c r="S61" s="614">
        <v>348</v>
      </c>
      <c r="T61" s="614">
        <v>351</v>
      </c>
      <c r="U61" s="614">
        <v>354</v>
      </c>
      <c r="V61" s="614">
        <v>356</v>
      </c>
      <c r="W61" s="614">
        <v>358</v>
      </c>
      <c r="X61" s="614">
        <v>360</v>
      </c>
      <c r="Y61" s="614">
        <v>362</v>
      </c>
      <c r="Z61" s="614">
        <v>363</v>
      </c>
    </row>
    <row r="62" spans="1:26" ht="14.1" customHeight="1">
      <c r="A62" s="606">
        <v>0.65</v>
      </c>
      <c r="B62" s="607">
        <v>321</v>
      </c>
      <c r="C62" s="607">
        <v>324</v>
      </c>
      <c r="D62" s="607">
        <v>327</v>
      </c>
      <c r="E62" s="607">
        <v>330</v>
      </c>
      <c r="F62" s="607">
        <v>333</v>
      </c>
      <c r="G62" s="607">
        <v>336</v>
      </c>
      <c r="H62" s="607">
        <v>339</v>
      </c>
      <c r="I62" s="607">
        <v>342</v>
      </c>
      <c r="J62" s="607">
        <v>345</v>
      </c>
      <c r="K62" s="607">
        <v>347</v>
      </c>
      <c r="L62" s="607">
        <v>350</v>
      </c>
      <c r="M62" s="607">
        <v>353</v>
      </c>
      <c r="N62" s="607">
        <v>355</v>
      </c>
      <c r="O62" s="614">
        <v>358</v>
      </c>
      <c r="P62" s="614">
        <v>360</v>
      </c>
      <c r="Q62" s="614">
        <v>362</v>
      </c>
      <c r="R62" s="614">
        <v>363</v>
      </c>
      <c r="S62" s="614">
        <v>365</v>
      </c>
      <c r="T62" s="614">
        <v>368</v>
      </c>
      <c r="U62" s="614">
        <v>370</v>
      </c>
      <c r="V62" s="614">
        <v>372</v>
      </c>
      <c r="W62" s="614">
        <v>374</v>
      </c>
      <c r="X62" s="614">
        <v>376</v>
      </c>
      <c r="Y62" s="614">
        <v>378</v>
      </c>
      <c r="Z62" s="614">
        <v>380</v>
      </c>
    </row>
    <row r="63" spans="1:26" ht="14.1" customHeight="1">
      <c r="A63" s="606">
        <v>0.7</v>
      </c>
      <c r="B63" s="607">
        <v>341</v>
      </c>
      <c r="C63" s="607">
        <v>344</v>
      </c>
      <c r="D63" s="607">
        <v>347</v>
      </c>
      <c r="E63" s="607">
        <v>350</v>
      </c>
      <c r="F63" s="607">
        <v>352</v>
      </c>
      <c r="G63" s="607">
        <v>355</v>
      </c>
      <c r="H63" s="607">
        <v>358</v>
      </c>
      <c r="I63" s="607">
        <v>361</v>
      </c>
      <c r="J63" s="607">
        <v>363</v>
      </c>
      <c r="K63" s="607">
        <v>366</v>
      </c>
      <c r="L63" s="607">
        <v>368</v>
      </c>
      <c r="M63" s="607">
        <v>370</v>
      </c>
      <c r="N63" s="607">
        <v>373</v>
      </c>
      <c r="O63" s="614">
        <v>375</v>
      </c>
      <c r="P63" s="614">
        <v>377</v>
      </c>
      <c r="Q63" s="614">
        <v>379</v>
      </c>
      <c r="R63" s="614">
        <v>380</v>
      </c>
      <c r="S63" s="614">
        <v>382</v>
      </c>
      <c r="T63" s="614">
        <v>385</v>
      </c>
      <c r="U63" s="614">
        <v>387</v>
      </c>
      <c r="V63" s="614">
        <v>389</v>
      </c>
      <c r="W63" s="614">
        <v>390</v>
      </c>
      <c r="X63" s="614">
        <v>392</v>
      </c>
      <c r="Y63" s="614">
        <v>394</v>
      </c>
      <c r="Z63" s="614">
        <v>395</v>
      </c>
    </row>
    <row r="64" spans="1:26" ht="14.1" customHeight="1">
      <c r="A64" s="606">
        <v>0.75</v>
      </c>
      <c r="B64" s="607">
        <v>360</v>
      </c>
      <c r="C64" s="607">
        <v>363</v>
      </c>
      <c r="D64" s="607">
        <v>366</v>
      </c>
      <c r="E64" s="607">
        <v>369</v>
      </c>
      <c r="F64" s="607">
        <v>370</v>
      </c>
      <c r="G64" s="607">
        <v>374</v>
      </c>
      <c r="H64" s="607">
        <v>376</v>
      </c>
      <c r="I64" s="607">
        <v>379</v>
      </c>
      <c r="J64" s="607">
        <v>381</v>
      </c>
      <c r="K64" s="607">
        <v>383</v>
      </c>
      <c r="L64" s="607">
        <v>386</v>
      </c>
      <c r="M64" s="607">
        <v>388</v>
      </c>
      <c r="N64" s="607">
        <v>390</v>
      </c>
      <c r="O64" s="614">
        <v>392</v>
      </c>
      <c r="P64" s="614">
        <v>394</v>
      </c>
      <c r="Q64" s="614">
        <v>395</v>
      </c>
      <c r="R64" s="614">
        <v>397</v>
      </c>
      <c r="S64" s="614">
        <v>398</v>
      </c>
      <c r="T64" s="614">
        <v>401</v>
      </c>
      <c r="U64" s="614">
        <v>403</v>
      </c>
      <c r="V64" s="614">
        <v>404</v>
      </c>
      <c r="W64" s="614">
        <v>406</v>
      </c>
      <c r="X64" s="614">
        <v>408</v>
      </c>
      <c r="Y64" s="614">
        <v>409</v>
      </c>
      <c r="Z64" s="614">
        <v>411</v>
      </c>
    </row>
    <row r="65" spans="1:26" ht="14.1" customHeight="1">
      <c r="A65" s="606">
        <v>0.8</v>
      </c>
      <c r="B65" s="607">
        <v>379</v>
      </c>
      <c r="C65" s="607">
        <v>382</v>
      </c>
      <c r="D65" s="607">
        <v>385</v>
      </c>
      <c r="E65" s="607">
        <v>387</v>
      </c>
      <c r="F65" s="607">
        <v>389</v>
      </c>
      <c r="G65" s="607">
        <v>392</v>
      </c>
      <c r="H65" s="607">
        <v>394</v>
      </c>
      <c r="I65" s="607">
        <v>396</v>
      </c>
      <c r="J65" s="607">
        <v>398</v>
      </c>
      <c r="K65" s="607">
        <v>401</v>
      </c>
      <c r="L65" s="607">
        <v>403</v>
      </c>
      <c r="M65" s="607">
        <v>405</v>
      </c>
      <c r="N65" s="607">
        <v>407</v>
      </c>
      <c r="O65" s="614">
        <v>408</v>
      </c>
      <c r="P65" s="614">
        <v>410</v>
      </c>
      <c r="Q65" s="614">
        <v>412</v>
      </c>
      <c r="R65" s="614">
        <v>413</v>
      </c>
      <c r="S65" s="614">
        <v>414</v>
      </c>
      <c r="T65" s="614">
        <v>417</v>
      </c>
      <c r="U65" s="614">
        <v>418</v>
      </c>
      <c r="V65" s="614">
        <v>420</v>
      </c>
      <c r="W65" s="614">
        <v>421</v>
      </c>
      <c r="X65" s="614">
        <v>423</v>
      </c>
      <c r="Y65" s="614">
        <v>424</v>
      </c>
      <c r="Z65" s="614">
        <v>426</v>
      </c>
    </row>
    <row r="66" spans="1:26" ht="14.1" customHeight="1">
      <c r="A66" s="606">
        <v>0.85</v>
      </c>
      <c r="B66" s="607">
        <v>398</v>
      </c>
      <c r="C66" s="607">
        <v>400</v>
      </c>
      <c r="D66" s="607">
        <v>403</v>
      </c>
      <c r="E66" s="607">
        <v>405</v>
      </c>
      <c r="F66" s="607">
        <v>407</v>
      </c>
      <c r="G66" s="607">
        <v>409</v>
      </c>
      <c r="H66" s="607">
        <v>411</v>
      </c>
      <c r="I66" s="607">
        <v>413</v>
      </c>
      <c r="J66" s="607">
        <v>415</v>
      </c>
      <c r="K66" s="607">
        <v>417</v>
      </c>
      <c r="L66" s="607">
        <v>419</v>
      </c>
      <c r="M66" s="607">
        <v>421</v>
      </c>
      <c r="N66" s="607">
        <v>423</v>
      </c>
      <c r="O66" s="614">
        <v>425</v>
      </c>
      <c r="P66" s="614">
        <v>426</v>
      </c>
      <c r="Q66" s="614">
        <v>427</v>
      </c>
      <c r="R66" s="614">
        <v>429</v>
      </c>
      <c r="S66" s="614">
        <v>430</v>
      </c>
      <c r="T66" s="614">
        <v>432</v>
      </c>
      <c r="U66" s="614">
        <v>434</v>
      </c>
      <c r="V66" s="614">
        <v>435</v>
      </c>
      <c r="W66" s="614">
        <v>436</v>
      </c>
      <c r="X66" s="614">
        <v>438</v>
      </c>
      <c r="Y66" s="614">
        <v>439</v>
      </c>
      <c r="Z66" s="614">
        <v>440</v>
      </c>
    </row>
    <row r="67" spans="1:26" ht="14.1" customHeight="1">
      <c r="A67" s="606">
        <v>0.9</v>
      </c>
      <c r="B67" s="607">
        <v>415</v>
      </c>
      <c r="C67" s="607">
        <v>418</v>
      </c>
      <c r="D67" s="607">
        <v>420</v>
      </c>
      <c r="E67" s="607">
        <v>422</v>
      </c>
      <c r="F67" s="607">
        <v>424</v>
      </c>
      <c r="G67" s="607">
        <v>46</v>
      </c>
      <c r="H67" s="607">
        <v>428</v>
      </c>
      <c r="I67" s="607">
        <v>430</v>
      </c>
      <c r="J67" s="607">
        <v>432</v>
      </c>
      <c r="K67" s="607">
        <v>434</v>
      </c>
      <c r="L67" s="607">
        <v>435</v>
      </c>
      <c r="M67" s="607">
        <v>437</v>
      </c>
      <c r="N67" s="607">
        <v>439</v>
      </c>
      <c r="O67" s="614">
        <v>440</v>
      </c>
      <c r="P67" s="614">
        <v>442</v>
      </c>
      <c r="Q67" s="614">
        <v>443</v>
      </c>
      <c r="R67" s="614">
        <v>444</v>
      </c>
      <c r="S67" s="614">
        <v>445</v>
      </c>
      <c r="T67" s="614">
        <v>447</v>
      </c>
      <c r="U67" s="614">
        <v>449</v>
      </c>
      <c r="V67" s="614">
        <v>450</v>
      </c>
      <c r="W67" s="614">
        <v>451</v>
      </c>
      <c r="X67" s="614">
        <v>452</v>
      </c>
      <c r="Y67" s="614">
        <v>454</v>
      </c>
      <c r="Z67" s="614">
        <v>455</v>
      </c>
    </row>
    <row r="68" spans="1:26" ht="14.1" customHeight="1">
      <c r="A68" s="606">
        <v>0.95</v>
      </c>
      <c r="B68" s="607">
        <v>432</v>
      </c>
      <c r="C68" s="607">
        <v>435</v>
      </c>
      <c r="D68" s="607">
        <v>437</v>
      </c>
      <c r="E68" s="607">
        <v>438</v>
      </c>
      <c r="F68" s="607">
        <v>440</v>
      </c>
      <c r="G68" s="607">
        <v>442</v>
      </c>
      <c r="H68" s="607">
        <v>444</v>
      </c>
      <c r="I68" s="607">
        <v>446</v>
      </c>
      <c r="J68" s="607">
        <v>448</v>
      </c>
      <c r="K68" s="607">
        <v>449</v>
      </c>
      <c r="L68" s="607">
        <v>451</v>
      </c>
      <c r="M68" s="607">
        <v>453</v>
      </c>
      <c r="N68" s="607">
        <v>454</v>
      </c>
      <c r="O68" s="614">
        <v>455</v>
      </c>
      <c r="P68" s="614">
        <v>457</v>
      </c>
      <c r="Q68" s="614">
        <v>458</v>
      </c>
      <c r="R68" s="614">
        <v>459</v>
      </c>
      <c r="S68" s="614">
        <v>460</v>
      </c>
      <c r="T68" s="614">
        <v>462</v>
      </c>
      <c r="U68" s="614">
        <v>463</v>
      </c>
      <c r="V68" s="614">
        <v>464</v>
      </c>
      <c r="W68" s="614">
        <v>465</v>
      </c>
      <c r="X68" s="614">
        <v>467</v>
      </c>
      <c r="Y68" s="614">
        <v>468</v>
      </c>
      <c r="Z68" s="614">
        <v>469</v>
      </c>
    </row>
    <row r="69" spans="1:26" ht="14.1" customHeight="1">
      <c r="A69" s="606">
        <v>1</v>
      </c>
      <c r="B69" s="607">
        <v>448</v>
      </c>
      <c r="C69" s="607">
        <v>451</v>
      </c>
      <c r="D69" s="607">
        <v>453</v>
      </c>
      <c r="E69" s="607">
        <v>454</v>
      </c>
      <c r="F69" s="607">
        <v>456</v>
      </c>
      <c r="G69" s="607">
        <v>458</v>
      </c>
      <c r="H69" s="607">
        <v>460</v>
      </c>
      <c r="I69" s="607">
        <v>461</v>
      </c>
      <c r="J69" s="607">
        <v>463</v>
      </c>
      <c r="K69" s="607">
        <v>465</v>
      </c>
      <c r="L69" s="607">
        <v>466</v>
      </c>
      <c r="M69" s="607">
        <v>467</v>
      </c>
      <c r="N69" s="607">
        <v>469</v>
      </c>
      <c r="O69" s="614">
        <v>470</v>
      </c>
      <c r="P69" s="614">
        <v>471</v>
      </c>
      <c r="Q69" s="614">
        <v>472</v>
      </c>
      <c r="R69" s="614">
        <v>474</v>
      </c>
      <c r="S69" s="614">
        <v>475</v>
      </c>
      <c r="T69" s="614">
        <v>476</v>
      </c>
      <c r="U69" s="614">
        <v>477</v>
      </c>
      <c r="V69" s="614">
        <v>478</v>
      </c>
      <c r="W69" s="614">
        <v>479</v>
      </c>
      <c r="X69" s="614">
        <v>480</v>
      </c>
      <c r="Y69" s="614">
        <v>481</v>
      </c>
      <c r="Z69" s="614">
        <v>482</v>
      </c>
    </row>
    <row r="70" spans="1:26" ht="14.1" customHeight="1">
      <c r="A70" s="613"/>
      <c r="B70" s="613"/>
      <c r="C70" s="613"/>
      <c r="D70" s="613"/>
      <c r="E70" s="613"/>
      <c r="F70" s="613"/>
      <c r="G70" s="613"/>
      <c r="H70" s="613"/>
      <c r="I70" s="613"/>
      <c r="J70" s="613"/>
      <c r="K70" s="613"/>
      <c r="L70" s="613"/>
      <c r="M70" s="613"/>
      <c r="N70" s="613"/>
      <c r="O70" s="615"/>
      <c r="P70" s="615"/>
      <c r="Q70" s="615"/>
      <c r="R70" s="615"/>
      <c r="S70" s="615"/>
      <c r="T70" s="615"/>
      <c r="U70" s="615"/>
      <c r="V70" s="615"/>
      <c r="W70" s="615"/>
      <c r="X70" s="615"/>
      <c r="Y70" s="615"/>
      <c r="Z70" s="615"/>
    </row>
    <row r="71" spans="1:26" ht="14.1" customHeight="1">
      <c r="A71" s="604" t="s">
        <v>616</v>
      </c>
      <c r="C71" s="603" t="s">
        <v>617</v>
      </c>
      <c r="N71" s="97"/>
      <c r="O71" s="97"/>
      <c r="P71" s="97"/>
      <c r="Q71" s="97"/>
      <c r="R71" s="97"/>
      <c r="S71" s="97"/>
      <c r="T71" s="604" t="s">
        <v>618</v>
      </c>
    </row>
    <row r="72" spans="1:26" ht="14.1" customHeight="1">
      <c r="A72" s="616" t="s">
        <v>228</v>
      </c>
      <c r="B72" s="617" t="s">
        <v>494</v>
      </c>
      <c r="C72" s="617" t="s">
        <v>619</v>
      </c>
      <c r="D72" s="617" t="s">
        <v>557</v>
      </c>
      <c r="E72" s="617" t="s">
        <v>70</v>
      </c>
      <c r="G72" s="616" t="s">
        <v>228</v>
      </c>
      <c r="H72" s="617" t="s">
        <v>494</v>
      </c>
      <c r="I72" s="617" t="s">
        <v>619</v>
      </c>
      <c r="J72" s="617" t="s">
        <v>557</v>
      </c>
      <c r="K72" s="617" t="s">
        <v>70</v>
      </c>
      <c r="M72" s="616" t="s">
        <v>228</v>
      </c>
      <c r="N72" s="617" t="s">
        <v>494</v>
      </c>
      <c r="O72" s="617" t="s">
        <v>619</v>
      </c>
      <c r="P72" s="617" t="s">
        <v>557</v>
      </c>
      <c r="Q72" s="617" t="s">
        <v>70</v>
      </c>
      <c r="R72" s="97"/>
      <c r="S72" s="97"/>
      <c r="T72" s="97"/>
      <c r="U72" s="691" t="s">
        <v>513</v>
      </c>
      <c r="V72" s="691"/>
      <c r="W72" s="691" t="s">
        <v>620</v>
      </c>
      <c r="X72" s="691"/>
      <c r="Y72" s="691"/>
    </row>
    <row r="73" spans="1:26" ht="14.1" customHeight="1">
      <c r="A73" s="617" t="str">
        <f>Sheet1!$P$326</f>
        <v/>
      </c>
      <c r="B73" s="617">
        <f>Sheet1!R326</f>
        <v>24</v>
      </c>
      <c r="C73" s="617">
        <f t="shared" ref="C73:C79" si="0">B73^2</f>
        <v>576</v>
      </c>
      <c r="D73" s="618" t="str">
        <f>Sheet1!W326</f>
        <v/>
      </c>
      <c r="E73" s="619" t="str">
        <f>Sheet1!X326</f>
        <v/>
      </c>
      <c r="G73" s="617" t="str">
        <f>Sheet1!$P$337</f>
        <v/>
      </c>
      <c r="H73" s="617">
        <f>Sheet1!R337</f>
        <v>28</v>
      </c>
      <c r="I73" s="617">
        <f t="shared" ref="I73:I78" si="1">H73^2</f>
        <v>784</v>
      </c>
      <c r="J73" s="618" t="str">
        <f>Sheet1!W337</f>
        <v/>
      </c>
      <c r="K73" s="619" t="str">
        <f>Sheet1!X337</f>
        <v/>
      </c>
      <c r="M73" s="617" t="str">
        <f>Sheet1!$P$347</f>
        <v/>
      </c>
      <c r="N73" s="620">
        <f>Sheet1!R347</f>
        <v>28</v>
      </c>
      <c r="O73" s="617">
        <f>N73^2</f>
        <v>784</v>
      </c>
      <c r="P73" s="620" t="str">
        <f>Sheet1!W347</f>
        <v/>
      </c>
      <c r="Q73" s="620" t="str">
        <f>Sheet1!X347</f>
        <v/>
      </c>
      <c r="R73" s="97"/>
      <c r="S73" s="97"/>
      <c r="T73" s="621" t="s">
        <v>412</v>
      </c>
      <c r="U73" s="621" t="s">
        <v>621</v>
      </c>
      <c r="V73" s="621" t="s">
        <v>622</v>
      </c>
      <c r="W73" s="621" t="s">
        <v>621</v>
      </c>
      <c r="X73" s="621" t="s">
        <v>622</v>
      </c>
      <c r="Y73" s="621" t="s">
        <v>623</v>
      </c>
    </row>
    <row r="74" spans="1:26" ht="14.1" customHeight="1">
      <c r="A74" s="616" t="s">
        <v>229</v>
      </c>
      <c r="B74" s="617">
        <f>Sheet1!R327</f>
        <v>25</v>
      </c>
      <c r="C74" s="617">
        <f t="shared" si="0"/>
        <v>625</v>
      </c>
      <c r="D74" s="618" t="str">
        <f>Sheet1!W327</f>
        <v/>
      </c>
      <c r="E74" s="619" t="str">
        <f>Sheet1!X327</f>
        <v/>
      </c>
      <c r="G74" s="616" t="s">
        <v>229</v>
      </c>
      <c r="H74" s="617">
        <f>Sheet1!R338</f>
        <v>30</v>
      </c>
      <c r="I74" s="617">
        <f t="shared" si="1"/>
        <v>900</v>
      </c>
      <c r="J74" s="618" t="str">
        <f>Sheet1!W338</f>
        <v/>
      </c>
      <c r="K74" s="619" t="str">
        <f>Sheet1!X338</f>
        <v/>
      </c>
      <c r="M74" s="616" t="s">
        <v>229</v>
      </c>
      <c r="N74" s="620">
        <f>Sheet1!R348</f>
        <v>30</v>
      </c>
      <c r="O74" s="617">
        <f>N74^2</f>
        <v>900</v>
      </c>
      <c r="P74" s="620" t="str">
        <f>Sheet1!W348</f>
        <v/>
      </c>
      <c r="Q74" s="620" t="str">
        <f>Sheet1!X348</f>
        <v/>
      </c>
      <c r="R74" s="97"/>
      <c r="S74" s="97"/>
      <c r="T74" s="208" t="str">
        <f>IF(Sheet1!AM10="","",Sheet1!AM10)</f>
        <v/>
      </c>
      <c r="U74" s="622" t="str">
        <f t="shared" ref="U74:U105" si="2">IF(T74="","",IF(T74&lt;$C$104,T74+$D$104+$E$104*T74+$F$104*T74^2+$G$104*T74^3,IF(T74&gt;=$C$104,T74+$D$105+$E$105*T74+$F$105*T74^2+$G$105*T74^3+$H$105*T74^4+$I$105*T74^5,"")))</f>
        <v/>
      </c>
      <c r="V74" s="622" t="str">
        <f t="shared" ref="V74:V105" si="3">IF(T74="","",IF(T74&lt;$C$109,T74+$D$109+$E$109*T74+$F$109*T74^2+$G$109*T74^3+$H$109*T74^4+$I$109*T74^5,IF(T74&gt;=$C$109,T74+$D$110+$E$110*T74+$F$110*T74^2+$G$110*T74^3+$H$110*T74^4,"")))</f>
        <v/>
      </c>
      <c r="W74" s="622" t="str">
        <f t="shared" ref="W74:W105" si="4">IF(T74="","",IF(T74&lt;$C$116,$D$116+$E$116*T74+$F$116*T74^2+$G$116*T74^3,IF(T74&gt;=$C$117,$D$117+$E$117*T74+$F$117*T74^2+$G$117*T74^3+$H$117*T74^4,"")))</f>
        <v/>
      </c>
      <c r="X74" s="622" t="str">
        <f t="shared" ref="X74:X105" si="5">IF(T74="","",IF(T74&lt;$C$120,$D$120+$E$120*T74+$F$120*T74^2+$G$120*T74^3,IF(T74&gt;=$C$121,$D$121+$E$121*T74,"")))</f>
        <v/>
      </c>
      <c r="Y74" s="622" t="str">
        <f t="shared" ref="Y74:Y105" si="6">IF(T74="","",IF(T74&lt;$C$124,$D$124+$E$124*T74+$F$124*T74^2,IF(T74&gt;=$C$126,$D$126+$E$126*T74,$D$125+$E$125*T74)))</f>
        <v/>
      </c>
    </row>
    <row r="75" spans="1:26" ht="14.1" customHeight="1">
      <c r="A75" s="617" t="str">
        <f>Sheet1!$Q$326</f>
        <v/>
      </c>
      <c r="B75" s="617">
        <f>Sheet1!R328</f>
        <v>26</v>
      </c>
      <c r="C75" s="617">
        <f t="shared" si="0"/>
        <v>676</v>
      </c>
      <c r="D75" s="618" t="str">
        <f>Sheet1!W328</f>
        <v/>
      </c>
      <c r="E75" s="619" t="str">
        <f>Sheet1!X328</f>
        <v/>
      </c>
      <c r="G75" s="617" t="str">
        <f>Sheet1!$Q$337</f>
        <v/>
      </c>
      <c r="H75" s="617">
        <f>Sheet1!R339</f>
        <v>32</v>
      </c>
      <c r="I75" s="617">
        <f t="shared" si="1"/>
        <v>1024</v>
      </c>
      <c r="J75" s="618" t="str">
        <f>Sheet1!W339</f>
        <v/>
      </c>
      <c r="K75" s="619" t="str">
        <f>Sheet1!X339</f>
        <v/>
      </c>
      <c r="M75" s="617" t="str">
        <f>Sheet1!$Q$347</f>
        <v/>
      </c>
      <c r="N75" s="620">
        <f>Sheet1!R349</f>
        <v>32</v>
      </c>
      <c r="O75" s="617">
        <f>N75^2</f>
        <v>1024</v>
      </c>
      <c r="P75" s="620" t="str">
        <f>Sheet1!W349</f>
        <v/>
      </c>
      <c r="Q75" s="620" t="str">
        <f>Sheet1!X349</f>
        <v/>
      </c>
      <c r="R75" s="97"/>
      <c r="S75" s="97"/>
      <c r="T75" s="212" t="str">
        <f>IF(Sheet1!AM11="","",Sheet1!AM11)</f>
        <v/>
      </c>
      <c r="U75" s="622" t="str">
        <f t="shared" si="2"/>
        <v/>
      </c>
      <c r="V75" s="622" t="str">
        <f t="shared" si="3"/>
        <v/>
      </c>
      <c r="W75" s="622" t="str">
        <f t="shared" si="4"/>
        <v/>
      </c>
      <c r="X75" s="622" t="str">
        <f t="shared" si="5"/>
        <v/>
      </c>
      <c r="Y75" s="622" t="str">
        <f t="shared" si="6"/>
        <v/>
      </c>
    </row>
    <row r="76" spans="1:26" ht="14.1" customHeight="1">
      <c r="A76" s="617"/>
      <c r="B76" s="617">
        <f>Sheet1!R329</f>
        <v>28</v>
      </c>
      <c r="C76" s="617">
        <f t="shared" si="0"/>
        <v>784</v>
      </c>
      <c r="D76" s="618" t="str">
        <f>Sheet1!W329</f>
        <v/>
      </c>
      <c r="E76" s="619" t="str">
        <f>Sheet1!X329</f>
        <v/>
      </c>
      <c r="G76" s="617"/>
      <c r="H76" s="617">
        <f>Sheet1!R340</f>
        <v>34</v>
      </c>
      <c r="I76" s="617">
        <f t="shared" si="1"/>
        <v>1156</v>
      </c>
      <c r="J76" s="618" t="str">
        <f>Sheet1!W340</f>
        <v/>
      </c>
      <c r="K76" s="619" t="str">
        <f>Sheet1!X340</f>
        <v/>
      </c>
      <c r="N76" s="620">
        <f>Sheet1!R350</f>
        <v>34</v>
      </c>
      <c r="O76" s="617">
        <f>N76^2</f>
        <v>1156</v>
      </c>
      <c r="P76" s="620" t="str">
        <f>Sheet1!W350</f>
        <v/>
      </c>
      <c r="Q76" s="620" t="str">
        <f>Sheet1!X350</f>
        <v/>
      </c>
      <c r="R76" s="97"/>
      <c r="S76" s="97"/>
      <c r="T76" s="212" t="str">
        <f>IF(Sheet1!AM12="","",Sheet1!AM12)</f>
        <v/>
      </c>
      <c r="U76" s="622" t="str">
        <f t="shared" si="2"/>
        <v/>
      </c>
      <c r="V76" s="622" t="str">
        <f t="shared" si="3"/>
        <v/>
      </c>
      <c r="W76" s="622" t="str">
        <f t="shared" si="4"/>
        <v/>
      </c>
      <c r="X76" s="622" t="str">
        <f t="shared" si="5"/>
        <v/>
      </c>
      <c r="Y76" s="622" t="str">
        <f t="shared" si="6"/>
        <v/>
      </c>
    </row>
    <row r="77" spans="1:26" ht="14.1" customHeight="1">
      <c r="A77" s="617"/>
      <c r="B77" s="617">
        <f>Sheet1!R330</f>
        <v>30</v>
      </c>
      <c r="C77" s="617">
        <f t="shared" si="0"/>
        <v>900</v>
      </c>
      <c r="D77" s="618" t="str">
        <f>Sheet1!W330</f>
        <v/>
      </c>
      <c r="E77" s="619" t="str">
        <f>Sheet1!X330</f>
        <v/>
      </c>
      <c r="G77" s="617"/>
      <c r="H77" s="617">
        <f>Sheet1!R341</f>
        <v>36</v>
      </c>
      <c r="I77" s="617">
        <f t="shared" si="1"/>
        <v>1296</v>
      </c>
      <c r="J77" s="618" t="str">
        <f>Sheet1!W341</f>
        <v/>
      </c>
      <c r="K77" s="619" t="str">
        <f>Sheet1!X341</f>
        <v/>
      </c>
      <c r="N77" s="620">
        <f>Sheet1!R351</f>
        <v>38</v>
      </c>
      <c r="O77" s="617">
        <f>N77^2</f>
        <v>1444</v>
      </c>
      <c r="P77" s="620" t="str">
        <f>Sheet1!W351</f>
        <v/>
      </c>
      <c r="Q77" s="620" t="str">
        <f>Sheet1!X351</f>
        <v/>
      </c>
      <c r="R77" s="97"/>
      <c r="S77" s="97"/>
      <c r="T77" s="212" t="str">
        <f>IF(Sheet1!AM13="","",Sheet1!AM13)</f>
        <v/>
      </c>
      <c r="U77" s="622" t="str">
        <f t="shared" si="2"/>
        <v/>
      </c>
      <c r="V77" s="622" t="str">
        <f t="shared" si="3"/>
        <v/>
      </c>
      <c r="W77" s="622" t="str">
        <f t="shared" si="4"/>
        <v/>
      </c>
      <c r="X77" s="622" t="str">
        <f t="shared" si="5"/>
        <v/>
      </c>
      <c r="Y77" s="622" t="str">
        <f t="shared" si="6"/>
        <v/>
      </c>
    </row>
    <row r="78" spans="1:26" ht="14.1" customHeight="1">
      <c r="A78" s="617"/>
      <c r="B78" s="617">
        <f>Sheet1!R331</f>
        <v>32</v>
      </c>
      <c r="C78" s="617">
        <f t="shared" si="0"/>
        <v>1024</v>
      </c>
      <c r="D78" s="618" t="str">
        <f>Sheet1!W331</f>
        <v/>
      </c>
      <c r="E78" s="619" t="str">
        <f>Sheet1!X331</f>
        <v/>
      </c>
      <c r="G78" s="617"/>
      <c r="H78" s="617">
        <f>Sheet1!R342</f>
        <v>38</v>
      </c>
      <c r="I78" s="617">
        <f t="shared" si="1"/>
        <v>1444</v>
      </c>
      <c r="J78" s="618" t="str">
        <f>Sheet1!W342</f>
        <v/>
      </c>
      <c r="K78" s="619" t="str">
        <f>Sheet1!X342</f>
        <v/>
      </c>
      <c r="N78" s="97"/>
      <c r="O78" s="623" t="s">
        <v>624</v>
      </c>
      <c r="P78" s="603" t="e">
        <f>SLOPE(P73:P77,$O$73:$O$77)</f>
        <v>#DIV/0!</v>
      </c>
      <c r="Q78" s="603" t="e">
        <f>SLOPE(Q73:Q77,$O$73:$O$77)</f>
        <v>#DIV/0!</v>
      </c>
      <c r="R78" s="97"/>
      <c r="S78" s="97"/>
      <c r="T78" s="212" t="str">
        <f>IF(Sheet1!AM14="","",Sheet1!AM14)</f>
        <v/>
      </c>
      <c r="U78" s="622" t="str">
        <f t="shared" si="2"/>
        <v/>
      </c>
      <c r="V78" s="622" t="str">
        <f t="shared" si="3"/>
        <v/>
      </c>
      <c r="W78" s="622" t="str">
        <f t="shared" si="4"/>
        <v/>
      </c>
      <c r="X78" s="622" t="str">
        <f t="shared" si="5"/>
        <v/>
      </c>
      <c r="Y78" s="622" t="str">
        <f t="shared" si="6"/>
        <v/>
      </c>
    </row>
    <row r="79" spans="1:26" ht="14.1" customHeight="1">
      <c r="A79" s="617"/>
      <c r="B79" s="617">
        <f>Sheet1!R332</f>
        <v>34</v>
      </c>
      <c r="C79" s="617">
        <f t="shared" si="0"/>
        <v>1156</v>
      </c>
      <c r="D79" s="617" t="str">
        <f>Sheet1!W332</f>
        <v/>
      </c>
      <c r="E79" s="617" t="str">
        <f>Sheet1!X332</f>
        <v/>
      </c>
      <c r="G79" s="617"/>
      <c r="H79" s="617" t="str">
        <f>Sheet1!X332</f>
        <v/>
      </c>
      <c r="I79" s="623" t="s">
        <v>624</v>
      </c>
      <c r="J79" s="603" t="e">
        <f>SLOPE(J73:J78,$I$73:$I$78)</f>
        <v>#DIV/0!</v>
      </c>
      <c r="K79" s="603" t="e">
        <f>SLOPE(K73:K78,$I$73:$I$78)</f>
        <v>#DIV/0!</v>
      </c>
      <c r="N79" s="97"/>
      <c r="O79" s="623" t="s">
        <v>625</v>
      </c>
      <c r="P79" s="603" t="e">
        <f>INTERCEPT(P73:P77,$O$73:$O$77)</f>
        <v>#DIV/0!</v>
      </c>
      <c r="Q79" s="603" t="e">
        <f>INTERCEPT(Q73:Q77,$O$73:$O$77)</f>
        <v>#DIV/0!</v>
      </c>
      <c r="R79" s="97"/>
      <c r="S79" s="97"/>
      <c r="T79" s="212" t="str">
        <f>IF(Sheet1!AM15="","",Sheet1!AM15)</f>
        <v/>
      </c>
      <c r="U79" s="622" t="str">
        <f t="shared" si="2"/>
        <v/>
      </c>
      <c r="V79" s="622" t="str">
        <f t="shared" si="3"/>
        <v/>
      </c>
      <c r="W79" s="622" t="str">
        <f t="shared" si="4"/>
        <v/>
      </c>
      <c r="X79" s="622" t="str">
        <f t="shared" si="5"/>
        <v/>
      </c>
      <c r="Y79" s="622" t="str">
        <f t="shared" si="6"/>
        <v/>
      </c>
    </row>
    <row r="80" spans="1:26" ht="14.1" customHeight="1">
      <c r="C80" s="623" t="s">
        <v>624</v>
      </c>
      <c r="D80" s="603" t="e">
        <f>SLOPE(D73:D79,$C$73:$C$79)</f>
        <v>#DIV/0!</v>
      </c>
      <c r="E80" s="603" t="e">
        <f>SLOPE(E73:E79,$C$73:$C$79)</f>
        <v>#DIV/0!</v>
      </c>
      <c r="I80" s="623" t="s">
        <v>625</v>
      </c>
      <c r="J80" s="603" t="e">
        <f>INTERCEPT(J73:J78,$I$73:$I$78)</f>
        <v>#DIV/0!</v>
      </c>
      <c r="K80" s="603" t="e">
        <f>INTERCEPT(K73:K78,$I$73:$I$78)</f>
        <v>#DIV/0!</v>
      </c>
      <c r="N80" s="97"/>
      <c r="O80" s="97"/>
      <c r="P80" s="97"/>
      <c r="Q80" s="97"/>
      <c r="R80" s="97"/>
      <c r="S80" s="97"/>
      <c r="T80" s="212" t="str">
        <f>IF(Sheet1!AM16="","",Sheet1!AM16)</f>
        <v/>
      </c>
      <c r="U80" s="622" t="str">
        <f t="shared" si="2"/>
        <v/>
      </c>
      <c r="V80" s="622" t="str">
        <f t="shared" si="3"/>
        <v/>
      </c>
      <c r="W80" s="622" t="str">
        <f t="shared" si="4"/>
        <v/>
      </c>
      <c r="X80" s="622" t="str">
        <f t="shared" si="5"/>
        <v/>
      </c>
      <c r="Y80" s="622" t="str">
        <f t="shared" si="6"/>
        <v/>
      </c>
    </row>
    <row r="81" spans="1:25" ht="14.1" customHeight="1">
      <c r="C81" s="623" t="s">
        <v>625</v>
      </c>
      <c r="D81" s="603" t="e">
        <f>INTERCEPT(D73:D79,$C$73:$C$79)</f>
        <v>#DIV/0!</v>
      </c>
      <c r="E81" s="603" t="e">
        <f>INTERCEPT(E73:E79,$C$73:$C$79)</f>
        <v>#DIV/0!</v>
      </c>
      <c r="N81" s="97"/>
      <c r="O81" s="97"/>
      <c r="P81" s="97"/>
      <c r="Q81" s="97"/>
      <c r="R81" s="97"/>
      <c r="S81" s="97"/>
      <c r="T81" s="212" t="str">
        <f>IF(Sheet1!AM17="","",Sheet1!AM17)</f>
        <v/>
      </c>
      <c r="U81" s="622" t="str">
        <f t="shared" si="2"/>
        <v/>
      </c>
      <c r="V81" s="622" t="str">
        <f t="shared" si="3"/>
        <v/>
      </c>
      <c r="W81" s="622" t="str">
        <f t="shared" si="4"/>
        <v/>
      </c>
      <c r="X81" s="622" t="str">
        <f t="shared" si="5"/>
        <v/>
      </c>
      <c r="Y81" s="622" t="str">
        <f t="shared" si="6"/>
        <v/>
      </c>
    </row>
    <row r="82" spans="1:25" ht="14.1" customHeight="1">
      <c r="N82" s="97"/>
      <c r="O82" s="97"/>
      <c r="P82" s="97" t="e">
        <f>47*P74</f>
        <v>#VALUE!</v>
      </c>
      <c r="Q82" s="97"/>
      <c r="R82" s="97"/>
      <c r="S82" s="97"/>
      <c r="T82" s="224" t="str">
        <f>IF(Sheet1!AM18="","",Sheet1!AM18)</f>
        <v/>
      </c>
      <c r="U82" s="622" t="str">
        <f t="shared" si="2"/>
        <v/>
      </c>
      <c r="V82" s="622" t="str">
        <f t="shared" si="3"/>
        <v/>
      </c>
      <c r="W82" s="622" t="str">
        <f t="shared" si="4"/>
        <v/>
      </c>
      <c r="X82" s="622" t="str">
        <f t="shared" si="5"/>
        <v/>
      </c>
      <c r="Y82" s="622" t="str">
        <f t="shared" si="6"/>
        <v/>
      </c>
    </row>
    <row r="83" spans="1:25" ht="14.1" customHeight="1">
      <c r="A83" s="604" t="s">
        <v>588</v>
      </c>
      <c r="N83" s="97"/>
      <c r="O83" s="97"/>
      <c r="P83" s="97"/>
      <c r="Q83" s="97"/>
      <c r="R83" s="97"/>
      <c r="S83" s="97"/>
      <c r="T83" s="212" t="str">
        <f>IF(Sheet1!AM19="","",Sheet1!AM19)</f>
        <v/>
      </c>
      <c r="U83" s="622" t="str">
        <f t="shared" si="2"/>
        <v/>
      </c>
      <c r="V83" s="622" t="str">
        <f t="shared" si="3"/>
        <v/>
      </c>
      <c r="W83" s="622" t="str">
        <f t="shared" si="4"/>
        <v/>
      </c>
      <c r="X83" s="622" t="str">
        <f t="shared" si="5"/>
        <v/>
      </c>
      <c r="Y83" s="622" t="str">
        <f t="shared" si="6"/>
        <v/>
      </c>
    </row>
    <row r="84" spans="1:25" ht="14.1" customHeight="1">
      <c r="A84" s="616" t="s">
        <v>228</v>
      </c>
      <c r="B84" s="617" t="s">
        <v>494</v>
      </c>
      <c r="C84" s="617" t="s">
        <v>584</v>
      </c>
      <c r="D84" s="616" t="s">
        <v>228</v>
      </c>
      <c r="E84" s="617" t="s">
        <v>494</v>
      </c>
      <c r="F84" s="617" t="s">
        <v>584</v>
      </c>
      <c r="G84" s="616" t="s">
        <v>228</v>
      </c>
      <c r="H84" s="617" t="s">
        <v>494</v>
      </c>
      <c r="I84" s="617" t="s">
        <v>584</v>
      </c>
      <c r="J84" s="97"/>
      <c r="N84" s="97"/>
      <c r="O84" s="97"/>
      <c r="P84" s="97"/>
      <c r="Q84" s="97"/>
      <c r="R84" s="97"/>
      <c r="S84" s="97"/>
      <c r="T84" s="212" t="str">
        <f>IF(Sheet1!AM20="","",Sheet1!AM20)</f>
        <v/>
      </c>
      <c r="U84" s="622" t="str">
        <f t="shared" si="2"/>
        <v/>
      </c>
      <c r="V84" s="622" t="str">
        <f t="shared" si="3"/>
        <v/>
      </c>
      <c r="W84" s="622" t="str">
        <f t="shared" si="4"/>
        <v/>
      </c>
      <c r="X84" s="622" t="str">
        <f t="shared" si="5"/>
        <v/>
      </c>
      <c r="Y84" s="622" t="str">
        <f t="shared" si="6"/>
        <v/>
      </c>
    </row>
    <row r="85" spans="1:25" ht="14.1" customHeight="1">
      <c r="A85" s="617" t="str">
        <f>Sheet1!V21</f>
        <v/>
      </c>
      <c r="B85" s="617">
        <f>HVLProcessing!A1</f>
        <v>24</v>
      </c>
      <c r="C85" s="619" t="str">
        <f>HVLProcessing!G3</f>
        <v/>
      </c>
      <c r="D85" s="617" t="str">
        <f>Sheet1!V21</f>
        <v/>
      </c>
      <c r="E85" s="617">
        <f>HVLProcessing!I1</f>
        <v>28</v>
      </c>
      <c r="F85" s="619" t="str">
        <f>HVLProcessing!O3</f>
        <v/>
      </c>
      <c r="G85" s="617" t="str">
        <f>Sheet1!V21</f>
        <v/>
      </c>
      <c r="H85" s="620">
        <f>HVLProcessing!Q1</f>
        <v>28</v>
      </c>
      <c r="I85" s="624" t="str">
        <f>HVLProcessing!W3</f>
        <v/>
      </c>
      <c r="J85" s="97"/>
      <c r="N85" s="97"/>
      <c r="O85" s="97"/>
      <c r="P85" s="97"/>
      <c r="Q85" s="97"/>
      <c r="R85" s="97"/>
      <c r="S85" s="97"/>
      <c r="T85" s="212" t="str">
        <f>IF(Sheet1!AM21="","",Sheet1!AM21)</f>
        <v/>
      </c>
      <c r="U85" s="622" t="str">
        <f t="shared" si="2"/>
        <v/>
      </c>
      <c r="V85" s="622" t="str">
        <f t="shared" si="3"/>
        <v/>
      </c>
      <c r="W85" s="622" t="str">
        <f t="shared" si="4"/>
        <v/>
      </c>
      <c r="X85" s="622" t="str">
        <f t="shared" si="5"/>
        <v/>
      </c>
      <c r="Y85" s="622" t="str">
        <f t="shared" si="6"/>
        <v/>
      </c>
    </row>
    <row r="86" spans="1:25" ht="14.1" customHeight="1">
      <c r="A86" s="616" t="s">
        <v>229</v>
      </c>
      <c r="B86" s="617">
        <f>HVLProcessing!A9</f>
        <v>25</v>
      </c>
      <c r="C86" s="619" t="str">
        <f>HVLProcessing!G11</f>
        <v/>
      </c>
      <c r="D86" s="616" t="s">
        <v>229</v>
      </c>
      <c r="E86" s="617">
        <f>HVLProcessing!I9</f>
        <v>30</v>
      </c>
      <c r="F86" s="619" t="str">
        <f>HVLProcessing!O11</f>
        <v/>
      </c>
      <c r="G86" s="616" t="s">
        <v>229</v>
      </c>
      <c r="H86" s="620">
        <f>HVLProcessing!Q9</f>
        <v>30</v>
      </c>
      <c r="I86" s="624" t="str">
        <f>HVLProcessing!W11</f>
        <v/>
      </c>
      <c r="J86" s="97"/>
      <c r="N86" s="97"/>
      <c r="O86" s="97"/>
      <c r="P86" s="97"/>
      <c r="Q86" s="97"/>
      <c r="R86" s="97"/>
      <c r="S86" s="97"/>
      <c r="T86" s="212" t="str">
        <f>IF(Sheet1!AM22="","",Sheet1!AM22)</f>
        <v/>
      </c>
      <c r="U86" s="622" t="str">
        <f t="shared" si="2"/>
        <v/>
      </c>
      <c r="V86" s="622" t="str">
        <f t="shared" si="3"/>
        <v/>
      </c>
      <c r="W86" s="622" t="str">
        <f t="shared" si="4"/>
        <v/>
      </c>
      <c r="X86" s="622" t="str">
        <f t="shared" si="5"/>
        <v/>
      </c>
      <c r="Y86" s="622" t="str">
        <f t="shared" si="6"/>
        <v/>
      </c>
    </row>
    <row r="87" spans="1:25" ht="14.1" customHeight="1">
      <c r="A87" s="617" t="str">
        <f>Sheet1!V24</f>
        <v/>
      </c>
      <c r="B87" s="617">
        <f>HVLProcessing!A17</f>
        <v>28</v>
      </c>
      <c r="C87" s="619" t="str">
        <f>HVLProcessing!G19</f>
        <v/>
      </c>
      <c r="D87" s="617" t="str">
        <f>Sheet1!V25</f>
        <v/>
      </c>
      <c r="E87" s="617">
        <f>HVLProcessing!I17</f>
        <v>32</v>
      </c>
      <c r="F87" s="619" t="str">
        <f>HVLProcessing!O19</f>
        <v/>
      </c>
      <c r="G87" s="617" t="str">
        <f>Sheet1!V26</f>
        <v/>
      </c>
      <c r="H87" s="620">
        <f>HVLProcessing!Q17</f>
        <v>32</v>
      </c>
      <c r="I87" s="624" t="str">
        <f>HVLProcessing!W19</f>
        <v/>
      </c>
      <c r="J87" s="97"/>
      <c r="N87" s="97"/>
      <c r="O87" s="97"/>
      <c r="P87" s="97"/>
      <c r="Q87" s="97"/>
      <c r="R87" s="97"/>
      <c r="S87" s="97"/>
      <c r="T87" s="212" t="str">
        <f>IF(Sheet1!AM23="","",Sheet1!AM23)</f>
        <v/>
      </c>
      <c r="U87" s="622" t="str">
        <f t="shared" si="2"/>
        <v/>
      </c>
      <c r="V87" s="622" t="str">
        <f t="shared" si="3"/>
        <v/>
      </c>
      <c r="W87" s="622" t="str">
        <f t="shared" si="4"/>
        <v/>
      </c>
      <c r="X87" s="622" t="str">
        <f t="shared" si="5"/>
        <v/>
      </c>
      <c r="Y87" s="622" t="str">
        <f t="shared" si="6"/>
        <v/>
      </c>
    </row>
    <row r="88" spans="1:25" ht="14.1" customHeight="1">
      <c r="B88" s="617">
        <f>HVLProcessing!A25</f>
        <v>32</v>
      </c>
      <c r="C88" s="619" t="str">
        <f>HVLProcessing!G27</f>
        <v/>
      </c>
      <c r="E88" s="617">
        <f>HVLProcessing!I25</f>
        <v>34</v>
      </c>
      <c r="F88" s="619" t="str">
        <f>HVLProcessing!O27</f>
        <v/>
      </c>
      <c r="H88" s="620">
        <f>HVLProcessing!Q25</f>
        <v>34</v>
      </c>
      <c r="I88" s="624" t="str">
        <f>HVLProcessing!W27</f>
        <v/>
      </c>
      <c r="J88" s="97"/>
      <c r="N88" s="97"/>
      <c r="O88" s="97"/>
      <c r="P88" s="97"/>
      <c r="Q88" s="97"/>
      <c r="R88" s="97"/>
      <c r="S88" s="97"/>
      <c r="T88" s="212" t="str">
        <f>IF(Sheet1!AM24="","",Sheet1!AM24)</f>
        <v/>
      </c>
      <c r="U88" s="622" t="str">
        <f t="shared" si="2"/>
        <v/>
      </c>
      <c r="V88" s="622" t="str">
        <f t="shared" si="3"/>
        <v/>
      </c>
      <c r="W88" s="622" t="str">
        <f t="shared" si="4"/>
        <v/>
      </c>
      <c r="X88" s="622" t="str">
        <f t="shared" si="5"/>
        <v/>
      </c>
      <c r="Y88" s="622" t="str">
        <f t="shared" si="6"/>
        <v/>
      </c>
    </row>
    <row r="89" spans="1:25" ht="14.1" customHeight="1">
      <c r="B89" s="625">
        <f>HVLProcessing!A33</f>
        <v>34</v>
      </c>
      <c r="C89" s="626" t="str">
        <f>HVLProcessing!G35</f>
        <v/>
      </c>
      <c r="E89" s="623" t="s">
        <v>624</v>
      </c>
      <c r="F89" s="617" t="e">
        <f>SLOPE(F85:F88,E85:E88)</f>
        <v>#DIV/0!</v>
      </c>
      <c r="H89" s="620">
        <f>HVLProcessing!Q33</f>
        <v>38</v>
      </c>
      <c r="I89" s="624" t="str">
        <f>HVLProcessing!W35</f>
        <v/>
      </c>
      <c r="J89" s="97"/>
      <c r="N89" s="97"/>
      <c r="O89" s="97"/>
      <c r="P89" s="97"/>
      <c r="Q89" s="97"/>
      <c r="R89" s="97"/>
      <c r="S89" s="97"/>
      <c r="T89" s="212" t="str">
        <f>IF(Sheet1!AM25="","",Sheet1!AM25)</f>
        <v/>
      </c>
      <c r="U89" s="622" t="str">
        <f t="shared" si="2"/>
        <v/>
      </c>
      <c r="V89" s="622" t="str">
        <f t="shared" si="3"/>
        <v/>
      </c>
      <c r="W89" s="622" t="str">
        <f t="shared" si="4"/>
        <v/>
      </c>
      <c r="X89" s="622" t="str">
        <f t="shared" si="5"/>
        <v/>
      </c>
      <c r="Y89" s="622" t="str">
        <f t="shared" si="6"/>
        <v/>
      </c>
    </row>
    <row r="90" spans="1:25" ht="14.1" customHeight="1">
      <c r="B90" s="623" t="s">
        <v>624</v>
      </c>
      <c r="C90" s="617" t="e">
        <f>SLOPE(C85:C89,B85:B89)</f>
        <v>#DIV/0!</v>
      </c>
      <c r="E90" s="623" t="s">
        <v>625</v>
      </c>
      <c r="F90" s="617" t="e">
        <f>INTERCEPT(F85:F88,E85:E88)</f>
        <v>#DIV/0!</v>
      </c>
      <c r="H90" s="623" t="s">
        <v>624</v>
      </c>
      <c r="I90" s="617" t="e">
        <f>SLOPE(I85:I89,H85:H89)</f>
        <v>#DIV/0!</v>
      </c>
      <c r="J90" s="97"/>
      <c r="N90" s="97"/>
      <c r="O90" s="97"/>
      <c r="P90" s="97"/>
      <c r="Q90" s="97"/>
      <c r="R90" s="97"/>
      <c r="S90" s="97"/>
      <c r="T90" s="224" t="str">
        <f>IF(Sheet1!AM26="","",Sheet1!AM26)</f>
        <v/>
      </c>
      <c r="U90" s="622" t="str">
        <f t="shared" si="2"/>
        <v/>
      </c>
      <c r="V90" s="622" t="str">
        <f t="shared" si="3"/>
        <v/>
      </c>
      <c r="W90" s="622" t="str">
        <f t="shared" si="4"/>
        <v/>
      </c>
      <c r="X90" s="622" t="str">
        <f t="shared" si="5"/>
        <v/>
      </c>
      <c r="Y90" s="622" t="str">
        <f t="shared" si="6"/>
        <v/>
      </c>
    </row>
    <row r="91" spans="1:25" ht="14.1" customHeight="1">
      <c r="A91" s="97"/>
      <c r="B91" s="623" t="s">
        <v>625</v>
      </c>
      <c r="C91" s="617" t="e">
        <f>INTERCEPT(C85:C89,B85:B89)</f>
        <v>#DIV/0!</v>
      </c>
      <c r="E91" s="627" t="s">
        <v>626</v>
      </c>
      <c r="F91" s="617" t="e">
        <f>RSQ(F85:F88,E85:E88)</f>
        <v>#DIV/0!</v>
      </c>
      <c r="H91" s="623" t="s">
        <v>625</v>
      </c>
      <c r="I91" s="617" t="e">
        <f>INTERCEPT(I85:I89,H85:H89)</f>
        <v>#DIV/0!</v>
      </c>
      <c r="N91" s="97"/>
      <c r="O91" s="97"/>
      <c r="P91" s="97"/>
      <c r="Q91" s="97"/>
      <c r="R91" s="97"/>
      <c r="S91" s="97"/>
      <c r="T91" s="224" t="str">
        <f>IF(Sheet1!AM27="","",Sheet1!AM27)</f>
        <v/>
      </c>
      <c r="U91" s="622" t="str">
        <f t="shared" si="2"/>
        <v/>
      </c>
      <c r="V91" s="622" t="str">
        <f t="shared" si="3"/>
        <v/>
      </c>
      <c r="W91" s="622" t="str">
        <f t="shared" si="4"/>
        <v/>
      </c>
      <c r="X91" s="622" t="str">
        <f t="shared" si="5"/>
        <v/>
      </c>
      <c r="Y91" s="622" t="str">
        <f t="shared" si="6"/>
        <v/>
      </c>
    </row>
    <row r="92" spans="1:25" ht="14.1" customHeight="1">
      <c r="A92" s="97"/>
      <c r="B92" s="627" t="s">
        <v>626</v>
      </c>
      <c r="C92" s="620" t="e">
        <f>RSQ(C85:C89,B85:B89)</f>
        <v>#DIV/0!</v>
      </c>
      <c r="D92" s="97"/>
      <c r="E92" s="97"/>
      <c r="F92" s="97"/>
      <c r="G92" s="97"/>
      <c r="H92" s="627" t="s">
        <v>626</v>
      </c>
      <c r="I92" s="620" t="e">
        <f>RSQ(I85:I89,H85:H89)</f>
        <v>#DIV/0!</v>
      </c>
      <c r="J92" s="97"/>
      <c r="N92" s="97"/>
      <c r="O92" s="97"/>
      <c r="P92" s="97"/>
      <c r="Q92" s="97"/>
      <c r="R92" s="97"/>
      <c r="S92" s="97"/>
      <c r="T92" s="224" t="str">
        <f>IF(Sheet1!AM28="","",Sheet1!AM28)</f>
        <v/>
      </c>
      <c r="U92" s="622" t="str">
        <f t="shared" si="2"/>
        <v/>
      </c>
      <c r="V92" s="622" t="str">
        <f t="shared" si="3"/>
        <v/>
      </c>
      <c r="W92" s="622" t="str">
        <f t="shared" si="4"/>
        <v/>
      </c>
      <c r="X92" s="622" t="str">
        <f t="shared" si="5"/>
        <v/>
      </c>
      <c r="Y92" s="622" t="str">
        <f t="shared" si="6"/>
        <v/>
      </c>
    </row>
    <row r="93" spans="1:25" ht="14.1" customHeight="1">
      <c r="A93" s="628" t="s">
        <v>228</v>
      </c>
      <c r="B93" s="629" t="s">
        <v>229</v>
      </c>
      <c r="C93" s="630" t="s">
        <v>627</v>
      </c>
      <c r="D93" s="97"/>
      <c r="E93" s="631" t="s">
        <v>628</v>
      </c>
      <c r="F93" s="631" t="s">
        <v>629</v>
      </c>
      <c r="G93" s="631"/>
      <c r="H93" s="97"/>
      <c r="I93" s="97"/>
      <c r="J93" s="97"/>
      <c r="N93" s="97"/>
      <c r="O93" s="97"/>
      <c r="P93" s="97"/>
      <c r="Q93" s="97"/>
      <c r="R93" s="97"/>
      <c r="S93" s="97"/>
      <c r="T93" s="224" t="str">
        <f>IF(Sheet1!AM29="","",Sheet1!AM29)</f>
        <v/>
      </c>
      <c r="U93" s="622" t="str">
        <f t="shared" si="2"/>
        <v/>
      </c>
      <c r="V93" s="622" t="str">
        <f t="shared" si="3"/>
        <v/>
      </c>
      <c r="W93" s="622" t="str">
        <f t="shared" si="4"/>
        <v/>
      </c>
      <c r="X93" s="622" t="str">
        <f t="shared" si="5"/>
        <v/>
      </c>
      <c r="Y93" s="622" t="str">
        <f t="shared" si="6"/>
        <v/>
      </c>
    </row>
    <row r="94" spans="1:25" ht="14.1" customHeight="1">
      <c r="A94" s="632" t="s">
        <v>630</v>
      </c>
      <c r="B94" s="633" t="s">
        <v>630</v>
      </c>
      <c r="C94" s="634">
        <v>0.12</v>
      </c>
      <c r="D94" s="97"/>
      <c r="E94" s="631"/>
      <c r="F94" s="631" t="s">
        <v>631</v>
      </c>
      <c r="G94" s="631"/>
      <c r="H94" s="97"/>
      <c r="I94" s="97"/>
      <c r="J94" s="97"/>
      <c r="N94" s="97"/>
      <c r="O94" s="97"/>
      <c r="P94" s="97"/>
      <c r="Q94" s="97"/>
      <c r="R94" s="97"/>
      <c r="S94" s="97"/>
      <c r="T94" s="212" t="str">
        <f>IF(Sheet1!AM30="","",Sheet1!AM30)</f>
        <v/>
      </c>
      <c r="U94" s="622" t="str">
        <f t="shared" si="2"/>
        <v/>
      </c>
      <c r="V94" s="622" t="str">
        <f t="shared" si="3"/>
        <v/>
      </c>
      <c r="W94" s="622" t="str">
        <f t="shared" si="4"/>
        <v/>
      </c>
      <c r="X94" s="622" t="str">
        <f t="shared" si="5"/>
        <v/>
      </c>
      <c r="Y94" s="622" t="str">
        <f t="shared" si="6"/>
        <v/>
      </c>
    </row>
    <row r="95" spans="1:25" ht="14.1" customHeight="1">
      <c r="A95" s="632" t="s">
        <v>630</v>
      </c>
      <c r="B95" s="633" t="s">
        <v>632</v>
      </c>
      <c r="C95" s="634">
        <v>0.19</v>
      </c>
      <c r="D95" s="97"/>
      <c r="E95" s="631"/>
      <c r="F95" s="631" t="s">
        <v>633</v>
      </c>
      <c r="G95" s="631"/>
      <c r="H95" s="97"/>
      <c r="I95" s="97"/>
      <c r="J95" s="97"/>
      <c r="N95" s="97"/>
      <c r="O95" s="97"/>
      <c r="P95" s="97"/>
      <c r="Q95" s="97"/>
      <c r="R95" s="97"/>
      <c r="S95" s="97"/>
      <c r="T95" s="212" t="str">
        <f>IF(Sheet1!AM31="","",Sheet1!AM31)</f>
        <v/>
      </c>
      <c r="U95" s="622" t="str">
        <f t="shared" si="2"/>
        <v/>
      </c>
      <c r="V95" s="622" t="str">
        <f t="shared" si="3"/>
        <v/>
      </c>
      <c r="W95" s="622" t="str">
        <f t="shared" si="4"/>
        <v/>
      </c>
      <c r="X95" s="622" t="str">
        <f t="shared" si="5"/>
        <v/>
      </c>
      <c r="Y95" s="622" t="str">
        <f t="shared" si="6"/>
        <v/>
      </c>
    </row>
    <row r="96" spans="1:25" ht="14.1" customHeight="1">
      <c r="A96" s="635" t="s">
        <v>632</v>
      </c>
      <c r="B96" s="636" t="s">
        <v>632</v>
      </c>
      <c r="C96" s="637">
        <v>0.22</v>
      </c>
      <c r="D96" s="97"/>
      <c r="E96" s="97"/>
      <c r="F96" s="97"/>
      <c r="G96" s="97"/>
      <c r="H96" s="97"/>
      <c r="I96" s="97"/>
      <c r="J96" s="97"/>
      <c r="N96" s="97"/>
      <c r="O96" s="97"/>
      <c r="P96" s="97"/>
      <c r="Q96" s="97"/>
      <c r="R96" s="97"/>
      <c r="S96" s="97"/>
      <c r="T96" s="212" t="str">
        <f>IF(Sheet1!AM32="","",Sheet1!AM32)</f>
        <v/>
      </c>
      <c r="U96" s="622" t="str">
        <f t="shared" si="2"/>
        <v/>
      </c>
      <c r="V96" s="622" t="str">
        <f t="shared" si="3"/>
        <v/>
      </c>
      <c r="W96" s="622" t="str">
        <f t="shared" si="4"/>
        <v/>
      </c>
      <c r="X96" s="622" t="str">
        <f t="shared" si="5"/>
        <v/>
      </c>
      <c r="Y96" s="622" t="str">
        <f t="shared" si="6"/>
        <v/>
      </c>
    </row>
    <row r="97" spans="1:25" ht="14.1" customHeight="1">
      <c r="A97" s="97"/>
      <c r="B97" s="97"/>
      <c r="C97" s="97"/>
      <c r="D97" s="97"/>
      <c r="E97" s="97"/>
      <c r="F97" s="97"/>
      <c r="G97" s="97"/>
      <c r="H97" s="97"/>
      <c r="I97" s="97"/>
      <c r="J97" s="97"/>
      <c r="N97" s="97"/>
      <c r="O97" s="97"/>
      <c r="P97" s="97"/>
      <c r="Q97" s="97"/>
      <c r="R97" s="97"/>
      <c r="S97" s="97"/>
      <c r="T97" s="212" t="str">
        <f>IF(Sheet1!AM33="","",Sheet1!AM33)</f>
        <v/>
      </c>
      <c r="U97" s="622" t="str">
        <f t="shared" si="2"/>
        <v/>
      </c>
      <c r="V97" s="622" t="str">
        <f t="shared" si="3"/>
        <v/>
      </c>
      <c r="W97" s="622" t="str">
        <f t="shared" si="4"/>
        <v/>
      </c>
      <c r="X97" s="622" t="str">
        <f t="shared" si="5"/>
        <v/>
      </c>
      <c r="Y97" s="622" t="str">
        <f t="shared" si="6"/>
        <v/>
      </c>
    </row>
    <row r="98" spans="1:25" ht="14.1" customHeight="1">
      <c r="A98" s="604" t="s">
        <v>634</v>
      </c>
      <c r="B98" s="638" t="e">
        <f>"DGN values (mrad/R) for "&amp;Sheet1!$T$260&amp;" kV and HVL="&amp;ROUND(Sheet1!$X$263,2)&amp;" mm Al"</f>
        <v>#VALUE!</v>
      </c>
      <c r="G98" s="692" t="s">
        <v>68</v>
      </c>
      <c r="H98" s="692"/>
      <c r="I98" s="692"/>
      <c r="N98" s="97"/>
      <c r="O98" s="97"/>
      <c r="P98" s="97"/>
      <c r="Q98" s="97"/>
      <c r="R98" s="97"/>
      <c r="S98" s="97"/>
      <c r="T98" s="212" t="str">
        <f>IF(Sheet1!AM34="","",Sheet1!AM34)</f>
        <v/>
      </c>
      <c r="U98" s="622" t="str">
        <f t="shared" si="2"/>
        <v/>
      </c>
      <c r="V98" s="622" t="str">
        <f t="shared" si="3"/>
        <v/>
      </c>
      <c r="W98" s="622" t="str">
        <f t="shared" si="4"/>
        <v/>
      </c>
      <c r="X98" s="622" t="str">
        <f t="shared" si="5"/>
        <v/>
      </c>
      <c r="Y98" s="622" t="str">
        <f t="shared" si="6"/>
        <v/>
      </c>
    </row>
    <row r="99" spans="1:25" ht="14.1" customHeight="1">
      <c r="A99" s="639" t="s">
        <v>635</v>
      </c>
      <c r="B99" s="639" t="s">
        <v>636</v>
      </c>
      <c r="C99" s="639" t="s">
        <v>637</v>
      </c>
      <c r="D99" s="639" t="s">
        <v>621</v>
      </c>
      <c r="E99" s="639" t="s">
        <v>622</v>
      </c>
      <c r="F99" s="639" t="s">
        <v>623</v>
      </c>
      <c r="G99" s="639" t="s">
        <v>621</v>
      </c>
      <c r="H99" s="639" t="s">
        <v>622</v>
      </c>
      <c r="I99" s="639" t="s">
        <v>623</v>
      </c>
      <c r="N99" s="97"/>
      <c r="O99" s="97"/>
      <c r="P99" s="97"/>
      <c r="Q99" s="97"/>
      <c r="R99" s="97"/>
      <c r="S99" s="97"/>
      <c r="T99" s="212" t="str">
        <f>IF(Sheet1!AM35="","",Sheet1!AM35)</f>
        <v/>
      </c>
      <c r="U99" s="622" t="str">
        <f t="shared" si="2"/>
        <v/>
      </c>
      <c r="V99" s="622" t="str">
        <f t="shared" si="3"/>
        <v/>
      </c>
      <c r="W99" s="622" t="str">
        <f t="shared" si="4"/>
        <v/>
      </c>
      <c r="X99" s="622" t="str">
        <f t="shared" si="5"/>
        <v/>
      </c>
      <c r="Y99" s="622" t="str">
        <f t="shared" si="6"/>
        <v/>
      </c>
    </row>
    <row r="100" spans="1:25" ht="14.1" customHeight="1">
      <c r="A100" s="640" t="e">
        <f>IF(ISERR(Sheet1!$T$260),"TBD",VLOOKUP(Sheet1!$X$263,A3:J23,MATCH(Sheet1!$T$260,A3:J3,0)))</f>
        <v>#N/A</v>
      </c>
      <c r="B100" s="640" t="e">
        <f>IF(ISERR(Sheet1!$T$260),"TBD",VLOOKUP(Sheet1!$X$263,K3:T23,MATCH(Sheet1!$T$260,K3:T3,0)))</f>
        <v>#N/A</v>
      </c>
      <c r="C100" s="640" t="e">
        <f>IF(ISERR(Sheet1!$T$260),"TBD",VLOOKUP(Sheet1!$X$263,U3:AD23,MATCH(Sheet1!$T$260,U3:AD3,0)))</f>
        <v>#N/A</v>
      </c>
      <c r="D100" s="617" t="e">
        <f>IF(ISERR(Sheet1!$X$263),"TBD",VLOOKUP(Sheet1!$X$263,A27:M48,MATCH(Sheet1!$T$260,A27:M27,0)))</f>
        <v>#N/A</v>
      </c>
      <c r="E100" s="617" t="e">
        <f>IF(ISERR(Sheet1!$X$263),"TBD",VLOOKUP(Sheet1!$X$263,N27:AA48,MATCH(Sheet1!$T$260,N27:AA27,0)))</f>
        <v>#N/A</v>
      </c>
      <c r="F100" s="641" t="e">
        <f>IF(ISERR(Sheet1!$X$278),"TBD",VLOOKUP(Sheet1!$X$278,A52:Z69,MATCH(Sheet1!$T$275,A52:Z52,0)))</f>
        <v>#N/A</v>
      </c>
      <c r="G100" s="617" t="e">
        <f>IF(ISERR(Sheet1!$X$298),"TBD",VLOOKUP(Sheet1!$X$298,A27:M48,MATCH(Sheet1!$T$295,A27:M27,0)))</f>
        <v>#N/A</v>
      </c>
      <c r="H100" s="617" t="e">
        <f>IF(ISERR(Sheet1!$X$298),"TBD",VLOOKUP(Sheet1!$X$298,N27:AA48,MATCH(Sheet1!$T$295,N27:AA27,0)))</f>
        <v>#N/A</v>
      </c>
      <c r="I100" s="641" t="e">
        <f>IF(ISERR(Sheet1!$X$310),"TBD",VLOOKUP(Sheet1!$X$310,A52:Z69,MATCH(Sheet1!$T$307,A52:Z52,0)))</f>
        <v>#N/A</v>
      </c>
      <c r="N100" s="97"/>
      <c r="O100" s="97"/>
      <c r="P100" s="97"/>
      <c r="Q100" s="97"/>
      <c r="R100" s="97"/>
      <c r="S100" s="97"/>
      <c r="T100" s="212" t="str">
        <f>IF(Sheet1!AM36="","",Sheet1!AM36)</f>
        <v/>
      </c>
      <c r="U100" s="622" t="str">
        <f t="shared" si="2"/>
        <v/>
      </c>
      <c r="V100" s="622" t="str">
        <f t="shared" si="3"/>
        <v/>
      </c>
      <c r="W100" s="622" t="str">
        <f t="shared" si="4"/>
        <v/>
      </c>
      <c r="X100" s="622" t="str">
        <f t="shared" si="5"/>
        <v/>
      </c>
      <c r="Y100" s="622" t="str">
        <f t="shared" si="6"/>
        <v/>
      </c>
    </row>
    <row r="101" spans="1:25" ht="14.1" customHeight="1">
      <c r="N101" s="97"/>
      <c r="O101" s="97"/>
      <c r="P101" s="97"/>
      <c r="Q101" s="97"/>
      <c r="R101" s="97"/>
      <c r="S101" s="97"/>
      <c r="T101" s="212" t="str">
        <f>IF(Sheet1!AM37="","",Sheet1!AM37)</f>
        <v/>
      </c>
      <c r="U101" s="622" t="str">
        <f t="shared" si="2"/>
        <v/>
      </c>
      <c r="V101" s="622" t="str">
        <f t="shared" si="3"/>
        <v/>
      </c>
      <c r="W101" s="622" t="str">
        <f t="shared" si="4"/>
        <v/>
      </c>
      <c r="X101" s="622" t="str">
        <f t="shared" si="5"/>
        <v/>
      </c>
      <c r="Y101" s="622" t="str">
        <f t="shared" si="6"/>
        <v/>
      </c>
    </row>
    <row r="102" spans="1:25" ht="14.1" customHeight="1">
      <c r="A102" s="604" t="s">
        <v>638</v>
      </c>
      <c r="N102" s="97"/>
      <c r="O102" s="97"/>
      <c r="P102" s="97"/>
      <c r="Q102" s="97"/>
      <c r="R102" s="97"/>
      <c r="S102" s="97"/>
      <c r="T102" s="224" t="str">
        <f>IF(Sheet1!AM38="","",Sheet1!AM38)</f>
        <v/>
      </c>
      <c r="U102" s="622" t="str">
        <f t="shared" si="2"/>
        <v/>
      </c>
      <c r="V102" s="622" t="str">
        <f t="shared" si="3"/>
        <v/>
      </c>
      <c r="W102" s="622" t="str">
        <f t="shared" si="4"/>
        <v/>
      </c>
      <c r="X102" s="622" t="str">
        <f t="shared" si="5"/>
        <v/>
      </c>
      <c r="Y102" s="622" t="str">
        <f t="shared" si="6"/>
        <v/>
      </c>
    </row>
    <row r="103" spans="1:25" ht="14.1" customHeight="1">
      <c r="A103" s="97"/>
      <c r="B103" s="620" t="s">
        <v>494</v>
      </c>
      <c r="C103" s="97"/>
      <c r="D103" s="642" t="s">
        <v>639</v>
      </c>
      <c r="E103" s="642" t="s">
        <v>640</v>
      </c>
      <c r="F103" s="642" t="s">
        <v>619</v>
      </c>
      <c r="G103" s="642" t="s">
        <v>641</v>
      </c>
      <c r="H103" s="642" t="s">
        <v>642</v>
      </c>
      <c r="I103" s="642" t="s">
        <v>643</v>
      </c>
      <c r="J103" s="642" t="s">
        <v>644</v>
      </c>
      <c r="N103" s="97"/>
      <c r="O103" s="97"/>
      <c r="P103" s="97"/>
      <c r="Q103" s="97"/>
      <c r="R103" s="97"/>
      <c r="S103" s="97"/>
      <c r="T103" s="224" t="str">
        <f>IF(Sheet1!AM39="","",Sheet1!AM39)</f>
        <v/>
      </c>
      <c r="U103" s="622" t="str">
        <f t="shared" si="2"/>
        <v/>
      </c>
      <c r="V103" s="622" t="str">
        <f t="shared" si="3"/>
        <v/>
      </c>
      <c r="W103" s="622" t="str">
        <f t="shared" si="4"/>
        <v/>
      </c>
      <c r="X103" s="622" t="str">
        <f t="shared" si="5"/>
        <v/>
      </c>
      <c r="Y103" s="622" t="str">
        <f t="shared" si="6"/>
        <v/>
      </c>
    </row>
    <row r="104" spans="1:25" ht="14.1" customHeight="1">
      <c r="A104" s="603" t="s">
        <v>621</v>
      </c>
      <c r="B104" s="620" t="s">
        <v>645</v>
      </c>
      <c r="C104" s="642">
        <v>27.585999999999999</v>
      </c>
      <c r="D104" s="642">
        <v>-8375.0727645925508</v>
      </c>
      <c r="E104" s="642">
        <v>975.92543560432796</v>
      </c>
      <c r="F104" s="642">
        <v>-37.913729682039403</v>
      </c>
      <c r="G104" s="642">
        <v>0.49086583472609402</v>
      </c>
      <c r="H104" s="642">
        <v>0</v>
      </c>
      <c r="I104" s="642">
        <v>0</v>
      </c>
      <c r="J104" s="642">
        <v>0</v>
      </c>
      <c r="N104" s="97"/>
      <c r="O104" s="97"/>
      <c r="P104" s="97"/>
      <c r="Q104" s="97"/>
      <c r="R104" s="97"/>
      <c r="S104" s="97"/>
      <c r="T104" s="224" t="str">
        <f>IF(Sheet1!AM40="","",Sheet1!AM40)</f>
        <v/>
      </c>
      <c r="U104" s="622" t="str">
        <f t="shared" si="2"/>
        <v/>
      </c>
      <c r="V104" s="622" t="str">
        <f t="shared" si="3"/>
        <v/>
      </c>
      <c r="W104" s="622" t="str">
        <f t="shared" si="4"/>
        <v/>
      </c>
      <c r="X104" s="622" t="str">
        <f t="shared" si="5"/>
        <v/>
      </c>
      <c r="Y104" s="622" t="str">
        <f t="shared" si="6"/>
        <v/>
      </c>
    </row>
    <row r="105" spans="1:25" ht="14.1" customHeight="1">
      <c r="B105" s="620" t="s">
        <v>646</v>
      </c>
      <c r="C105" s="642">
        <v>27.585999999999999</v>
      </c>
      <c r="D105" s="642">
        <v>-9984.6167916494396</v>
      </c>
      <c r="E105" s="642">
        <v>1436.52454571413</v>
      </c>
      <c r="F105" s="642">
        <v>-82.505102185254898</v>
      </c>
      <c r="G105" s="642">
        <v>2.36559081763837</v>
      </c>
      <c r="H105" s="642">
        <v>-3.38672433779705E-2</v>
      </c>
      <c r="I105" s="642">
        <v>1.93686920423126E-4</v>
      </c>
      <c r="J105" s="642">
        <v>0</v>
      </c>
      <c r="N105" s="97"/>
      <c r="O105" s="97"/>
      <c r="P105" s="97"/>
      <c r="Q105" s="97"/>
      <c r="R105" s="97"/>
      <c r="S105" s="97"/>
      <c r="T105" s="252" t="str">
        <f>IF(Sheet1!AM41="","",Sheet1!AM41)</f>
        <v/>
      </c>
      <c r="U105" s="622" t="str">
        <f t="shared" si="2"/>
        <v/>
      </c>
      <c r="V105" s="622" t="str">
        <f t="shared" si="3"/>
        <v/>
      </c>
      <c r="W105" s="622" t="str">
        <f t="shared" si="4"/>
        <v/>
      </c>
      <c r="X105" s="622" t="str">
        <f t="shared" si="5"/>
        <v/>
      </c>
      <c r="Y105" s="622" t="str">
        <f t="shared" si="6"/>
        <v/>
      </c>
    </row>
    <row r="106" spans="1:25" ht="14.1" customHeight="1">
      <c r="A106" s="97"/>
      <c r="B106" s="97"/>
      <c r="C106" s="97" t="s">
        <v>647</v>
      </c>
      <c r="D106" s="97"/>
      <c r="E106" s="97"/>
      <c r="F106" s="97"/>
      <c r="G106" s="97"/>
      <c r="H106" s="97"/>
      <c r="I106" s="97"/>
      <c r="J106" s="97"/>
      <c r="N106" s="97"/>
      <c r="O106" s="97"/>
      <c r="P106" s="97"/>
      <c r="Q106" s="97"/>
      <c r="R106" s="97"/>
      <c r="S106" s="97"/>
      <c r="T106" s="212" t="str">
        <f>IF(Sheet1!AM42="","",Sheet1!AM42)</f>
        <v/>
      </c>
      <c r="U106" s="622" t="str">
        <f t="shared" ref="U106:U137" si="7">IF(T106="","",IF(T106&lt;$C$104,T106+$D$104+$E$104*T106+$F$104*T106^2+$G$104*T106^3,IF(T106&gt;=$C$104,T106+$D$105+$E$105*T106+$F$105*T106^2+$G$105*T106^3+$H$105*T106^4+$I$105*T106^5,"")))</f>
        <v/>
      </c>
      <c r="V106" s="622" t="str">
        <f t="shared" ref="V106:V137" si="8">IF(T106="","",IF(T106&lt;$C$109,T106+$D$109+$E$109*T106+$F$109*T106^2+$G$109*T106^3+$H$109*T106^4+$I$109*T106^5,IF(T106&gt;=$C$109,T106+$D$110+$E$110*T106+$F$110*T106^2+$G$110*T106^3+$H$110*T106^4,"")))</f>
        <v/>
      </c>
      <c r="W106" s="622" t="str">
        <f t="shared" ref="W106:W137" si="9">IF(T106="","",IF(T106&lt;$C$116,$D$116+$E$116*T106+$F$116*T106^2+$G$116*T106^3,IF(T106&gt;=$C$117,$D$117+$E$117*T106+$F$117*T106^2+$G$117*T106^3+$H$117*T106^4,"")))</f>
        <v/>
      </c>
      <c r="X106" s="622" t="str">
        <f t="shared" ref="X106:X137" si="10">IF(T106="","",IF(T106&lt;$C$120,$D$120+$E$120*T106+$F$120*T106^2+$G$120*T106^3,IF(T106&gt;=$C$121,$D$121+$E$121*T106,"")))</f>
        <v/>
      </c>
      <c r="Y106" s="622" t="str">
        <f t="shared" ref="Y106:Y137" si="11">IF(T106="","",IF(T106&lt;$C$124,$D$124+$E$124*T106+$F$124*T106^2,IF(T106&gt;=$C$126,$D$126+$E$126*T106,$D$125+$E$125*T106)))</f>
        <v/>
      </c>
    </row>
    <row r="107" spans="1:25" ht="14.1" customHeight="1">
      <c r="A107" s="97"/>
      <c r="B107" s="97"/>
      <c r="C107" s="97" t="s">
        <v>648</v>
      </c>
      <c r="D107" s="97"/>
      <c r="E107" s="97"/>
      <c r="F107" s="97"/>
      <c r="G107" s="97"/>
      <c r="H107" s="97"/>
      <c r="I107" s="97"/>
      <c r="J107" s="97"/>
      <c r="N107" s="97"/>
      <c r="O107" s="97"/>
      <c r="P107" s="97"/>
      <c r="Q107" s="97"/>
      <c r="R107" s="97"/>
      <c r="S107" s="97"/>
      <c r="T107" s="212" t="str">
        <f>IF(Sheet1!AM43="","",Sheet1!AM43)</f>
        <v/>
      </c>
      <c r="U107" s="622" t="str">
        <f t="shared" si="7"/>
        <v/>
      </c>
      <c r="V107" s="622" t="str">
        <f t="shared" si="8"/>
        <v/>
      </c>
      <c r="W107" s="622" t="str">
        <f t="shared" si="9"/>
        <v/>
      </c>
      <c r="X107" s="622" t="str">
        <f t="shared" si="10"/>
        <v/>
      </c>
      <c r="Y107" s="622" t="str">
        <f t="shared" si="11"/>
        <v/>
      </c>
    </row>
    <row r="108" spans="1:25" ht="14.1" customHeight="1">
      <c r="A108" s="97"/>
      <c r="B108" s="620" t="s">
        <v>494</v>
      </c>
      <c r="C108" s="97"/>
      <c r="D108" s="642" t="s">
        <v>639</v>
      </c>
      <c r="E108" s="642" t="s">
        <v>640</v>
      </c>
      <c r="F108" s="642" t="s">
        <v>619</v>
      </c>
      <c r="G108" s="642" t="s">
        <v>641</v>
      </c>
      <c r="H108" s="642" t="s">
        <v>642</v>
      </c>
      <c r="I108" s="642" t="s">
        <v>643</v>
      </c>
      <c r="J108" s="642" t="s">
        <v>644</v>
      </c>
      <c r="N108" s="97"/>
      <c r="O108" s="97"/>
      <c r="P108" s="97"/>
      <c r="Q108" s="97"/>
      <c r="R108" s="97"/>
      <c r="S108" s="97"/>
      <c r="T108" s="212" t="str">
        <f>IF(Sheet1!AM44="","",Sheet1!AM44)</f>
        <v/>
      </c>
      <c r="U108" s="622" t="str">
        <f t="shared" si="7"/>
        <v/>
      </c>
      <c r="V108" s="622" t="str">
        <f t="shared" si="8"/>
        <v/>
      </c>
      <c r="W108" s="622" t="str">
        <f t="shared" si="9"/>
        <v/>
      </c>
      <c r="X108" s="622" t="str">
        <f t="shared" si="10"/>
        <v/>
      </c>
      <c r="Y108" s="622" t="str">
        <f t="shared" si="11"/>
        <v/>
      </c>
    </row>
    <row r="109" spans="1:25" ht="14.1" customHeight="1">
      <c r="A109" s="603" t="s">
        <v>622</v>
      </c>
      <c r="B109" s="620" t="s">
        <v>645</v>
      </c>
      <c r="C109" s="642">
        <v>30.1</v>
      </c>
      <c r="D109" s="642">
        <v>-540847.69550077303</v>
      </c>
      <c r="E109" s="642">
        <v>100186.23364273099</v>
      </c>
      <c r="F109" s="642">
        <v>-7418.4790179812599</v>
      </c>
      <c r="G109" s="642">
        <v>274.47660929577501</v>
      </c>
      <c r="H109" s="642">
        <v>-5.07436954359087</v>
      </c>
      <c r="I109" s="642">
        <v>3.7500574787580898E-2</v>
      </c>
      <c r="J109" s="642">
        <v>0</v>
      </c>
      <c r="N109" s="97"/>
      <c r="O109" s="97"/>
      <c r="P109" s="97"/>
      <c r="Q109" s="97"/>
      <c r="R109" s="97"/>
      <c r="S109" s="97"/>
      <c r="T109" s="212" t="str">
        <f>IF(Sheet1!AM45="","",Sheet1!AM45)</f>
        <v/>
      </c>
      <c r="U109" s="622" t="str">
        <f t="shared" si="7"/>
        <v/>
      </c>
      <c r="V109" s="622" t="str">
        <f t="shared" si="8"/>
        <v/>
      </c>
      <c r="W109" s="622" t="str">
        <f t="shared" si="9"/>
        <v/>
      </c>
      <c r="X109" s="622" t="str">
        <f t="shared" si="10"/>
        <v/>
      </c>
      <c r="Y109" s="622" t="str">
        <f t="shared" si="11"/>
        <v/>
      </c>
    </row>
    <row r="110" spans="1:25" ht="14.1" customHeight="1">
      <c r="B110" s="620" t="s">
        <v>646</v>
      </c>
      <c r="C110" s="642">
        <v>30.1</v>
      </c>
      <c r="D110" s="642">
        <v>-11057.773936199201</v>
      </c>
      <c r="E110" s="642">
        <v>1297.2285673766901</v>
      </c>
      <c r="F110" s="642">
        <v>-56.989188989725697</v>
      </c>
      <c r="G110" s="642">
        <v>1.1115828564217201</v>
      </c>
      <c r="H110" s="642">
        <v>-8.1233997365129599E-3</v>
      </c>
      <c r="I110" s="642">
        <v>0</v>
      </c>
      <c r="J110" s="642">
        <v>0</v>
      </c>
      <c r="N110" s="97"/>
      <c r="O110" s="97"/>
      <c r="P110" s="97"/>
      <c r="Q110" s="97"/>
      <c r="R110" s="97"/>
      <c r="S110" s="97"/>
      <c r="T110" s="212" t="str">
        <f>IF(Sheet1!AM46="","",Sheet1!AM46)</f>
        <v/>
      </c>
      <c r="U110" s="622" t="str">
        <f t="shared" si="7"/>
        <v/>
      </c>
      <c r="V110" s="622" t="str">
        <f t="shared" si="8"/>
        <v/>
      </c>
      <c r="W110" s="622" t="str">
        <f t="shared" si="9"/>
        <v/>
      </c>
      <c r="X110" s="622" t="str">
        <f t="shared" si="10"/>
        <v/>
      </c>
      <c r="Y110" s="622" t="str">
        <f t="shared" si="11"/>
        <v/>
      </c>
    </row>
    <row r="111" spans="1:25" ht="14.1" customHeight="1">
      <c r="A111" s="97"/>
      <c r="B111" s="97"/>
      <c r="C111" s="97" t="s">
        <v>649</v>
      </c>
      <c r="N111" s="97"/>
      <c r="O111" s="97"/>
      <c r="P111" s="97"/>
      <c r="Q111" s="97"/>
      <c r="R111" s="97"/>
      <c r="S111" s="97"/>
      <c r="T111" s="212" t="str">
        <f>IF(Sheet1!AM47="","",Sheet1!AM47)</f>
        <v/>
      </c>
      <c r="U111" s="622" t="str">
        <f t="shared" si="7"/>
        <v/>
      </c>
      <c r="V111" s="622" t="str">
        <f t="shared" si="8"/>
        <v/>
      </c>
      <c r="W111" s="622" t="str">
        <f t="shared" si="9"/>
        <v/>
      </c>
      <c r="X111" s="622" t="str">
        <f t="shared" si="10"/>
        <v/>
      </c>
      <c r="Y111" s="622" t="str">
        <f t="shared" si="11"/>
        <v/>
      </c>
    </row>
    <row r="112" spans="1:25" ht="14.1" customHeight="1">
      <c r="A112" s="97"/>
      <c r="B112" s="97"/>
      <c r="C112" s="97" t="s">
        <v>650</v>
      </c>
      <c r="N112" s="97"/>
      <c r="O112" s="97"/>
      <c r="P112" s="97"/>
      <c r="Q112" s="97"/>
      <c r="R112" s="97"/>
      <c r="S112" s="97"/>
      <c r="T112" s="212" t="str">
        <f>IF(Sheet1!AM48="","",Sheet1!AM48)</f>
        <v/>
      </c>
      <c r="U112" s="622" t="str">
        <f t="shared" si="7"/>
        <v/>
      </c>
      <c r="V112" s="622" t="str">
        <f t="shared" si="8"/>
        <v/>
      </c>
      <c r="W112" s="622" t="str">
        <f t="shared" si="9"/>
        <v/>
      </c>
      <c r="X112" s="622" t="str">
        <f t="shared" si="10"/>
        <v/>
      </c>
      <c r="Y112" s="622" t="str">
        <f t="shared" si="11"/>
        <v/>
      </c>
    </row>
    <row r="113" spans="1:25" ht="14.1" customHeight="1">
      <c r="B113" s="97"/>
      <c r="N113" s="97"/>
      <c r="O113" s="97"/>
      <c r="P113" s="97"/>
      <c r="Q113" s="97"/>
      <c r="R113" s="97"/>
      <c r="S113" s="97"/>
      <c r="T113" s="224" t="str">
        <f>IF(Sheet1!AM49="","",Sheet1!AM49)</f>
        <v/>
      </c>
      <c r="U113" s="622" t="str">
        <f t="shared" si="7"/>
        <v/>
      </c>
      <c r="V113" s="622" t="str">
        <f t="shared" si="8"/>
        <v/>
      </c>
      <c r="W113" s="622" t="str">
        <f t="shared" si="9"/>
        <v/>
      </c>
      <c r="X113" s="622" t="str">
        <f t="shared" si="10"/>
        <v/>
      </c>
      <c r="Y113" s="622" t="str">
        <f t="shared" si="11"/>
        <v/>
      </c>
    </row>
    <row r="114" spans="1:25" ht="14.1" customHeight="1">
      <c r="A114" s="604" t="s">
        <v>651</v>
      </c>
      <c r="B114" s="97"/>
      <c r="K114" s="151" t="s">
        <v>652</v>
      </c>
      <c r="L114" s="151"/>
      <c r="M114" s="151"/>
      <c r="N114" s="151"/>
      <c r="O114" s="151"/>
      <c r="P114" s="151"/>
      <c r="Q114" s="97"/>
      <c r="R114" s="97"/>
      <c r="S114" s="97"/>
      <c r="T114" s="212" t="str">
        <f>IF(Sheet1!AM50="","",Sheet1!AM50)</f>
        <v/>
      </c>
      <c r="U114" s="622" t="str">
        <f t="shared" si="7"/>
        <v/>
      </c>
      <c r="V114" s="622" t="str">
        <f t="shared" si="8"/>
        <v/>
      </c>
      <c r="W114" s="622" t="str">
        <f t="shared" si="9"/>
        <v/>
      </c>
      <c r="X114" s="622" t="str">
        <f t="shared" si="10"/>
        <v/>
      </c>
      <c r="Y114" s="622" t="str">
        <f t="shared" si="11"/>
        <v/>
      </c>
    </row>
    <row r="115" spans="1:25" ht="14.1" customHeight="1">
      <c r="A115" s="97"/>
      <c r="B115" s="620" t="s">
        <v>494</v>
      </c>
      <c r="C115" s="97"/>
      <c r="D115" s="642" t="s">
        <v>639</v>
      </c>
      <c r="E115" s="642" t="s">
        <v>640</v>
      </c>
      <c r="F115" s="642" t="s">
        <v>619</v>
      </c>
      <c r="G115" s="642" t="s">
        <v>641</v>
      </c>
      <c r="H115" s="642" t="s">
        <v>642</v>
      </c>
      <c r="K115" s="151" t="s">
        <v>653</v>
      </c>
      <c r="L115" s="151"/>
      <c r="M115" s="151"/>
      <c r="N115" s="151" t="s">
        <v>654</v>
      </c>
      <c r="O115" s="151"/>
      <c r="P115" s="151"/>
      <c r="Q115" s="97"/>
      <c r="R115" s="97"/>
      <c r="S115" s="97"/>
      <c r="T115" s="212" t="str">
        <f>IF(Sheet1!AM51="","",Sheet1!AM51)</f>
        <v/>
      </c>
      <c r="U115" s="622" t="str">
        <f t="shared" si="7"/>
        <v/>
      </c>
      <c r="V115" s="622" t="str">
        <f t="shared" si="8"/>
        <v/>
      </c>
      <c r="W115" s="622" t="str">
        <f t="shared" si="9"/>
        <v/>
      </c>
      <c r="X115" s="622" t="str">
        <f t="shared" si="10"/>
        <v/>
      </c>
      <c r="Y115" s="622" t="str">
        <f t="shared" si="11"/>
        <v/>
      </c>
    </row>
    <row r="116" spans="1:25" ht="14.1" customHeight="1">
      <c r="A116" s="603" t="s">
        <v>621</v>
      </c>
      <c r="B116" s="620" t="s">
        <v>645</v>
      </c>
      <c r="C116" s="642">
        <v>26.9</v>
      </c>
      <c r="D116" s="643">
        <v>138.88667000000001</v>
      </c>
      <c r="E116" s="643">
        <v>-10.72639</v>
      </c>
      <c r="F116" s="643">
        <v>0.26216</v>
      </c>
      <c r="G116" s="643">
        <v>-8.1999999999999998E-4</v>
      </c>
      <c r="H116" s="643"/>
      <c r="K116" s="151" t="s">
        <v>494</v>
      </c>
      <c r="L116" s="151" t="s">
        <v>655</v>
      </c>
      <c r="M116" s="151" t="s">
        <v>656</v>
      </c>
      <c r="N116" s="151" t="s">
        <v>494</v>
      </c>
      <c r="O116" s="151" t="s">
        <v>655</v>
      </c>
      <c r="P116" s="151" t="s">
        <v>656</v>
      </c>
      <c r="Q116" s="97"/>
      <c r="R116" s="97"/>
      <c r="S116" s="97"/>
      <c r="T116" s="212" t="str">
        <f>IF(Sheet1!AM52="","",Sheet1!AM52)</f>
        <v/>
      </c>
      <c r="U116" s="622" t="str">
        <f t="shared" si="7"/>
        <v/>
      </c>
      <c r="V116" s="622" t="str">
        <f t="shared" si="8"/>
        <v/>
      </c>
      <c r="W116" s="622" t="str">
        <f t="shared" si="9"/>
        <v/>
      </c>
      <c r="X116" s="622" t="str">
        <f t="shared" si="10"/>
        <v/>
      </c>
      <c r="Y116" s="622" t="str">
        <f t="shared" si="11"/>
        <v/>
      </c>
    </row>
    <row r="117" spans="1:25" ht="14.1" customHeight="1">
      <c r="B117" s="620" t="s">
        <v>646</v>
      </c>
      <c r="C117" s="642">
        <v>26.9</v>
      </c>
      <c r="D117" s="643">
        <v>-5009.7751651999997</v>
      </c>
      <c r="E117" s="643">
        <v>605.73200599999996</v>
      </c>
      <c r="F117" s="643">
        <v>-27.3018617</v>
      </c>
      <c r="G117" s="643">
        <v>0.54671139999999996</v>
      </c>
      <c r="H117" s="643">
        <v>-4.0986E-3</v>
      </c>
      <c r="K117" s="150">
        <v>22</v>
      </c>
      <c r="L117" s="150">
        <v>0.2</v>
      </c>
      <c r="M117" s="150">
        <v>0.1</v>
      </c>
      <c r="N117" s="150">
        <v>22</v>
      </c>
      <c r="O117" s="150">
        <v>0.2</v>
      </c>
      <c r="P117" s="150">
        <v>-0.2</v>
      </c>
      <c r="Q117" s="97"/>
      <c r="R117" s="97"/>
      <c r="S117" s="97"/>
      <c r="T117" s="212" t="str">
        <f>IF(Sheet1!AM53="","",Sheet1!AM53)</f>
        <v/>
      </c>
      <c r="U117" s="622" t="str">
        <f t="shared" si="7"/>
        <v/>
      </c>
      <c r="V117" s="622" t="str">
        <f t="shared" si="8"/>
        <v/>
      </c>
      <c r="W117" s="622" t="str">
        <f t="shared" si="9"/>
        <v/>
      </c>
      <c r="X117" s="622" t="str">
        <f t="shared" si="10"/>
        <v/>
      </c>
      <c r="Y117" s="622" t="str">
        <f t="shared" si="11"/>
        <v/>
      </c>
    </row>
    <row r="118" spans="1:25" ht="14.1" customHeight="1">
      <c r="B118" s="97"/>
      <c r="K118" s="150">
        <v>23</v>
      </c>
      <c r="L118" s="150">
        <v>0.2</v>
      </c>
      <c r="M118" s="150">
        <v>-0.1</v>
      </c>
      <c r="N118" s="150">
        <v>23</v>
      </c>
      <c r="O118" s="150">
        <v>0.4</v>
      </c>
      <c r="P118" s="150">
        <v>-0.1</v>
      </c>
      <c r="Q118" s="97"/>
      <c r="R118" s="97"/>
      <c r="S118" s="97"/>
      <c r="T118" s="212" t="str">
        <f>IF(Sheet1!AM54="","",Sheet1!AM54)</f>
        <v/>
      </c>
      <c r="U118" s="622" t="str">
        <f t="shared" si="7"/>
        <v/>
      </c>
      <c r="V118" s="622" t="str">
        <f t="shared" si="8"/>
        <v/>
      </c>
      <c r="W118" s="622" t="str">
        <f t="shared" si="9"/>
        <v/>
      </c>
      <c r="X118" s="622" t="str">
        <f t="shared" si="10"/>
        <v/>
      </c>
      <c r="Y118" s="622" t="str">
        <f t="shared" si="11"/>
        <v/>
      </c>
    </row>
    <row r="119" spans="1:25" ht="14.1" customHeight="1">
      <c r="A119" s="603" t="s">
        <v>622</v>
      </c>
      <c r="B119" s="620" t="s">
        <v>494</v>
      </c>
      <c r="C119" s="97"/>
      <c r="D119" s="642" t="s">
        <v>639</v>
      </c>
      <c r="E119" s="642" t="s">
        <v>640</v>
      </c>
      <c r="F119" s="642" t="s">
        <v>619</v>
      </c>
      <c r="G119" s="642" t="s">
        <v>641</v>
      </c>
      <c r="H119" s="642" t="s">
        <v>642</v>
      </c>
      <c r="K119" s="150">
        <v>24</v>
      </c>
      <c r="L119" s="150">
        <v>0.1</v>
      </c>
      <c r="M119" s="150">
        <v>-0.4</v>
      </c>
      <c r="N119" s="150">
        <v>24</v>
      </c>
      <c r="O119" s="150">
        <v>0.4</v>
      </c>
      <c r="P119" s="150">
        <v>0</v>
      </c>
      <c r="Q119" s="97"/>
      <c r="R119" s="97"/>
      <c r="S119" s="97"/>
      <c r="T119" s="212" t="str">
        <f>IF(Sheet1!AM55="","",Sheet1!AM55)</f>
        <v/>
      </c>
      <c r="U119" s="622" t="str">
        <f t="shared" si="7"/>
        <v/>
      </c>
      <c r="V119" s="622" t="str">
        <f t="shared" si="8"/>
        <v/>
      </c>
      <c r="W119" s="622" t="str">
        <f t="shared" si="9"/>
        <v/>
      </c>
      <c r="X119" s="622" t="str">
        <f t="shared" si="10"/>
        <v/>
      </c>
      <c r="Y119" s="622" t="str">
        <f t="shared" si="11"/>
        <v/>
      </c>
    </row>
    <row r="120" spans="1:25" ht="14.1" customHeight="1">
      <c r="B120" s="620" t="s">
        <v>645</v>
      </c>
      <c r="C120" s="642">
        <v>28.7</v>
      </c>
      <c r="D120" s="642">
        <v>296.34185000000002</v>
      </c>
      <c r="E120" s="642">
        <v>-31.629249999999999</v>
      </c>
      <c r="F120" s="642">
        <v>1.18025</v>
      </c>
      <c r="G120" s="642">
        <v>-1.417E-2</v>
      </c>
      <c r="H120" s="642"/>
      <c r="K120" s="150">
        <v>25</v>
      </c>
      <c r="L120" s="150">
        <v>0.1</v>
      </c>
      <c r="M120" s="150">
        <v>-0.3</v>
      </c>
      <c r="N120" s="150">
        <v>25</v>
      </c>
      <c r="O120" s="150">
        <v>0.5</v>
      </c>
      <c r="P120" s="150">
        <v>-0.1</v>
      </c>
      <c r="Q120" s="97"/>
      <c r="R120" s="97"/>
      <c r="S120" s="97"/>
      <c r="T120" s="261" t="str">
        <f>IF(Sheet1!AM56="","",Sheet1!AM56)</f>
        <v/>
      </c>
      <c r="U120" s="622" t="str">
        <f t="shared" si="7"/>
        <v/>
      </c>
      <c r="V120" s="622" t="str">
        <f t="shared" si="8"/>
        <v/>
      </c>
      <c r="W120" s="622" t="str">
        <f t="shared" si="9"/>
        <v/>
      </c>
      <c r="X120" s="622" t="str">
        <f t="shared" si="10"/>
        <v/>
      </c>
      <c r="Y120" s="622" t="str">
        <f t="shared" si="11"/>
        <v/>
      </c>
    </row>
    <row r="121" spans="1:25" ht="14.1" customHeight="1">
      <c r="B121" s="620" t="s">
        <v>646</v>
      </c>
      <c r="C121" s="642">
        <v>28.7</v>
      </c>
      <c r="D121" s="642">
        <v>4.8344690000000003</v>
      </c>
      <c r="E121" s="642">
        <v>0.919242</v>
      </c>
      <c r="F121" s="642"/>
      <c r="G121" s="642"/>
      <c r="H121" s="642"/>
      <c r="K121" s="150">
        <v>26</v>
      </c>
      <c r="L121" s="150">
        <v>0</v>
      </c>
      <c r="M121" s="150">
        <v>-0.2</v>
      </c>
      <c r="N121" s="150">
        <v>26</v>
      </c>
      <c r="O121" s="150">
        <v>0.5</v>
      </c>
      <c r="P121" s="150">
        <v>-0.2</v>
      </c>
      <c r="Q121" s="97"/>
      <c r="R121" s="97"/>
      <c r="S121" s="97"/>
      <c r="T121" s="266" t="str">
        <f>IF(Sheet1!AM57="","",Sheet1!AM57)</f>
        <v/>
      </c>
      <c r="U121" s="622" t="str">
        <f t="shared" si="7"/>
        <v/>
      </c>
      <c r="V121" s="622" t="str">
        <f t="shared" si="8"/>
        <v/>
      </c>
      <c r="W121" s="622" t="str">
        <f t="shared" si="9"/>
        <v/>
      </c>
      <c r="X121" s="622" t="str">
        <f t="shared" si="10"/>
        <v/>
      </c>
      <c r="Y121" s="622" t="str">
        <f t="shared" si="11"/>
        <v/>
      </c>
    </row>
    <row r="122" spans="1:25" ht="14.1" customHeight="1">
      <c r="B122" s="97"/>
      <c r="K122" s="150">
        <v>27</v>
      </c>
      <c r="L122" s="150">
        <v>0.1</v>
      </c>
      <c r="M122" s="150">
        <v>-0.3</v>
      </c>
      <c r="N122" s="150">
        <v>27</v>
      </c>
      <c r="O122" s="150">
        <v>0.7</v>
      </c>
      <c r="P122" s="150">
        <v>-0.2</v>
      </c>
      <c r="Q122" s="97"/>
      <c r="R122" s="97"/>
      <c r="S122" s="97"/>
      <c r="T122" s="266" t="str">
        <f>IF(Sheet1!AM58="","",Sheet1!AM58)</f>
        <v/>
      </c>
      <c r="U122" s="622" t="str">
        <f t="shared" si="7"/>
        <v/>
      </c>
      <c r="V122" s="622" t="str">
        <f t="shared" si="8"/>
        <v/>
      </c>
      <c r="W122" s="622" t="str">
        <f t="shared" si="9"/>
        <v/>
      </c>
      <c r="X122" s="622" t="str">
        <f t="shared" si="10"/>
        <v/>
      </c>
      <c r="Y122" s="622" t="str">
        <f t="shared" si="11"/>
        <v/>
      </c>
    </row>
    <row r="123" spans="1:25" ht="14.1" customHeight="1">
      <c r="A123" s="603" t="s">
        <v>623</v>
      </c>
      <c r="B123" s="97"/>
      <c r="C123" s="97"/>
      <c r="D123" s="642" t="s">
        <v>639</v>
      </c>
      <c r="E123" s="642" t="s">
        <v>640</v>
      </c>
      <c r="F123" s="642" t="s">
        <v>619</v>
      </c>
      <c r="G123" s="642" t="s">
        <v>641</v>
      </c>
      <c r="H123" s="642" t="s">
        <v>642</v>
      </c>
      <c r="K123" s="150">
        <v>28</v>
      </c>
      <c r="L123" s="150">
        <v>0.2</v>
      </c>
      <c r="M123" s="150">
        <v>-0.5</v>
      </c>
      <c r="N123" s="150">
        <v>28</v>
      </c>
      <c r="O123" s="150">
        <v>0.9</v>
      </c>
      <c r="P123" s="150">
        <v>-0.1</v>
      </c>
      <c r="Q123" s="97"/>
      <c r="R123" s="97"/>
      <c r="S123" s="97"/>
      <c r="T123" s="266" t="str">
        <f>IF(Sheet1!AM59="","",Sheet1!AM59)</f>
        <v/>
      </c>
      <c r="U123" s="622" t="str">
        <f t="shared" si="7"/>
        <v/>
      </c>
      <c r="V123" s="622" t="str">
        <f t="shared" si="8"/>
        <v/>
      </c>
      <c r="W123" s="622" t="str">
        <f t="shared" si="9"/>
        <v/>
      </c>
      <c r="X123" s="622" t="str">
        <f t="shared" si="10"/>
        <v/>
      </c>
      <c r="Y123" s="622" t="str">
        <f t="shared" si="11"/>
        <v/>
      </c>
    </row>
    <row r="124" spans="1:25" ht="14.1" customHeight="1">
      <c r="B124" s="620" t="s">
        <v>645</v>
      </c>
      <c r="C124" s="642">
        <v>28.7</v>
      </c>
      <c r="D124" s="642">
        <v>49.311149999999998</v>
      </c>
      <c r="E124" s="642">
        <v>-2.9301699999999999</v>
      </c>
      <c r="F124" s="642">
        <v>7.3789999999999994E-2</v>
      </c>
      <c r="G124" s="642"/>
      <c r="H124" s="642"/>
      <c r="K124" s="150">
        <v>29</v>
      </c>
      <c r="L124" s="150">
        <v>0.4</v>
      </c>
      <c r="M124" s="150">
        <v>-0.2</v>
      </c>
      <c r="N124" s="150">
        <v>29</v>
      </c>
      <c r="O124" s="150">
        <v>0.8</v>
      </c>
      <c r="P124" s="150">
        <v>-0.3</v>
      </c>
      <c r="Q124" s="97"/>
      <c r="R124" s="97"/>
      <c r="S124" s="97"/>
      <c r="T124" s="266" t="str">
        <f>IF(Sheet1!AM60="","",Sheet1!AM60)</f>
        <v/>
      </c>
      <c r="U124" s="622" t="str">
        <f t="shared" si="7"/>
        <v/>
      </c>
      <c r="V124" s="622" t="str">
        <f t="shared" si="8"/>
        <v/>
      </c>
      <c r="W124" s="622" t="str">
        <f t="shared" si="9"/>
        <v/>
      </c>
      <c r="X124" s="622" t="str">
        <f t="shared" si="10"/>
        <v/>
      </c>
      <c r="Y124" s="622" t="str">
        <f t="shared" si="11"/>
        <v/>
      </c>
    </row>
    <row r="125" spans="1:25" ht="14.1" customHeight="1">
      <c r="B125" s="620"/>
      <c r="C125" s="644" t="s">
        <v>657</v>
      </c>
      <c r="D125" s="642">
        <v>-24.875</v>
      </c>
      <c r="E125" s="642">
        <v>1.8031999999999999</v>
      </c>
      <c r="F125" s="642"/>
      <c r="G125" s="642"/>
      <c r="H125" s="642"/>
      <c r="K125" s="150">
        <v>30</v>
      </c>
      <c r="L125" s="150">
        <v>0.6</v>
      </c>
      <c r="M125" s="150">
        <v>0</v>
      </c>
      <c r="N125" s="150">
        <v>30</v>
      </c>
      <c r="O125" s="150">
        <v>0.8</v>
      </c>
      <c r="P125" s="150">
        <v>-0.4</v>
      </c>
      <c r="Q125" s="97"/>
      <c r="R125" s="97"/>
      <c r="S125" s="97"/>
      <c r="T125" s="266" t="str">
        <f>IF(Sheet1!AM61="","",Sheet1!AM61)</f>
        <v/>
      </c>
      <c r="U125" s="622" t="str">
        <f t="shared" si="7"/>
        <v/>
      </c>
      <c r="V125" s="622" t="str">
        <f t="shared" si="8"/>
        <v/>
      </c>
      <c r="W125" s="622" t="str">
        <f t="shared" si="9"/>
        <v/>
      </c>
      <c r="X125" s="622" t="str">
        <f t="shared" si="10"/>
        <v/>
      </c>
      <c r="Y125" s="622" t="str">
        <f t="shared" si="11"/>
        <v/>
      </c>
    </row>
    <row r="126" spans="1:25" ht="14.1" customHeight="1">
      <c r="B126" s="620" t="s">
        <v>646</v>
      </c>
      <c r="C126" s="642">
        <v>30.1</v>
      </c>
      <c r="D126" s="642">
        <v>-4.8346099999999996</v>
      </c>
      <c r="E126" s="642">
        <v>1.1571499999999999</v>
      </c>
      <c r="F126" s="642"/>
      <c r="G126" s="642"/>
      <c r="H126" s="642"/>
      <c r="K126" s="150">
        <v>31</v>
      </c>
      <c r="L126" s="150">
        <v>0.8</v>
      </c>
      <c r="M126" s="150">
        <v>0.1</v>
      </c>
      <c r="N126" s="150">
        <v>31</v>
      </c>
      <c r="O126" s="150">
        <v>0.8</v>
      </c>
      <c r="P126" s="150">
        <v>-0.3</v>
      </c>
      <c r="Q126" s="97"/>
      <c r="R126" s="97"/>
      <c r="S126" s="97"/>
      <c r="T126" s="266" t="str">
        <f>IF(Sheet1!AM62="","",Sheet1!AM62)</f>
        <v/>
      </c>
      <c r="U126" s="622" t="str">
        <f t="shared" si="7"/>
        <v/>
      </c>
      <c r="V126" s="622" t="str">
        <f t="shared" si="8"/>
        <v/>
      </c>
      <c r="W126" s="622" t="str">
        <f t="shared" si="9"/>
        <v/>
      </c>
      <c r="X126" s="622" t="str">
        <f t="shared" si="10"/>
        <v/>
      </c>
      <c r="Y126" s="622" t="str">
        <f t="shared" si="11"/>
        <v/>
      </c>
    </row>
    <row r="127" spans="1:25" ht="14.1" customHeight="1">
      <c r="K127" s="150">
        <v>32</v>
      </c>
      <c r="L127" s="150">
        <v>1</v>
      </c>
      <c r="M127" s="150">
        <v>0.2</v>
      </c>
      <c r="N127" s="150">
        <v>32</v>
      </c>
      <c r="O127" s="150">
        <v>0.8</v>
      </c>
      <c r="P127" s="150">
        <v>-0.3</v>
      </c>
      <c r="Q127" s="97"/>
      <c r="R127" s="97"/>
      <c r="S127" s="97"/>
      <c r="T127" s="266" t="str">
        <f>IF(Sheet1!AM63="","",Sheet1!AM63)</f>
        <v/>
      </c>
      <c r="U127" s="622" t="str">
        <f t="shared" si="7"/>
        <v/>
      </c>
      <c r="V127" s="622" t="str">
        <f t="shared" si="8"/>
        <v/>
      </c>
      <c r="W127" s="622" t="str">
        <f t="shared" si="9"/>
        <v/>
      </c>
      <c r="X127" s="622" t="str">
        <f t="shared" si="10"/>
        <v/>
      </c>
      <c r="Y127" s="622" t="str">
        <f t="shared" si="11"/>
        <v/>
      </c>
    </row>
    <row r="128" spans="1:25" ht="14.1" customHeight="1">
      <c r="A128" s="603" t="s">
        <v>658</v>
      </c>
      <c r="K128" s="150">
        <v>33</v>
      </c>
      <c r="L128" s="150">
        <v>1</v>
      </c>
      <c r="M128" s="150">
        <v>0.4</v>
      </c>
      <c r="N128" s="150">
        <v>33</v>
      </c>
      <c r="O128" s="150">
        <v>0.9</v>
      </c>
      <c r="P128" s="150">
        <v>-0.3</v>
      </c>
      <c r="Q128" s="97"/>
      <c r="R128" s="97"/>
      <c r="S128" s="97"/>
      <c r="T128" s="266" t="str">
        <f>IF(Sheet1!AM64="","",Sheet1!AM64)</f>
        <v/>
      </c>
      <c r="U128" s="622" t="str">
        <f t="shared" si="7"/>
        <v/>
      </c>
      <c r="V128" s="622" t="str">
        <f t="shared" si="8"/>
        <v/>
      </c>
      <c r="W128" s="622" t="str">
        <f t="shared" si="9"/>
        <v/>
      </c>
      <c r="X128" s="622" t="str">
        <f t="shared" si="10"/>
        <v/>
      </c>
      <c r="Y128" s="622" t="str">
        <f t="shared" si="11"/>
        <v/>
      </c>
    </row>
    <row r="129" spans="1:25" ht="14.1" customHeight="1">
      <c r="A129" s="603" t="s">
        <v>66</v>
      </c>
      <c r="K129" s="150">
        <v>34</v>
      </c>
      <c r="L129" s="150">
        <v>1.1000000000000001</v>
      </c>
      <c r="M129" s="150">
        <v>0.6</v>
      </c>
      <c r="N129" s="150">
        <v>34</v>
      </c>
      <c r="O129" s="150">
        <v>1.1000000000000001</v>
      </c>
      <c r="P129" s="150">
        <v>-0.3</v>
      </c>
      <c r="Q129" s="97"/>
      <c r="R129" s="97"/>
      <c r="S129" s="97"/>
      <c r="T129" s="224" t="str">
        <f>IF(Sheet1!AM65="","",Sheet1!AM65)</f>
        <v/>
      </c>
      <c r="U129" s="622" t="str">
        <f t="shared" si="7"/>
        <v/>
      </c>
      <c r="V129" s="622" t="str">
        <f t="shared" si="8"/>
        <v/>
      </c>
      <c r="W129" s="622" t="str">
        <f t="shared" si="9"/>
        <v/>
      </c>
      <c r="X129" s="622" t="str">
        <f t="shared" si="10"/>
        <v/>
      </c>
      <c r="Y129" s="622" t="str">
        <f t="shared" si="11"/>
        <v/>
      </c>
    </row>
    <row r="130" spans="1:25" ht="14.1" customHeight="1">
      <c r="A130" s="603" t="s">
        <v>659</v>
      </c>
      <c r="B130" s="603">
        <v>0</v>
      </c>
      <c r="C130" s="603">
        <v>1</v>
      </c>
      <c r="D130" s="603">
        <v>2</v>
      </c>
      <c r="E130" s="603">
        <v>3</v>
      </c>
      <c r="F130" s="603">
        <v>4</v>
      </c>
      <c r="G130" s="603">
        <v>5</v>
      </c>
      <c r="H130" s="603">
        <v>6</v>
      </c>
      <c r="K130" s="150">
        <v>35</v>
      </c>
      <c r="L130" s="150">
        <v>1.2</v>
      </c>
      <c r="M130" s="150">
        <v>0.6</v>
      </c>
      <c r="N130" s="150">
        <v>35</v>
      </c>
      <c r="O130" s="150">
        <v>1.1000000000000001</v>
      </c>
      <c r="P130" s="150">
        <v>-0.2</v>
      </c>
      <c r="Q130" s="97"/>
      <c r="R130" s="97"/>
      <c r="S130" s="97"/>
      <c r="T130" s="266" t="str">
        <f>IF(Sheet1!AM66="","",Sheet1!AM66)</f>
        <v/>
      </c>
      <c r="U130" s="622" t="str">
        <f t="shared" si="7"/>
        <v/>
      </c>
      <c r="V130" s="622" t="str">
        <f t="shared" si="8"/>
        <v/>
      </c>
      <c r="W130" s="622" t="str">
        <f t="shared" si="9"/>
        <v/>
      </c>
      <c r="X130" s="622" t="str">
        <f t="shared" si="10"/>
        <v/>
      </c>
      <c r="Y130" s="622" t="str">
        <f t="shared" si="11"/>
        <v/>
      </c>
    </row>
    <row r="131" spans="1:25" ht="14.1" customHeight="1">
      <c r="A131" s="603">
        <v>2</v>
      </c>
      <c r="B131" s="603">
        <v>1</v>
      </c>
      <c r="C131" s="603">
        <v>1</v>
      </c>
      <c r="D131" s="603">
        <v>1</v>
      </c>
      <c r="E131" s="603">
        <v>1</v>
      </c>
      <c r="F131" s="603">
        <v>1</v>
      </c>
      <c r="G131" s="603">
        <v>1</v>
      </c>
      <c r="H131" s="603">
        <v>1</v>
      </c>
      <c r="K131" s="150">
        <v>36</v>
      </c>
      <c r="L131" s="150">
        <v>1.4</v>
      </c>
      <c r="M131" s="150">
        <v>0.6</v>
      </c>
      <c r="N131" s="150">
        <v>36</v>
      </c>
      <c r="O131" s="150">
        <v>1.2</v>
      </c>
      <c r="P131" s="150">
        <v>-0.2</v>
      </c>
      <c r="Q131" s="97"/>
      <c r="R131" s="97"/>
      <c r="S131" s="97"/>
      <c r="T131" s="266" t="str">
        <f>IF(Sheet1!AM67="","",Sheet1!AM67)</f>
        <v/>
      </c>
      <c r="U131" s="622" t="str">
        <f t="shared" si="7"/>
        <v/>
      </c>
      <c r="V131" s="622" t="str">
        <f t="shared" si="8"/>
        <v/>
      </c>
      <c r="W131" s="622" t="str">
        <f t="shared" si="9"/>
        <v/>
      </c>
      <c r="X131" s="622" t="str">
        <f t="shared" si="10"/>
        <v/>
      </c>
      <c r="Y131" s="622" t="str">
        <f t="shared" si="11"/>
        <v/>
      </c>
    </row>
    <row r="132" spans="1:25" ht="14.1" customHeight="1">
      <c r="A132" s="603">
        <v>4</v>
      </c>
      <c r="B132" s="603">
        <v>1</v>
      </c>
      <c r="C132" s="603">
        <v>1</v>
      </c>
      <c r="D132" s="603">
        <v>1</v>
      </c>
      <c r="E132" s="603">
        <v>1</v>
      </c>
      <c r="F132" s="603">
        <v>1</v>
      </c>
      <c r="G132" s="603">
        <v>1</v>
      </c>
      <c r="H132" s="603">
        <v>1</v>
      </c>
      <c r="K132" s="150">
        <v>37</v>
      </c>
      <c r="L132" s="150">
        <v>1.5</v>
      </c>
      <c r="M132" s="150">
        <v>0.7</v>
      </c>
      <c r="N132" s="150">
        <v>37</v>
      </c>
      <c r="O132" s="150">
        <v>1.1000000000000001</v>
      </c>
      <c r="P132" s="150">
        <v>-0.1</v>
      </c>
      <c r="Q132" s="97"/>
      <c r="R132" s="97"/>
      <c r="S132" s="97"/>
      <c r="T132" s="266" t="str">
        <f>IF(Sheet1!AM68="","",Sheet1!AM68)</f>
        <v/>
      </c>
      <c r="U132" s="622" t="str">
        <f t="shared" si="7"/>
        <v/>
      </c>
      <c r="V132" s="622" t="str">
        <f t="shared" si="8"/>
        <v/>
      </c>
      <c r="W132" s="622" t="str">
        <f t="shared" si="9"/>
        <v/>
      </c>
      <c r="X132" s="622" t="str">
        <f t="shared" si="10"/>
        <v/>
      </c>
      <c r="Y132" s="622" t="str">
        <f t="shared" si="11"/>
        <v/>
      </c>
    </row>
    <row r="133" spans="1:25" ht="14.1" customHeight="1">
      <c r="A133" s="603">
        <v>6</v>
      </c>
      <c r="B133" s="603">
        <v>1.04</v>
      </c>
      <c r="C133" s="603">
        <v>1.02</v>
      </c>
      <c r="D133" s="603">
        <v>1.01</v>
      </c>
      <c r="E133" s="603">
        <v>1.08</v>
      </c>
      <c r="F133" s="603">
        <v>1.35</v>
      </c>
      <c r="G133" s="603">
        <v>1.35</v>
      </c>
      <c r="H133" s="603">
        <v>1.31</v>
      </c>
      <c r="K133" s="150">
        <v>38</v>
      </c>
      <c r="L133" s="150">
        <v>1.6</v>
      </c>
      <c r="M133" s="150">
        <v>0.9</v>
      </c>
      <c r="N133" s="150">
        <v>38</v>
      </c>
      <c r="O133" s="150">
        <v>1.1000000000000001</v>
      </c>
      <c r="P133" s="150">
        <v>0</v>
      </c>
      <c r="T133" s="266" t="str">
        <f>IF(Sheet1!AM69="","",Sheet1!AM69)</f>
        <v/>
      </c>
      <c r="U133" s="645" t="str">
        <f t="shared" si="7"/>
        <v/>
      </c>
      <c r="V133" s="645" t="str">
        <f t="shared" si="8"/>
        <v/>
      </c>
      <c r="W133" s="645" t="str">
        <f t="shared" si="9"/>
        <v/>
      </c>
      <c r="X133" s="645" t="str">
        <f t="shared" si="10"/>
        <v/>
      </c>
      <c r="Y133" s="622" t="str">
        <f t="shared" si="11"/>
        <v/>
      </c>
    </row>
    <row r="134" spans="1:25" ht="14.1" customHeight="1">
      <c r="A134" s="603">
        <v>8</v>
      </c>
      <c r="B134" s="603">
        <v>1.23</v>
      </c>
      <c r="C134" s="603">
        <v>1.2</v>
      </c>
      <c r="D134" s="603">
        <v>1.18</v>
      </c>
      <c r="E134" s="603">
        <v>1.1000000000000001</v>
      </c>
      <c r="F134" s="603">
        <v>1.82</v>
      </c>
      <c r="G134" s="603">
        <v>1.85</v>
      </c>
      <c r="H134" s="603">
        <v>1.82</v>
      </c>
      <c r="K134" s="150">
        <v>39</v>
      </c>
      <c r="L134" s="150">
        <v>1.7</v>
      </c>
      <c r="M134" s="150">
        <v>0.8</v>
      </c>
      <c r="N134" s="150">
        <v>39</v>
      </c>
      <c r="O134" s="150">
        <v>1.3</v>
      </c>
      <c r="P134" s="150">
        <v>0.3</v>
      </c>
      <c r="T134" s="266" t="str">
        <f>IF(Sheet1!AM70="","",Sheet1!AM70)</f>
        <v/>
      </c>
      <c r="U134" s="645" t="str">
        <f t="shared" si="7"/>
        <v/>
      </c>
      <c r="V134" s="645" t="str">
        <f t="shared" si="8"/>
        <v/>
      </c>
      <c r="W134" s="645" t="str">
        <f t="shared" si="9"/>
        <v/>
      </c>
      <c r="X134" s="645" t="str">
        <f t="shared" si="10"/>
        <v/>
      </c>
      <c r="Y134" s="622" t="str">
        <f t="shared" si="11"/>
        <v/>
      </c>
    </row>
    <row r="135" spans="1:25" ht="14.1" customHeight="1">
      <c r="A135" s="603" t="s">
        <v>152</v>
      </c>
      <c r="T135" s="266" t="str">
        <f>IF(Sheet1!AM71="","",Sheet1!AM71)</f>
        <v/>
      </c>
      <c r="U135" s="645" t="str">
        <f t="shared" si="7"/>
        <v/>
      </c>
      <c r="V135" s="645" t="str">
        <f t="shared" si="8"/>
        <v/>
      </c>
      <c r="W135" s="645" t="str">
        <f t="shared" si="9"/>
        <v/>
      </c>
      <c r="X135" s="645" t="str">
        <f t="shared" si="10"/>
        <v/>
      </c>
      <c r="Y135" s="622" t="str">
        <f t="shared" si="11"/>
        <v/>
      </c>
    </row>
    <row r="136" spans="1:25" ht="14.1" customHeight="1">
      <c r="A136" s="603" t="s">
        <v>659</v>
      </c>
      <c r="B136" s="603">
        <v>0</v>
      </c>
      <c r="C136" s="603">
        <v>1</v>
      </c>
      <c r="D136" s="603">
        <v>2</v>
      </c>
      <c r="E136" s="603">
        <v>3</v>
      </c>
      <c r="F136" s="603">
        <v>4</v>
      </c>
      <c r="T136" s="266" t="str">
        <f>IF(Sheet1!AM72="","",Sheet1!AM72)</f>
        <v/>
      </c>
      <c r="U136" s="645" t="str">
        <f t="shared" si="7"/>
        <v/>
      </c>
      <c r="V136" s="645" t="str">
        <f t="shared" si="8"/>
        <v/>
      </c>
      <c r="W136" s="645" t="str">
        <f t="shared" si="9"/>
        <v/>
      </c>
      <c r="X136" s="645" t="str">
        <f t="shared" si="10"/>
        <v/>
      </c>
      <c r="Y136" s="622" t="str">
        <f t="shared" si="11"/>
        <v/>
      </c>
    </row>
    <row r="137" spans="1:25" ht="14.1" customHeight="1">
      <c r="A137" s="603">
        <v>2</v>
      </c>
      <c r="B137" s="603">
        <v>1.1499999999999999</v>
      </c>
      <c r="C137" s="603">
        <v>1.1499999999999999</v>
      </c>
      <c r="D137" s="603">
        <v>1.1499999999999999</v>
      </c>
      <c r="E137" s="603">
        <v>1.1499999999999999</v>
      </c>
      <c r="F137" s="603">
        <v>1.5</v>
      </c>
      <c r="T137" s="224" t="str">
        <f>IF(Sheet1!AM73="","",Sheet1!AM73)</f>
        <v/>
      </c>
      <c r="U137" s="645" t="str">
        <f t="shared" si="7"/>
        <v/>
      </c>
      <c r="V137" s="645" t="str">
        <f t="shared" si="8"/>
        <v/>
      </c>
      <c r="W137" s="645" t="str">
        <f t="shared" si="9"/>
        <v/>
      </c>
      <c r="X137" s="645" t="str">
        <f t="shared" si="10"/>
        <v/>
      </c>
      <c r="Y137" s="622" t="str">
        <f t="shared" si="11"/>
        <v/>
      </c>
    </row>
    <row r="138" spans="1:25" ht="14.1" customHeight="1">
      <c r="A138" s="603">
        <v>4</v>
      </c>
      <c r="B138" s="603">
        <v>1.1499999999999999</v>
      </c>
      <c r="C138" s="603">
        <v>1.1499999999999999</v>
      </c>
      <c r="D138" s="603">
        <v>1.1499999999999999</v>
      </c>
      <c r="E138" s="603">
        <v>1.1499999999999999</v>
      </c>
      <c r="F138" s="603">
        <v>1.5</v>
      </c>
      <c r="T138" s="266" t="str">
        <f>IF(Sheet1!AM74="","",Sheet1!AM74)</f>
        <v/>
      </c>
      <c r="U138" s="645" t="str">
        <f t="shared" ref="U138:U169" si="12">IF(T138="","",IF(T138&lt;$C$104,T138+$D$104+$E$104*T138+$F$104*T138^2+$G$104*T138^3,IF(T138&gt;=$C$104,T138+$D$105+$E$105*T138+$F$105*T138^2+$G$105*T138^3+$H$105*T138^4+$I$105*T138^5,"")))</f>
        <v/>
      </c>
      <c r="V138" s="645" t="str">
        <f t="shared" ref="V138:V169" si="13">IF(T138="","",IF(T138&lt;$C$109,T138+$D$109+$E$109*T138+$F$109*T138^2+$G$109*T138^3+$H$109*T138^4+$I$109*T138^5,IF(T138&gt;=$C$109,T138+$D$110+$E$110*T138+$F$110*T138^2+$G$110*T138^3+$H$110*T138^4,"")))</f>
        <v/>
      </c>
      <c r="W138" s="645" t="str">
        <f t="shared" ref="W138:W169" si="14">IF(T138="","",IF(T138&lt;$C$116,$D$116+$E$116*T138+$F$116*T138^2+$G$116*T138^3,IF(T138&gt;=$C$117,$D$117+$E$117*T138+$F$117*T138^2+$G$117*T138^3+$H$117*T138^4,"")))</f>
        <v/>
      </c>
      <c r="X138" s="645" t="str">
        <f t="shared" ref="X138:X169" si="15">IF(T138="","",IF(T138&lt;$C$120,$D$120+$E$120*T138+$F$120*T138^2+$G$120*T138^3,IF(T138&gt;=$C$121,$D$121+$E$121*T138,"")))</f>
        <v/>
      </c>
      <c r="Y138" s="622" t="str">
        <f t="shared" ref="Y138:Y169" si="16">IF(T138="","",IF(T138&lt;$C$124,$D$124+$E$124*T138+$F$124*T138^2,IF(T138&gt;=$C$126,$D$126+$E$126*T138,$D$125+$E$125*T138)))</f>
        <v/>
      </c>
    </row>
    <row r="139" spans="1:25" ht="14.1" customHeight="1">
      <c r="A139" s="603">
        <v>6</v>
      </c>
      <c r="B139" s="603">
        <v>1.19</v>
      </c>
      <c r="C139" s="603">
        <v>1.18</v>
      </c>
      <c r="D139" s="603">
        <v>1.18</v>
      </c>
      <c r="E139" s="603">
        <v>1.18</v>
      </c>
      <c r="F139" s="603">
        <v>1.55</v>
      </c>
      <c r="T139" s="266" t="str">
        <f>IF(Sheet1!AM75="","",Sheet1!AM75)</f>
        <v/>
      </c>
      <c r="U139" s="645" t="str">
        <f t="shared" si="12"/>
        <v/>
      </c>
      <c r="V139" s="645" t="str">
        <f t="shared" si="13"/>
        <v/>
      </c>
      <c r="W139" s="645" t="str">
        <f t="shared" si="14"/>
        <v/>
      </c>
      <c r="X139" s="645" t="str">
        <f t="shared" si="15"/>
        <v/>
      </c>
      <c r="Y139" s="622" t="str">
        <f t="shared" si="16"/>
        <v/>
      </c>
    </row>
    <row r="140" spans="1:25" ht="14.1" customHeight="1">
      <c r="A140" s="603">
        <v>8</v>
      </c>
      <c r="B140" s="603">
        <v>1.28</v>
      </c>
      <c r="C140" s="603">
        <v>1.24</v>
      </c>
      <c r="D140" s="603">
        <v>1.22</v>
      </c>
      <c r="E140" s="603">
        <v>1.29</v>
      </c>
      <c r="F140" s="603">
        <v>1.67</v>
      </c>
      <c r="T140" s="266" t="str">
        <f>IF(Sheet1!AM76="","",Sheet1!AM76)</f>
        <v/>
      </c>
      <c r="U140" s="645" t="str">
        <f t="shared" si="12"/>
        <v/>
      </c>
      <c r="V140" s="645" t="str">
        <f t="shared" si="13"/>
        <v/>
      </c>
      <c r="W140" s="645" t="str">
        <f t="shared" si="14"/>
        <v/>
      </c>
      <c r="X140" s="645" t="str">
        <f t="shared" si="15"/>
        <v/>
      </c>
      <c r="Y140" s="622" t="str">
        <f t="shared" si="16"/>
        <v/>
      </c>
    </row>
    <row r="141" spans="1:25" ht="14.1" customHeight="1">
      <c r="A141" s="603" t="s">
        <v>660</v>
      </c>
      <c r="D141" s="603" t="s">
        <v>661</v>
      </c>
      <c r="T141" s="266" t="str">
        <f>IF(Sheet1!AM77="","",Sheet1!AM77)</f>
        <v/>
      </c>
      <c r="U141" s="645" t="str">
        <f t="shared" si="12"/>
        <v/>
      </c>
      <c r="V141" s="645" t="str">
        <f t="shared" si="13"/>
        <v/>
      </c>
      <c r="W141" s="645" t="str">
        <f t="shared" si="14"/>
        <v/>
      </c>
      <c r="X141" s="645" t="str">
        <f t="shared" si="15"/>
        <v/>
      </c>
      <c r="Y141" s="622" t="str">
        <f t="shared" si="16"/>
        <v/>
      </c>
    </row>
    <row r="142" spans="1:25" ht="14.1" customHeight="1">
      <c r="A142" s="603" t="s">
        <v>659</v>
      </c>
      <c r="B142" s="603">
        <v>0</v>
      </c>
      <c r="D142" s="603" t="s">
        <v>272</v>
      </c>
      <c r="E142" s="603">
        <v>0</v>
      </c>
      <c r="F142" s="603">
        <v>1</v>
      </c>
      <c r="T142" s="266" t="str">
        <f>IF(Sheet1!AM78="","",Sheet1!AM78)</f>
        <v/>
      </c>
      <c r="U142" s="645" t="str">
        <f t="shared" si="12"/>
        <v/>
      </c>
      <c r="V142" s="645" t="str">
        <f t="shared" si="13"/>
        <v/>
      </c>
      <c r="W142" s="645" t="str">
        <f t="shared" si="14"/>
        <v/>
      </c>
      <c r="X142" s="645" t="str">
        <f t="shared" si="15"/>
        <v/>
      </c>
      <c r="Y142" s="622" t="str">
        <f t="shared" si="16"/>
        <v/>
      </c>
    </row>
    <row r="143" spans="1:25" ht="14.1" customHeight="1">
      <c r="A143" s="603">
        <v>2</v>
      </c>
      <c r="B143" s="603">
        <v>0.91</v>
      </c>
      <c r="D143" s="603">
        <v>2</v>
      </c>
      <c r="E143" s="603">
        <v>1</v>
      </c>
      <c r="F143" s="603">
        <v>0.72</v>
      </c>
      <c r="T143" s="266" t="str">
        <f>IF(Sheet1!AM79="","",Sheet1!AM79)</f>
        <v/>
      </c>
      <c r="U143" s="645" t="str">
        <f t="shared" si="12"/>
        <v/>
      </c>
      <c r="V143" s="645" t="str">
        <f t="shared" si="13"/>
        <v/>
      </c>
      <c r="W143" s="645" t="str">
        <f t="shared" si="14"/>
        <v/>
      </c>
      <c r="X143" s="645" t="str">
        <f t="shared" si="15"/>
        <v/>
      </c>
      <c r="Y143" s="622" t="str">
        <f t="shared" si="16"/>
        <v/>
      </c>
    </row>
    <row r="144" spans="1:25" ht="14.1" customHeight="1">
      <c r="A144" s="603">
        <v>4</v>
      </c>
      <c r="B144" s="603">
        <v>1</v>
      </c>
      <c r="D144" s="603">
        <v>4</v>
      </c>
      <c r="E144" s="603">
        <v>1</v>
      </c>
      <c r="F144" s="603">
        <v>0.9</v>
      </c>
      <c r="T144" s="266" t="str">
        <f>IF(Sheet1!AM80="","",Sheet1!AM80)</f>
        <v/>
      </c>
      <c r="U144" s="645" t="str">
        <f t="shared" si="12"/>
        <v/>
      </c>
      <c r="V144" s="645" t="str">
        <f t="shared" si="13"/>
        <v/>
      </c>
      <c r="W144" s="645" t="str">
        <f t="shared" si="14"/>
        <v/>
      </c>
      <c r="X144" s="645" t="str">
        <f t="shared" si="15"/>
        <v/>
      </c>
      <c r="Y144" s="622" t="str">
        <f t="shared" si="16"/>
        <v/>
      </c>
    </row>
    <row r="145" spans="1:25" ht="14.1" customHeight="1">
      <c r="A145" s="603">
        <v>6</v>
      </c>
      <c r="B145" s="603">
        <v>1.32</v>
      </c>
      <c r="D145" s="603">
        <v>6</v>
      </c>
      <c r="E145" s="603">
        <v>1.91</v>
      </c>
      <c r="F145" s="603">
        <v>1.71</v>
      </c>
      <c r="T145" s="224" t="str">
        <f>IF(Sheet1!AM81="","",Sheet1!AM81)</f>
        <v/>
      </c>
      <c r="U145" s="645" t="str">
        <f t="shared" si="12"/>
        <v/>
      </c>
      <c r="V145" s="645" t="str">
        <f t="shared" si="13"/>
        <v/>
      </c>
      <c r="W145" s="645" t="str">
        <f t="shared" si="14"/>
        <v/>
      </c>
      <c r="X145" s="645" t="str">
        <f t="shared" si="15"/>
        <v/>
      </c>
      <c r="Y145" s="622" t="str">
        <f t="shared" si="16"/>
        <v/>
      </c>
    </row>
    <row r="146" spans="1:25" ht="14.1" customHeight="1">
      <c r="A146" s="603">
        <v>8</v>
      </c>
      <c r="B146" s="603">
        <v>1.88</v>
      </c>
      <c r="D146" s="603">
        <v>8</v>
      </c>
      <c r="E146" s="603">
        <v>1.81</v>
      </c>
      <c r="F146" s="603">
        <v>2.2200000000000002</v>
      </c>
      <c r="T146" s="266" t="str">
        <f>IF(Sheet1!AM82="","",Sheet1!AM82)</f>
        <v/>
      </c>
      <c r="U146" s="645" t="str">
        <f t="shared" si="12"/>
        <v/>
      </c>
      <c r="V146" s="645" t="str">
        <f t="shared" si="13"/>
        <v/>
      </c>
      <c r="W146" s="645" t="str">
        <f t="shared" si="14"/>
        <v/>
      </c>
      <c r="X146" s="645" t="str">
        <f t="shared" si="15"/>
        <v/>
      </c>
      <c r="Y146" s="622" t="str">
        <f t="shared" si="16"/>
        <v/>
      </c>
    </row>
    <row r="147" spans="1:25" ht="14.1" customHeight="1">
      <c r="A147" s="603" t="s">
        <v>662</v>
      </c>
      <c r="E147" s="603" t="s">
        <v>663</v>
      </c>
      <c r="T147" s="266" t="str">
        <f>IF(Sheet1!AM83="","",Sheet1!AM83)</f>
        <v/>
      </c>
      <c r="U147" s="645" t="str">
        <f t="shared" si="12"/>
        <v/>
      </c>
      <c r="V147" s="645" t="str">
        <f t="shared" si="13"/>
        <v/>
      </c>
      <c r="W147" s="645" t="str">
        <f t="shared" si="14"/>
        <v/>
      </c>
      <c r="X147" s="645" t="str">
        <f t="shared" si="15"/>
        <v/>
      </c>
      <c r="Y147" s="622" t="str">
        <f t="shared" si="16"/>
        <v/>
      </c>
    </row>
    <row r="148" spans="1:25" ht="14.1" customHeight="1">
      <c r="A148" s="603" t="s">
        <v>659</v>
      </c>
      <c r="B148" s="603">
        <v>0</v>
      </c>
      <c r="C148" s="603">
        <v>1</v>
      </c>
      <c r="E148" s="603" t="s">
        <v>272</v>
      </c>
      <c r="F148" s="603">
        <v>0</v>
      </c>
      <c r="T148" s="266" t="str">
        <f>IF(Sheet1!AM84="","",Sheet1!AM84)</f>
        <v/>
      </c>
      <c r="U148" s="645" t="str">
        <f t="shared" si="12"/>
        <v/>
      </c>
      <c r="V148" s="645" t="str">
        <f t="shared" si="13"/>
        <v/>
      </c>
      <c r="W148" s="645" t="str">
        <f t="shared" si="14"/>
        <v/>
      </c>
      <c r="X148" s="645" t="str">
        <f t="shared" si="15"/>
        <v/>
      </c>
      <c r="Y148" s="622" t="str">
        <f t="shared" si="16"/>
        <v/>
      </c>
    </row>
    <row r="149" spans="1:25" ht="14.1" customHeight="1">
      <c r="A149" s="603">
        <v>2</v>
      </c>
      <c r="B149" s="603">
        <v>0.7</v>
      </c>
      <c r="C149" s="603">
        <v>0.7</v>
      </c>
      <c r="E149" s="603">
        <v>2</v>
      </c>
      <c r="F149" s="603">
        <v>0.56999999999999995</v>
      </c>
      <c r="T149" s="266" t="str">
        <f>IF(Sheet1!AM85="","",Sheet1!AM85)</f>
        <v/>
      </c>
      <c r="U149" s="645" t="str">
        <f t="shared" si="12"/>
        <v/>
      </c>
      <c r="V149" s="645" t="str">
        <f t="shared" si="13"/>
        <v/>
      </c>
      <c r="W149" s="645" t="str">
        <f t="shared" si="14"/>
        <v/>
      </c>
      <c r="X149" s="645" t="str">
        <f t="shared" si="15"/>
        <v/>
      </c>
      <c r="Y149" s="622" t="str">
        <f t="shared" si="16"/>
        <v/>
      </c>
    </row>
    <row r="150" spans="1:25" ht="14.1" customHeight="1">
      <c r="A150" s="603">
        <v>4</v>
      </c>
      <c r="B150" s="603">
        <v>0.91</v>
      </c>
      <c r="C150" s="603">
        <v>0.91</v>
      </c>
      <c r="E150" s="603">
        <v>4</v>
      </c>
      <c r="F150" s="603">
        <v>0.91</v>
      </c>
      <c r="T150" s="266" t="str">
        <f>IF(Sheet1!AM86="","",Sheet1!AM86)</f>
        <v/>
      </c>
      <c r="U150" s="645" t="str">
        <f t="shared" si="12"/>
        <v/>
      </c>
      <c r="V150" s="645" t="str">
        <f t="shared" si="13"/>
        <v/>
      </c>
      <c r="W150" s="645" t="str">
        <f t="shared" si="14"/>
        <v/>
      </c>
      <c r="X150" s="645" t="str">
        <f t="shared" si="15"/>
        <v/>
      </c>
      <c r="Y150" s="622" t="str">
        <f t="shared" si="16"/>
        <v/>
      </c>
    </row>
    <row r="151" spans="1:25" ht="14.1" customHeight="1">
      <c r="A151" s="603">
        <v>6</v>
      </c>
      <c r="B151" s="603">
        <v>1.55</v>
      </c>
      <c r="C151" s="603">
        <v>1.55</v>
      </c>
      <c r="E151" s="603">
        <v>6</v>
      </c>
      <c r="F151" s="603">
        <v>1.68</v>
      </c>
      <c r="T151" s="266" t="str">
        <f>IF(Sheet1!AM87="","",Sheet1!AM87)</f>
        <v/>
      </c>
      <c r="U151" s="645" t="str">
        <f t="shared" si="12"/>
        <v/>
      </c>
      <c r="V151" s="645" t="str">
        <f t="shared" si="13"/>
        <v/>
      </c>
      <c r="W151" s="645" t="str">
        <f t="shared" si="14"/>
        <v/>
      </c>
      <c r="X151" s="645" t="str">
        <f t="shared" si="15"/>
        <v/>
      </c>
      <c r="Y151" s="622" t="str">
        <f t="shared" si="16"/>
        <v/>
      </c>
    </row>
    <row r="152" spans="1:25" ht="14.1" customHeight="1">
      <c r="A152" s="603">
        <v>8</v>
      </c>
      <c r="B152" s="603">
        <v>2.78</v>
      </c>
      <c r="C152" s="603">
        <v>2.78</v>
      </c>
      <c r="E152" s="603">
        <v>8</v>
      </c>
      <c r="F152" s="603">
        <v>1.93</v>
      </c>
      <c r="T152" s="266" t="str">
        <f>IF(Sheet1!AM88="","",Sheet1!AM88)</f>
        <v/>
      </c>
      <c r="U152" s="645" t="str">
        <f t="shared" si="12"/>
        <v/>
      </c>
      <c r="V152" s="645" t="str">
        <f t="shared" si="13"/>
        <v/>
      </c>
      <c r="W152" s="645" t="str">
        <f t="shared" si="14"/>
        <v/>
      </c>
      <c r="X152" s="645" t="str">
        <f t="shared" si="15"/>
        <v/>
      </c>
      <c r="Y152" s="622" t="str">
        <f t="shared" si="16"/>
        <v/>
      </c>
    </row>
    <row r="153" spans="1:25" ht="14.1" customHeight="1">
      <c r="A153" s="97"/>
      <c r="B153" s="97"/>
      <c r="C153" s="97"/>
      <c r="D153" s="97"/>
      <c r="E153" s="97"/>
      <c r="F153" s="97"/>
      <c r="T153" s="224" t="str">
        <f>IF(Sheet1!AM89="","",Sheet1!AM89)</f>
        <v/>
      </c>
      <c r="U153" s="645" t="str">
        <f t="shared" si="12"/>
        <v/>
      </c>
      <c r="V153" s="645" t="str">
        <f t="shared" si="13"/>
        <v/>
      </c>
      <c r="W153" s="645" t="str">
        <f t="shared" si="14"/>
        <v/>
      </c>
      <c r="X153" s="645" t="str">
        <f t="shared" si="15"/>
        <v/>
      </c>
      <c r="Y153" s="622" t="str">
        <f t="shared" si="16"/>
        <v/>
      </c>
    </row>
    <row r="154" spans="1:25" ht="14.1" customHeight="1">
      <c r="A154" s="97" t="s">
        <v>664</v>
      </c>
      <c r="B154" s="97"/>
      <c r="C154" s="97"/>
      <c r="D154" s="97"/>
      <c r="E154" s="97"/>
      <c r="F154" s="97"/>
      <c r="T154" s="283" t="str">
        <f>IF(Sheet1!AM90="","",Sheet1!AM90)</f>
        <v/>
      </c>
      <c r="U154" s="645" t="str">
        <f t="shared" si="12"/>
        <v/>
      </c>
      <c r="V154" s="645" t="str">
        <f t="shared" si="13"/>
        <v/>
      </c>
      <c r="W154" s="645" t="str">
        <f t="shared" si="14"/>
        <v/>
      </c>
      <c r="X154" s="645" t="str">
        <f t="shared" si="15"/>
        <v/>
      </c>
      <c r="Y154" s="622" t="str">
        <f t="shared" si="16"/>
        <v/>
      </c>
    </row>
    <row r="155" spans="1:25" ht="14.1" customHeight="1">
      <c r="A155" s="603" t="s">
        <v>659</v>
      </c>
      <c r="B155" s="692">
        <v>0</v>
      </c>
      <c r="C155" s="692"/>
      <c r="D155" s="692">
        <v>1</v>
      </c>
      <c r="E155" s="692"/>
      <c r="F155" s="692">
        <v>2</v>
      </c>
      <c r="G155" s="692"/>
      <c r="H155" s="692">
        <v>2</v>
      </c>
      <c r="I155" s="692"/>
      <c r="T155" s="208" t="str">
        <f>IF(Sheet1!AM91="","",Sheet1!AM91)</f>
        <v/>
      </c>
      <c r="U155" s="645" t="str">
        <f t="shared" si="12"/>
        <v/>
      </c>
      <c r="V155" s="645" t="str">
        <f t="shared" si="13"/>
        <v/>
      </c>
      <c r="W155" s="645" t="str">
        <f t="shared" si="14"/>
        <v/>
      </c>
      <c r="X155" s="645" t="str">
        <f t="shared" si="15"/>
        <v/>
      </c>
      <c r="Y155" s="622" t="str">
        <f t="shared" si="16"/>
        <v/>
      </c>
    </row>
    <row r="156" spans="1:25" ht="14.1" customHeight="1">
      <c r="A156"/>
      <c r="B156" s="620" t="s">
        <v>655</v>
      </c>
      <c r="C156" s="620" t="s">
        <v>656</v>
      </c>
      <c r="D156" s="620" t="s">
        <v>655</v>
      </c>
      <c r="E156" s="620" t="s">
        <v>656</v>
      </c>
      <c r="F156" s="620" t="s">
        <v>655</v>
      </c>
      <c r="G156" s="620" t="s">
        <v>656</v>
      </c>
      <c r="H156" s="620" t="s">
        <v>655</v>
      </c>
      <c r="I156" s="620" t="s">
        <v>656</v>
      </c>
      <c r="T156" s="287" t="str">
        <f>IF(Sheet1!AM92="","",Sheet1!AM92)</f>
        <v/>
      </c>
      <c r="U156" s="645" t="str">
        <f t="shared" si="12"/>
        <v/>
      </c>
      <c r="V156" s="645" t="str">
        <f t="shared" si="13"/>
        <v/>
      </c>
      <c r="W156" s="645" t="str">
        <f t="shared" si="14"/>
        <v/>
      </c>
      <c r="X156" s="645" t="str">
        <f t="shared" si="15"/>
        <v/>
      </c>
      <c r="Y156" s="622" t="str">
        <f t="shared" si="16"/>
        <v/>
      </c>
    </row>
    <row r="157" spans="1:25" ht="14.1" customHeight="1">
      <c r="A157" s="97">
        <v>0</v>
      </c>
      <c r="B157" s="620">
        <v>1</v>
      </c>
      <c r="C157" s="620">
        <v>1</v>
      </c>
      <c r="D157" s="620">
        <v>1</v>
      </c>
      <c r="E157" s="620">
        <v>1</v>
      </c>
      <c r="F157" s="620">
        <v>1</v>
      </c>
      <c r="G157" s="620">
        <v>1</v>
      </c>
      <c r="H157" s="620">
        <v>1</v>
      </c>
      <c r="I157" s="620">
        <v>1</v>
      </c>
      <c r="T157" s="287" t="str">
        <f>IF(Sheet1!AM93="","",Sheet1!AM93)</f>
        <v/>
      </c>
      <c r="U157" s="645" t="str">
        <f t="shared" si="12"/>
        <v/>
      </c>
      <c r="V157" s="645" t="str">
        <f t="shared" si="13"/>
        <v/>
      </c>
      <c r="W157" s="645" t="str">
        <f t="shared" si="14"/>
        <v/>
      </c>
      <c r="X157" s="645" t="str">
        <f t="shared" si="15"/>
        <v/>
      </c>
      <c r="Y157" s="622" t="str">
        <f t="shared" si="16"/>
        <v/>
      </c>
    </row>
    <row r="158" spans="1:25" ht="14.1" customHeight="1">
      <c r="A158" s="97">
        <v>1</v>
      </c>
      <c r="B158" s="620">
        <v>1</v>
      </c>
      <c r="C158" s="620">
        <v>1</v>
      </c>
      <c r="D158" s="620">
        <v>1</v>
      </c>
      <c r="E158" s="620">
        <v>1</v>
      </c>
      <c r="F158" s="620">
        <v>1</v>
      </c>
      <c r="G158" s="620">
        <v>1</v>
      </c>
      <c r="H158" s="620">
        <v>1</v>
      </c>
      <c r="I158" s="620">
        <v>1</v>
      </c>
      <c r="T158" s="287" t="str">
        <f>IF(Sheet1!AM94="","",Sheet1!AM94)</f>
        <v/>
      </c>
      <c r="U158" s="645" t="str">
        <f t="shared" si="12"/>
        <v/>
      </c>
      <c r="V158" s="645" t="str">
        <f t="shared" si="13"/>
        <v/>
      </c>
      <c r="W158" s="645" t="str">
        <f t="shared" si="14"/>
        <v/>
      </c>
      <c r="X158" s="645" t="str">
        <f t="shared" si="15"/>
        <v/>
      </c>
      <c r="Y158" s="622" t="str">
        <f t="shared" si="16"/>
        <v/>
      </c>
    </row>
    <row r="159" spans="1:25" ht="14.1" customHeight="1">
      <c r="A159" s="97">
        <v>2</v>
      </c>
      <c r="B159" s="620">
        <v>1</v>
      </c>
      <c r="C159" s="620">
        <v>1</v>
      </c>
      <c r="D159" s="620">
        <v>1</v>
      </c>
      <c r="E159" s="620">
        <v>1</v>
      </c>
      <c r="F159" s="617">
        <v>1</v>
      </c>
      <c r="G159" s="620">
        <v>1</v>
      </c>
      <c r="H159" s="620">
        <v>1</v>
      </c>
      <c r="I159" s="620">
        <v>1</v>
      </c>
      <c r="T159" s="287" t="str">
        <f>IF(Sheet1!AM95="","",Sheet1!AM95)</f>
        <v/>
      </c>
      <c r="U159" s="645" t="str">
        <f t="shared" si="12"/>
        <v/>
      </c>
      <c r="V159" s="645" t="str">
        <f t="shared" si="13"/>
        <v/>
      </c>
      <c r="W159" s="645" t="str">
        <f t="shared" si="14"/>
        <v/>
      </c>
      <c r="X159" s="645" t="str">
        <f t="shared" si="15"/>
        <v/>
      </c>
      <c r="Y159" s="622" t="str">
        <f t="shared" si="16"/>
        <v/>
      </c>
    </row>
    <row r="160" spans="1:25" ht="14.1" customHeight="1">
      <c r="A160" s="603">
        <v>3</v>
      </c>
      <c r="B160" s="620">
        <v>1</v>
      </c>
      <c r="C160" s="620">
        <v>1</v>
      </c>
      <c r="D160" s="620">
        <v>1</v>
      </c>
      <c r="E160" s="620">
        <v>1</v>
      </c>
      <c r="F160" s="617">
        <v>1</v>
      </c>
      <c r="G160" s="620">
        <v>1</v>
      </c>
      <c r="H160" s="620">
        <v>1</v>
      </c>
      <c r="I160" s="620">
        <v>1</v>
      </c>
      <c r="T160" s="287" t="str">
        <f>IF(Sheet1!AM96="","",Sheet1!AM96)</f>
        <v/>
      </c>
      <c r="U160" s="645" t="str">
        <f t="shared" si="12"/>
        <v/>
      </c>
      <c r="V160" s="645" t="str">
        <f t="shared" si="13"/>
        <v/>
      </c>
      <c r="W160" s="645" t="str">
        <f t="shared" si="14"/>
        <v/>
      </c>
      <c r="X160" s="645" t="str">
        <f t="shared" si="15"/>
        <v/>
      </c>
      <c r="Y160" s="622" t="str">
        <f t="shared" si="16"/>
        <v/>
      </c>
    </row>
    <row r="161" spans="1:25" ht="14.1" customHeight="1">
      <c r="A161" s="603">
        <v>4</v>
      </c>
      <c r="B161" s="620">
        <v>1</v>
      </c>
      <c r="C161" s="620">
        <v>1</v>
      </c>
      <c r="D161" s="620">
        <v>1</v>
      </c>
      <c r="E161" s="620">
        <v>1</v>
      </c>
      <c r="F161" s="617">
        <v>1</v>
      </c>
      <c r="G161" s="620">
        <v>1</v>
      </c>
      <c r="H161" s="620">
        <v>1</v>
      </c>
      <c r="I161" s="620">
        <v>1</v>
      </c>
      <c r="T161" s="287" t="str">
        <f>IF(Sheet1!AM97="","",Sheet1!AM97)</f>
        <v/>
      </c>
      <c r="U161" s="645" t="str">
        <f t="shared" si="12"/>
        <v/>
      </c>
      <c r="V161" s="645" t="str">
        <f t="shared" si="13"/>
        <v/>
      </c>
      <c r="W161" s="645" t="str">
        <f t="shared" si="14"/>
        <v/>
      </c>
      <c r="X161" s="645" t="str">
        <f t="shared" si="15"/>
        <v/>
      </c>
      <c r="Y161" s="622" t="str">
        <f t="shared" si="16"/>
        <v/>
      </c>
    </row>
    <row r="162" spans="1:25" ht="14.1" customHeight="1">
      <c r="A162" s="603">
        <v>5</v>
      </c>
      <c r="B162" s="620">
        <v>1</v>
      </c>
      <c r="C162" s="620">
        <v>1</v>
      </c>
      <c r="D162" s="620">
        <v>1</v>
      </c>
      <c r="E162" s="620">
        <v>1</v>
      </c>
      <c r="F162" s="617">
        <v>1.1499999999999999</v>
      </c>
      <c r="G162" s="620">
        <v>1</v>
      </c>
      <c r="H162" s="620">
        <v>1</v>
      </c>
      <c r="I162" s="620">
        <v>1</v>
      </c>
      <c r="T162" s="287" t="str">
        <f>IF(Sheet1!AM98="","",Sheet1!AM98)</f>
        <v/>
      </c>
      <c r="U162" s="645" t="str">
        <f t="shared" si="12"/>
        <v/>
      </c>
      <c r="V162" s="645" t="str">
        <f t="shared" si="13"/>
        <v/>
      </c>
      <c r="W162" s="645" t="str">
        <f t="shared" si="14"/>
        <v/>
      </c>
      <c r="X162" s="645" t="str">
        <f t="shared" si="15"/>
        <v/>
      </c>
      <c r="Y162" s="622" t="str">
        <f t="shared" si="16"/>
        <v/>
      </c>
    </row>
    <row r="163" spans="1:25" ht="14.1" customHeight="1">
      <c r="A163" s="603">
        <v>6</v>
      </c>
      <c r="B163" s="620">
        <v>1</v>
      </c>
      <c r="C163" s="620">
        <v>1</v>
      </c>
      <c r="D163" s="620">
        <v>1</v>
      </c>
      <c r="E163" s="617">
        <v>1.1499999999999999</v>
      </c>
      <c r="F163" s="617">
        <v>1.1499999999999999</v>
      </c>
      <c r="G163" s="620">
        <v>1</v>
      </c>
      <c r="H163" s="620">
        <v>1</v>
      </c>
      <c r="I163" s="620">
        <v>1</v>
      </c>
      <c r="T163" s="224" t="str">
        <f>IF(Sheet1!AM99="","",Sheet1!AM99)</f>
        <v/>
      </c>
      <c r="U163" s="645" t="str">
        <f t="shared" si="12"/>
        <v/>
      </c>
      <c r="V163" s="645" t="str">
        <f t="shared" si="13"/>
        <v/>
      </c>
      <c r="W163" s="645" t="str">
        <f t="shared" si="14"/>
        <v/>
      </c>
      <c r="X163" s="645" t="str">
        <f t="shared" si="15"/>
        <v/>
      </c>
      <c r="Y163" s="622" t="str">
        <f t="shared" si="16"/>
        <v/>
      </c>
    </row>
    <row r="164" spans="1:25" ht="14.1" customHeight="1">
      <c r="A164" s="603">
        <v>7</v>
      </c>
      <c r="B164" s="617">
        <v>1.1000000000000001</v>
      </c>
      <c r="C164" s="620">
        <v>1</v>
      </c>
      <c r="D164" s="617">
        <v>1.1000000000000001</v>
      </c>
      <c r="E164" s="617">
        <v>1.1499999999999999</v>
      </c>
      <c r="F164" s="617">
        <v>1.1499999999999999</v>
      </c>
      <c r="G164" s="620">
        <v>1</v>
      </c>
      <c r="H164" s="620">
        <v>1</v>
      </c>
      <c r="I164" s="620">
        <v>1</v>
      </c>
      <c r="T164" s="287" t="str">
        <f>IF(Sheet1!AM100="","",Sheet1!AM100)</f>
        <v/>
      </c>
      <c r="U164" s="645" t="str">
        <f t="shared" si="12"/>
        <v/>
      </c>
      <c r="V164" s="645" t="str">
        <f t="shared" si="13"/>
        <v/>
      </c>
      <c r="W164" s="645" t="str">
        <f t="shared" si="14"/>
        <v/>
      </c>
      <c r="X164" s="645" t="str">
        <f t="shared" si="15"/>
        <v/>
      </c>
      <c r="Y164" s="622" t="str">
        <f t="shared" si="16"/>
        <v/>
      </c>
    </row>
    <row r="165" spans="1:25" ht="14.1" customHeight="1">
      <c r="A165" s="603">
        <v>8</v>
      </c>
      <c r="B165" s="617">
        <v>1.1499999999999999</v>
      </c>
      <c r="C165" s="620">
        <v>1</v>
      </c>
      <c r="D165" s="617">
        <v>1.1499999999999999</v>
      </c>
      <c r="E165" s="617">
        <v>1.1499999999999999</v>
      </c>
      <c r="F165" s="617">
        <v>1.1499999999999999</v>
      </c>
      <c r="G165" s="620">
        <v>1</v>
      </c>
      <c r="H165" s="620">
        <v>1</v>
      </c>
      <c r="I165" s="620">
        <v>1</v>
      </c>
      <c r="T165" s="287" t="str">
        <f>IF(Sheet1!AM101="","",Sheet1!AM101)</f>
        <v/>
      </c>
      <c r="U165" s="645" t="str">
        <f t="shared" si="12"/>
        <v/>
      </c>
      <c r="V165" s="645" t="str">
        <f t="shared" si="13"/>
        <v/>
      </c>
      <c r="W165" s="645" t="str">
        <f t="shared" si="14"/>
        <v/>
      </c>
      <c r="X165" s="645" t="str">
        <f t="shared" si="15"/>
        <v/>
      </c>
      <c r="Y165" s="622" t="str">
        <f t="shared" si="16"/>
        <v/>
      </c>
    </row>
    <row r="166" spans="1:25" ht="14.1" customHeight="1">
      <c r="A166" s="603">
        <v>9</v>
      </c>
      <c r="B166" s="617">
        <v>1.1000000000000001</v>
      </c>
      <c r="C166" s="620">
        <v>1</v>
      </c>
      <c r="D166" s="617">
        <v>1.1000000000000001</v>
      </c>
      <c r="E166" s="617">
        <v>1.1499999999999999</v>
      </c>
      <c r="F166" s="617">
        <v>1.1499999999999999</v>
      </c>
      <c r="G166" s="620">
        <v>1</v>
      </c>
      <c r="H166" s="620">
        <v>1</v>
      </c>
      <c r="I166" s="620">
        <v>1</v>
      </c>
      <c r="T166" s="287" t="str">
        <f>IF(Sheet1!AM102="","",Sheet1!AM102)</f>
        <v/>
      </c>
      <c r="U166" s="645" t="str">
        <f t="shared" si="12"/>
        <v/>
      </c>
      <c r="V166" s="645" t="str">
        <f t="shared" si="13"/>
        <v/>
      </c>
      <c r="W166" s="645" t="str">
        <f t="shared" si="14"/>
        <v/>
      </c>
      <c r="X166" s="645" t="str">
        <f t="shared" si="15"/>
        <v/>
      </c>
      <c r="Y166" s="622" t="str">
        <f t="shared" si="16"/>
        <v/>
      </c>
    </row>
    <row r="167" spans="1:25" ht="14.1" customHeight="1">
      <c r="A167" s="603">
        <v>10</v>
      </c>
      <c r="B167" s="617">
        <v>1</v>
      </c>
      <c r="C167" s="620">
        <v>1</v>
      </c>
      <c r="D167" s="617">
        <v>1</v>
      </c>
      <c r="E167" s="617">
        <v>1</v>
      </c>
      <c r="F167" s="617">
        <v>1</v>
      </c>
      <c r="G167" s="620">
        <v>1</v>
      </c>
      <c r="H167" s="620">
        <v>1</v>
      </c>
      <c r="I167" s="620">
        <v>1</v>
      </c>
      <c r="T167" s="287" t="str">
        <f>IF(Sheet1!AM103="","",Sheet1!AM103)</f>
        <v/>
      </c>
      <c r="U167" s="645" t="str">
        <f t="shared" si="12"/>
        <v/>
      </c>
      <c r="V167" s="645" t="str">
        <f t="shared" si="13"/>
        <v/>
      </c>
      <c r="W167" s="645" t="str">
        <f t="shared" si="14"/>
        <v/>
      </c>
      <c r="X167" s="645" t="str">
        <f t="shared" si="15"/>
        <v/>
      </c>
      <c r="Y167" s="622" t="str">
        <f t="shared" si="16"/>
        <v/>
      </c>
    </row>
    <row r="168" spans="1:25" ht="14.1" customHeight="1">
      <c r="A168" s="603">
        <v>11</v>
      </c>
      <c r="B168" s="620">
        <v>1</v>
      </c>
      <c r="C168" s="620">
        <v>1</v>
      </c>
      <c r="D168" s="620">
        <v>1</v>
      </c>
      <c r="E168" s="620">
        <v>1</v>
      </c>
      <c r="F168" s="617">
        <v>1</v>
      </c>
      <c r="G168" s="620">
        <v>1</v>
      </c>
      <c r="H168" s="620">
        <v>1</v>
      </c>
      <c r="I168" s="620">
        <v>1</v>
      </c>
      <c r="T168" s="287" t="str">
        <f>IF(Sheet1!AM104="","",Sheet1!AM104)</f>
        <v/>
      </c>
      <c r="U168" s="645" t="str">
        <f t="shared" si="12"/>
        <v/>
      </c>
      <c r="V168" s="645" t="str">
        <f t="shared" si="13"/>
        <v/>
      </c>
      <c r="W168" s="645" t="str">
        <f t="shared" si="14"/>
        <v/>
      </c>
      <c r="X168" s="645" t="str">
        <f t="shared" si="15"/>
        <v/>
      </c>
      <c r="Y168" s="622" t="str">
        <f t="shared" si="16"/>
        <v/>
      </c>
    </row>
    <row r="169" spans="1:25" ht="14.1" customHeight="1">
      <c r="A169" s="603">
        <v>12</v>
      </c>
      <c r="B169" s="620">
        <v>1</v>
      </c>
      <c r="C169" s="620">
        <v>1</v>
      </c>
      <c r="D169" s="620">
        <v>1</v>
      </c>
      <c r="E169" s="620">
        <v>1</v>
      </c>
      <c r="F169" s="617">
        <v>1</v>
      </c>
      <c r="G169" s="620">
        <v>1</v>
      </c>
      <c r="H169" s="620">
        <v>1</v>
      </c>
      <c r="I169" s="620">
        <v>1</v>
      </c>
      <c r="T169" s="287" t="str">
        <f>IF(Sheet1!AM105="","",Sheet1!AM105)</f>
        <v/>
      </c>
      <c r="U169" s="645" t="str">
        <f t="shared" si="12"/>
        <v/>
      </c>
      <c r="V169" s="645" t="str">
        <f t="shared" si="13"/>
        <v/>
      </c>
      <c r="W169" s="645" t="str">
        <f t="shared" si="14"/>
        <v/>
      </c>
      <c r="X169" s="645" t="str">
        <f t="shared" si="15"/>
        <v/>
      </c>
      <c r="Y169" s="622" t="str">
        <f t="shared" si="16"/>
        <v/>
      </c>
    </row>
    <row r="170" spans="1:25" ht="14.1" customHeight="1">
      <c r="A170" s="603">
        <v>13</v>
      </c>
      <c r="B170" s="620">
        <v>1</v>
      </c>
      <c r="C170" s="620">
        <v>1</v>
      </c>
      <c r="D170" s="620">
        <v>1</v>
      </c>
      <c r="E170" s="620">
        <v>1</v>
      </c>
      <c r="F170" s="617">
        <v>1</v>
      </c>
      <c r="G170" s="620">
        <v>1</v>
      </c>
      <c r="H170" s="620">
        <v>1</v>
      </c>
      <c r="I170" s="620">
        <v>1</v>
      </c>
      <c r="T170" s="287" t="str">
        <f>IF(Sheet1!AM106="","",Sheet1!AM106)</f>
        <v/>
      </c>
      <c r="U170" s="645" t="str">
        <f t="shared" ref="U170:U201" si="17">IF(T170="","",IF(T170&lt;$C$104,T170+$D$104+$E$104*T170+$F$104*T170^2+$G$104*T170^3,IF(T170&gt;=$C$104,T170+$D$105+$E$105*T170+$F$105*T170^2+$G$105*T170^3+$H$105*T170^4+$I$105*T170^5,"")))</f>
        <v/>
      </c>
      <c r="V170" s="645" t="str">
        <f t="shared" ref="V170:V194" si="18">IF(T170="","",IF(T170&lt;$C$109,T170+$D$109+$E$109*T170+$F$109*T170^2+$G$109*T170^3+$H$109*T170^4+$I$109*T170^5,IF(T170&gt;=$C$109,T170+$D$110+$E$110*T170+$F$110*T170^2+$G$110*T170^3+$H$110*T170^4,"")))</f>
        <v/>
      </c>
      <c r="W170" s="645" t="str">
        <f t="shared" ref="W170:W194" si="19">IF(T170="","",IF(T170&lt;$C$116,$D$116+$E$116*T170+$F$116*T170^2+$G$116*T170^3,IF(T170&gt;=$C$117,$D$117+$E$117*T170+$F$117*T170^2+$G$117*T170^3+$H$117*T170^4,"")))</f>
        <v/>
      </c>
      <c r="X170" s="645" t="str">
        <f t="shared" ref="X170:X194" si="20">IF(T170="","",IF(T170&lt;$C$120,$D$120+$E$120*T170+$F$120*T170^2+$G$120*T170^3,IF(T170&gt;=$C$121,$D$121+$E$121*T170,"")))</f>
        <v/>
      </c>
      <c r="Y170" s="622" t="str">
        <f t="shared" ref="Y170:Y194" si="21">IF(T170="","",IF(T170&lt;$C$124,$D$124+$E$124*T170+$F$124*T170^2,IF(T170&gt;=$C$126,$D$126+$E$126*T170,$D$125+$E$125*T170)))</f>
        <v/>
      </c>
    </row>
    <row r="171" spans="1:25" ht="14.1" customHeight="1">
      <c r="A171" s="603">
        <v>14</v>
      </c>
      <c r="B171" s="620">
        <v>1</v>
      </c>
      <c r="C171" s="620">
        <v>1</v>
      </c>
      <c r="D171" s="620">
        <v>1</v>
      </c>
      <c r="E171" s="620">
        <v>1</v>
      </c>
      <c r="F171" s="617">
        <v>1</v>
      </c>
      <c r="G171" s="620">
        <v>1</v>
      </c>
      <c r="H171" s="620">
        <v>1</v>
      </c>
      <c r="I171" s="620">
        <v>1</v>
      </c>
      <c r="T171" s="224" t="str">
        <f>IF(Sheet1!AM107="","",Sheet1!AM107)</f>
        <v/>
      </c>
      <c r="U171" s="645" t="str">
        <f t="shared" si="17"/>
        <v/>
      </c>
      <c r="V171" s="645" t="str">
        <f t="shared" si="18"/>
        <v/>
      </c>
      <c r="W171" s="645" t="str">
        <f t="shared" si="19"/>
        <v/>
      </c>
      <c r="X171" s="645" t="str">
        <f t="shared" si="20"/>
        <v/>
      </c>
      <c r="Y171" s="622" t="str">
        <f t="shared" si="21"/>
        <v/>
      </c>
    </row>
    <row r="172" spans="1:25" ht="14.1" customHeight="1">
      <c r="T172" s="287" t="str">
        <f>IF(Sheet1!AM108="","",Sheet1!AM108)</f>
        <v/>
      </c>
      <c r="U172" s="645" t="str">
        <f t="shared" si="17"/>
        <v/>
      </c>
      <c r="V172" s="645" t="str">
        <f t="shared" si="18"/>
        <v/>
      </c>
      <c r="W172" s="645" t="str">
        <f t="shared" si="19"/>
        <v/>
      </c>
      <c r="X172" s="645" t="str">
        <f t="shared" si="20"/>
        <v/>
      </c>
      <c r="Y172" s="622" t="str">
        <f t="shared" si="21"/>
        <v/>
      </c>
    </row>
    <row r="173" spans="1:25" ht="14.1" customHeight="1">
      <c r="T173" s="287" t="str">
        <f>IF(Sheet1!AM109="","",Sheet1!AM109)</f>
        <v/>
      </c>
      <c r="U173" s="645" t="str">
        <f t="shared" si="17"/>
        <v/>
      </c>
      <c r="V173" s="645" t="str">
        <f t="shared" si="18"/>
        <v/>
      </c>
      <c r="W173" s="645" t="str">
        <f t="shared" si="19"/>
        <v/>
      </c>
      <c r="X173" s="645" t="str">
        <f t="shared" si="20"/>
        <v/>
      </c>
      <c r="Y173" s="622" t="str">
        <f t="shared" si="21"/>
        <v/>
      </c>
    </row>
    <row r="174" spans="1:25" ht="14.1" customHeight="1">
      <c r="T174" s="287" t="str">
        <f>IF(Sheet1!AM110="","",Sheet1!AM110)</f>
        <v/>
      </c>
      <c r="U174" s="645" t="str">
        <f t="shared" si="17"/>
        <v/>
      </c>
      <c r="V174" s="645" t="str">
        <f t="shared" si="18"/>
        <v/>
      </c>
      <c r="W174" s="645" t="str">
        <f t="shared" si="19"/>
        <v/>
      </c>
      <c r="X174" s="645" t="str">
        <f t="shared" si="20"/>
        <v/>
      </c>
      <c r="Y174" s="622" t="str">
        <f t="shared" si="21"/>
        <v/>
      </c>
    </row>
    <row r="175" spans="1:25" ht="14.1" customHeight="1">
      <c r="T175" s="287" t="str">
        <f>IF(Sheet1!AM111="","",Sheet1!AM111)</f>
        <v/>
      </c>
      <c r="U175" s="645" t="str">
        <f t="shared" si="17"/>
        <v/>
      </c>
      <c r="V175" s="645" t="str">
        <f t="shared" si="18"/>
        <v/>
      </c>
      <c r="W175" s="645" t="str">
        <f t="shared" si="19"/>
        <v/>
      </c>
      <c r="X175" s="645" t="str">
        <f t="shared" si="20"/>
        <v/>
      </c>
      <c r="Y175" s="622" t="str">
        <f t="shared" si="21"/>
        <v/>
      </c>
    </row>
    <row r="176" spans="1:25" ht="14.1" customHeight="1">
      <c r="T176" s="287" t="str">
        <f>IF(Sheet1!AM112="","",Sheet1!AM112)</f>
        <v/>
      </c>
      <c r="U176" s="645" t="str">
        <f t="shared" si="17"/>
        <v/>
      </c>
      <c r="V176" s="645" t="str">
        <f t="shared" si="18"/>
        <v/>
      </c>
      <c r="W176" s="645" t="str">
        <f t="shared" si="19"/>
        <v/>
      </c>
      <c r="X176" s="645" t="str">
        <f t="shared" si="20"/>
        <v/>
      </c>
      <c r="Y176" s="622" t="str">
        <f t="shared" si="21"/>
        <v/>
      </c>
    </row>
    <row r="177" spans="20:25" ht="14.1" customHeight="1">
      <c r="T177" s="287" t="str">
        <f>IF(Sheet1!AM113="","",Sheet1!AM113)</f>
        <v/>
      </c>
      <c r="U177" s="645" t="str">
        <f t="shared" si="17"/>
        <v/>
      </c>
      <c r="V177" s="645" t="str">
        <f t="shared" si="18"/>
        <v/>
      </c>
      <c r="W177" s="645" t="str">
        <f t="shared" si="19"/>
        <v/>
      </c>
      <c r="X177" s="645" t="str">
        <f t="shared" si="20"/>
        <v/>
      </c>
      <c r="Y177" s="622" t="str">
        <f t="shared" si="21"/>
        <v/>
      </c>
    </row>
    <row r="178" spans="20:25" ht="14.1" customHeight="1">
      <c r="T178" s="287" t="str">
        <f>IF(Sheet1!AM114="","",Sheet1!AM114)</f>
        <v/>
      </c>
      <c r="U178" s="645" t="str">
        <f t="shared" si="17"/>
        <v/>
      </c>
      <c r="V178" s="645" t="str">
        <f t="shared" si="18"/>
        <v/>
      </c>
      <c r="W178" s="645" t="str">
        <f t="shared" si="19"/>
        <v/>
      </c>
      <c r="X178" s="645" t="str">
        <f t="shared" si="20"/>
        <v/>
      </c>
      <c r="Y178" s="622" t="str">
        <f t="shared" si="21"/>
        <v/>
      </c>
    </row>
    <row r="179" spans="20:25" ht="14.1" customHeight="1">
      <c r="T179" s="224" t="str">
        <f>IF(Sheet1!AM115="","",Sheet1!AM115)</f>
        <v/>
      </c>
      <c r="U179" s="645" t="str">
        <f t="shared" si="17"/>
        <v/>
      </c>
      <c r="V179" s="645" t="str">
        <f t="shared" si="18"/>
        <v/>
      </c>
      <c r="W179" s="645" t="str">
        <f t="shared" si="19"/>
        <v/>
      </c>
      <c r="X179" s="645" t="str">
        <f t="shared" si="20"/>
        <v/>
      </c>
      <c r="Y179" s="622" t="str">
        <f t="shared" si="21"/>
        <v/>
      </c>
    </row>
    <row r="180" spans="20:25" ht="14.1" customHeight="1">
      <c r="T180" s="287" t="str">
        <f>IF(Sheet1!AM116="","",Sheet1!AM116)</f>
        <v/>
      </c>
      <c r="U180" s="645" t="str">
        <f t="shared" si="17"/>
        <v/>
      </c>
      <c r="V180" s="645" t="str">
        <f t="shared" si="18"/>
        <v/>
      </c>
      <c r="W180" s="645" t="str">
        <f t="shared" si="19"/>
        <v/>
      </c>
      <c r="X180" s="645" t="str">
        <f t="shared" si="20"/>
        <v/>
      </c>
      <c r="Y180" s="622" t="str">
        <f t="shared" si="21"/>
        <v/>
      </c>
    </row>
    <row r="181" spans="20:25" ht="14.1" customHeight="1">
      <c r="T181" s="287" t="str">
        <f>IF(Sheet1!AM117="","",Sheet1!AM117)</f>
        <v/>
      </c>
      <c r="U181" s="645" t="str">
        <f t="shared" si="17"/>
        <v/>
      </c>
      <c r="V181" s="645" t="str">
        <f t="shared" si="18"/>
        <v/>
      </c>
      <c r="W181" s="645" t="str">
        <f t="shared" si="19"/>
        <v/>
      </c>
      <c r="X181" s="645" t="str">
        <f t="shared" si="20"/>
        <v/>
      </c>
      <c r="Y181" s="622" t="str">
        <f t="shared" si="21"/>
        <v/>
      </c>
    </row>
    <row r="182" spans="20:25" ht="14.1" customHeight="1">
      <c r="T182" s="287" t="str">
        <f>IF(Sheet1!AM118="","",Sheet1!AM118)</f>
        <v/>
      </c>
      <c r="U182" s="645" t="str">
        <f t="shared" si="17"/>
        <v/>
      </c>
      <c r="V182" s="645" t="str">
        <f t="shared" si="18"/>
        <v/>
      </c>
      <c r="W182" s="645" t="str">
        <f t="shared" si="19"/>
        <v/>
      </c>
      <c r="X182" s="645" t="str">
        <f t="shared" si="20"/>
        <v/>
      </c>
      <c r="Y182" s="622" t="str">
        <f t="shared" si="21"/>
        <v/>
      </c>
    </row>
    <row r="183" spans="20:25" ht="14.1" customHeight="1">
      <c r="T183" s="287" t="str">
        <f>IF(Sheet1!AM119="","",Sheet1!AM119)</f>
        <v/>
      </c>
      <c r="U183" s="645" t="str">
        <f t="shared" si="17"/>
        <v/>
      </c>
      <c r="V183" s="645" t="str">
        <f t="shared" si="18"/>
        <v/>
      </c>
      <c r="W183" s="645" t="str">
        <f t="shared" si="19"/>
        <v/>
      </c>
      <c r="X183" s="645" t="str">
        <f t="shared" si="20"/>
        <v/>
      </c>
      <c r="Y183" s="622" t="str">
        <f t="shared" si="21"/>
        <v/>
      </c>
    </row>
    <row r="184" spans="20:25" ht="14.1" customHeight="1">
      <c r="T184" s="287" t="str">
        <f>IF(Sheet1!AM120="","",Sheet1!AM120)</f>
        <v/>
      </c>
      <c r="U184" s="645" t="str">
        <f t="shared" si="17"/>
        <v/>
      </c>
      <c r="V184" s="645" t="str">
        <f t="shared" si="18"/>
        <v/>
      </c>
      <c r="W184" s="645" t="str">
        <f t="shared" si="19"/>
        <v/>
      </c>
      <c r="X184" s="645" t="str">
        <f t="shared" si="20"/>
        <v/>
      </c>
      <c r="Y184" s="622" t="str">
        <f t="shared" si="21"/>
        <v/>
      </c>
    </row>
    <row r="185" spans="20:25" ht="14.1" customHeight="1">
      <c r="T185" s="287" t="str">
        <f>IF(Sheet1!AM121="","",Sheet1!AM121)</f>
        <v/>
      </c>
      <c r="U185" s="645" t="str">
        <f t="shared" si="17"/>
        <v/>
      </c>
      <c r="V185" s="645" t="str">
        <f t="shared" si="18"/>
        <v/>
      </c>
      <c r="W185" s="645" t="str">
        <f t="shared" si="19"/>
        <v/>
      </c>
      <c r="X185" s="645" t="str">
        <f t="shared" si="20"/>
        <v/>
      </c>
      <c r="Y185" s="622" t="str">
        <f t="shared" si="21"/>
        <v/>
      </c>
    </row>
    <row r="186" spans="20:25" ht="14.1" customHeight="1">
      <c r="T186" s="287" t="str">
        <f>IF(Sheet1!AM122="","",Sheet1!AM122)</f>
        <v/>
      </c>
      <c r="U186" s="645" t="str">
        <f t="shared" si="17"/>
        <v/>
      </c>
      <c r="V186" s="645" t="str">
        <f t="shared" si="18"/>
        <v/>
      </c>
      <c r="W186" s="645" t="str">
        <f t="shared" si="19"/>
        <v/>
      </c>
      <c r="X186" s="645" t="str">
        <f t="shared" si="20"/>
        <v/>
      </c>
      <c r="Y186" s="622" t="str">
        <f t="shared" si="21"/>
        <v/>
      </c>
    </row>
    <row r="187" spans="20:25" ht="14.1" customHeight="1">
      <c r="T187" s="224" t="str">
        <f>IF(Sheet1!AM123="","",Sheet1!AM123)</f>
        <v/>
      </c>
      <c r="U187" s="645" t="str">
        <f t="shared" si="17"/>
        <v/>
      </c>
      <c r="V187" s="645" t="str">
        <f t="shared" si="18"/>
        <v/>
      </c>
      <c r="W187" s="645" t="str">
        <f t="shared" si="19"/>
        <v/>
      </c>
      <c r="X187" s="645" t="str">
        <f t="shared" si="20"/>
        <v/>
      </c>
      <c r="Y187" s="622" t="str">
        <f t="shared" si="21"/>
        <v/>
      </c>
    </row>
    <row r="188" spans="20:25" ht="14.1" customHeight="1">
      <c r="T188" s="287" t="str">
        <f>IF(Sheet1!AM124="","",Sheet1!AM124)</f>
        <v/>
      </c>
      <c r="U188" s="645" t="str">
        <f t="shared" si="17"/>
        <v/>
      </c>
      <c r="V188" s="645" t="str">
        <f t="shared" si="18"/>
        <v/>
      </c>
      <c r="W188" s="645" t="str">
        <f t="shared" si="19"/>
        <v/>
      </c>
      <c r="X188" s="645" t="str">
        <f t="shared" si="20"/>
        <v/>
      </c>
      <c r="Y188" s="622" t="str">
        <f t="shared" si="21"/>
        <v/>
      </c>
    </row>
    <row r="189" spans="20:25" ht="14.1" customHeight="1">
      <c r="T189" s="287" t="str">
        <f>IF(Sheet1!AM125="","",Sheet1!AM125)</f>
        <v/>
      </c>
      <c r="U189" s="645" t="str">
        <f t="shared" si="17"/>
        <v/>
      </c>
      <c r="V189" s="645" t="str">
        <f t="shared" si="18"/>
        <v/>
      </c>
      <c r="W189" s="645" t="str">
        <f t="shared" si="19"/>
        <v/>
      </c>
      <c r="X189" s="645" t="str">
        <f t="shared" si="20"/>
        <v/>
      </c>
      <c r="Y189" s="622" t="str">
        <f t="shared" si="21"/>
        <v/>
      </c>
    </row>
    <row r="190" spans="20:25" ht="14.1" customHeight="1">
      <c r="T190" s="287" t="str">
        <f>IF(Sheet1!AM126="","",Sheet1!AM126)</f>
        <v/>
      </c>
      <c r="U190" s="645" t="str">
        <f t="shared" si="17"/>
        <v/>
      </c>
      <c r="V190" s="645" t="str">
        <f t="shared" si="18"/>
        <v/>
      </c>
      <c r="W190" s="645" t="str">
        <f t="shared" si="19"/>
        <v/>
      </c>
      <c r="X190" s="645" t="str">
        <f t="shared" si="20"/>
        <v/>
      </c>
      <c r="Y190" s="622" t="str">
        <f t="shared" si="21"/>
        <v/>
      </c>
    </row>
    <row r="191" spans="20:25" ht="14.1" customHeight="1">
      <c r="T191" s="287" t="str">
        <f>IF(Sheet1!AM127="","",Sheet1!AM127)</f>
        <v/>
      </c>
      <c r="U191" s="645" t="str">
        <f t="shared" si="17"/>
        <v/>
      </c>
      <c r="V191" s="645" t="str">
        <f t="shared" si="18"/>
        <v/>
      </c>
      <c r="W191" s="645" t="str">
        <f t="shared" si="19"/>
        <v/>
      </c>
      <c r="X191" s="645" t="str">
        <f t="shared" si="20"/>
        <v/>
      </c>
      <c r="Y191" s="622" t="str">
        <f t="shared" si="21"/>
        <v/>
      </c>
    </row>
    <row r="192" spans="20:25" ht="14.1" customHeight="1">
      <c r="T192" s="287" t="str">
        <f>IF(Sheet1!AM128="","",Sheet1!AM128)</f>
        <v/>
      </c>
      <c r="U192" s="645" t="str">
        <f t="shared" si="17"/>
        <v/>
      </c>
      <c r="V192" s="645" t="str">
        <f t="shared" si="18"/>
        <v/>
      </c>
      <c r="W192" s="645" t="str">
        <f t="shared" si="19"/>
        <v/>
      </c>
      <c r="X192" s="645" t="str">
        <f t="shared" si="20"/>
        <v/>
      </c>
      <c r="Y192" s="622" t="str">
        <f t="shared" si="21"/>
        <v/>
      </c>
    </row>
    <row r="193" spans="20:25" ht="14.1" customHeight="1">
      <c r="T193" s="287" t="str">
        <f>IF(Sheet1!AM129="","",Sheet1!AM129)</f>
        <v/>
      </c>
      <c r="U193" s="645" t="str">
        <f t="shared" si="17"/>
        <v/>
      </c>
      <c r="V193" s="645" t="str">
        <f t="shared" si="18"/>
        <v/>
      </c>
      <c r="W193" s="645" t="str">
        <f t="shared" si="19"/>
        <v/>
      </c>
      <c r="X193" s="645" t="str">
        <f t="shared" si="20"/>
        <v/>
      </c>
      <c r="Y193" s="622" t="str">
        <f t="shared" si="21"/>
        <v/>
      </c>
    </row>
    <row r="194" spans="20:25" ht="14.1" customHeight="1">
      <c r="T194" s="323" t="str">
        <f>IF(Sheet1!AM130="","",Sheet1!AM130)</f>
        <v/>
      </c>
      <c r="U194" s="645" t="str">
        <f t="shared" si="17"/>
        <v/>
      </c>
      <c r="V194" s="645" t="str">
        <f t="shared" si="18"/>
        <v/>
      </c>
      <c r="W194" s="645" t="str">
        <f t="shared" si="19"/>
        <v/>
      </c>
      <c r="X194" s="645" t="str">
        <f t="shared" si="20"/>
        <v/>
      </c>
      <c r="Y194" s="622" t="str">
        <f t="shared" si="21"/>
        <v/>
      </c>
    </row>
  </sheetData>
  <mergeCells count="13">
    <mergeCell ref="B51:Z51"/>
    <mergeCell ref="U72:V72"/>
    <mergeCell ref="W72:Y72"/>
    <mergeCell ref="G98:I98"/>
    <mergeCell ref="B155:C155"/>
    <mergeCell ref="D155:E155"/>
    <mergeCell ref="F155:G155"/>
    <mergeCell ref="H155:I155"/>
    <mergeCell ref="B2:J2"/>
    <mergeCell ref="L2:T2"/>
    <mergeCell ref="V2:AD2"/>
    <mergeCell ref="B26:L26"/>
    <mergeCell ref="O26:AA26"/>
  </mergeCell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0"/>
  <sheetViews>
    <sheetView zoomScale="75" zoomScaleNormal="75" workbookViewId="0">
      <selection activeCell="F20" sqref="F20"/>
    </sheetView>
  </sheetViews>
  <sheetFormatPr defaultRowHeight="14.25"/>
  <cols>
    <col min="1" max="1025" width="10.5" style="97" customWidth="1"/>
  </cols>
  <sheetData>
    <row r="1" spans="1:23">
      <c r="A1" s="646">
        <f>Sheet1!AH10</f>
        <v>24</v>
      </c>
      <c r="B1" s="54" t="s">
        <v>230</v>
      </c>
      <c r="I1" s="646">
        <f>Sheet1!AH57</f>
        <v>28</v>
      </c>
      <c r="J1" s="54" t="s">
        <v>230</v>
      </c>
      <c r="Q1" s="646">
        <f>Sheet1!AH91</f>
        <v>28</v>
      </c>
      <c r="R1" s="54" t="s">
        <v>230</v>
      </c>
    </row>
    <row r="2" spans="1:23">
      <c r="A2" s="647" t="s">
        <v>665</v>
      </c>
      <c r="B2" s="648" t="s">
        <v>666</v>
      </c>
      <c r="C2" s="648" t="s">
        <v>667</v>
      </c>
      <c r="D2" s="648" t="s">
        <v>668</v>
      </c>
      <c r="E2" s="648" t="s">
        <v>230</v>
      </c>
      <c r="G2" s="648" t="e">
        <f>"HVL @"&amp;ROUND(E3,2)&amp;" kVp"</f>
        <v>#VALUE!</v>
      </c>
      <c r="I2" s="647" t="s">
        <v>665</v>
      </c>
      <c r="J2" s="648" t="s">
        <v>666</v>
      </c>
      <c r="K2" s="648" t="s">
        <v>667</v>
      </c>
      <c r="L2" s="648" t="s">
        <v>668</v>
      </c>
      <c r="M2" s="648" t="s">
        <v>230</v>
      </c>
      <c r="O2" s="648" t="e">
        <f>"HVL @"&amp;ROUND(M3,2)&amp;" kVp"</f>
        <v>#VALUE!</v>
      </c>
      <c r="Q2" s="647" t="s">
        <v>665</v>
      </c>
      <c r="R2" s="648" t="s">
        <v>666</v>
      </c>
      <c r="S2" s="648" t="s">
        <v>667</v>
      </c>
      <c r="T2" s="648" t="s">
        <v>668</v>
      </c>
      <c r="U2" s="648" t="s">
        <v>230</v>
      </c>
      <c r="W2" s="648" t="e">
        <f>"HVL @"&amp;ROUND(U3,2)&amp;" kVp"</f>
        <v>#VALUE!</v>
      </c>
    </row>
    <row r="3" spans="1:23">
      <c r="A3" s="649">
        <f>Sheet1!AJ10</f>
        <v>0</v>
      </c>
      <c r="B3" s="650" t="str">
        <f>IF(MIN(Sheet1!AO10:AO11)=0,"",AVERAGE(Sheet1!AO10:AO11))</f>
        <v/>
      </c>
      <c r="C3" s="651" t="str">
        <f>IF(B3="","",ABS(B3-B3/2))</f>
        <v/>
      </c>
      <c r="D3" s="652" t="str">
        <f>IF(OR(B3="",B4=""),"",IF(ABS(B3-B3/2)=SMALL(C3:C6,1),A3,IF(ABS(B4-B3/2)=SMALL(C3:C6,1),A4,IF(ABS(B5-B3/2)=SMALL(C3:C6,1),A5,IF(ABS(B6-B3/2)=SMALL(C3:C6,1),A6,"")))))</f>
        <v/>
      </c>
      <c r="E3" s="653" t="str">
        <f>IF(OR(Sheet1!AM10="",Sheet1!AM11=""),"",AVERAGE(Sheet1!AM10:AM11))</f>
        <v/>
      </c>
      <c r="G3" s="654" t="str">
        <f>IF(OR(MIN(D3:D4)=0,MIN(D7:D8)=0),"",TREND(D3:D4,E7:E8,LN(B3/2)))</f>
        <v/>
      </c>
      <c r="I3" s="649">
        <f>Sheet1!AJ57</f>
        <v>0</v>
      </c>
      <c r="J3" s="650" t="str">
        <f>IF(MIN(Sheet1!AO57:AO58)=0,"",AVERAGE(Sheet1!AO57:AO58))</f>
        <v/>
      </c>
      <c r="K3" s="651" t="str">
        <f>IF(J3="","",ABS(J3-J3/2))</f>
        <v/>
      </c>
      <c r="L3" s="652" t="str">
        <f>IF(OR(J3="",J4=""),"",IF(ABS(J3-J3/2)=SMALL(K3:K6,1),I3,IF(ABS(J4-J3/2)=SMALL(K3:K6,1),I4,IF(ABS(J5-J3/2)=SMALL(K3:K6,1),I5,IF(ABS(J6-J3/2)=SMALL(K3:K6,1),I6,"")))))</f>
        <v/>
      </c>
      <c r="M3" s="653" t="str">
        <f>IF(OR(Sheet1!AM57="",Sheet1!AM58=""),"",AVERAGE(Sheet1!AM57:AM58))</f>
        <v/>
      </c>
      <c r="O3" s="654" t="str">
        <f>IF(OR(MIN(L3:L4)=0,MIN(L7:L8)=0),"",TREND(L3:L4,M7:M8,LN(J3/2)))</f>
        <v/>
      </c>
      <c r="Q3" s="649">
        <f>Sheet1!AJ91</f>
        <v>0</v>
      </c>
      <c r="R3" s="650" t="str">
        <f>IF(MIN(Sheet1!AO91:AO92)=0,"",AVERAGE(Sheet1!AO91:AO92))</f>
        <v/>
      </c>
      <c r="S3" s="651" t="str">
        <f>IF(R3="","",ABS(R3-R3/2))</f>
        <v/>
      </c>
      <c r="T3" s="652" t="str">
        <f>IF(OR(R3="",R4=""),"",IF(ABS(R3-R3/2)=SMALL(S3:S6,1),Q3,IF(ABS(R4-R3/2)=SMALL(S3:S6,1),Q4,IF(ABS(R5-R3/2)=SMALL(S3:S6,1),Q5,IF(ABS(R6-R3/2)=SMALL(S3:S6,1),Q6,"")))))</f>
        <v/>
      </c>
      <c r="U3" s="653" t="str">
        <f>IF(OR(Sheet1!AM91="",Sheet1!AM92=""),"",AVERAGE(Sheet1!AM91:AM92))</f>
        <v/>
      </c>
      <c r="W3" s="654" t="str">
        <f>IF(OR(MIN(T3:T4)=0,MIN(T7:T8)=0),"",TREND(T3:T4,U7:U8,LN(R3/2)))</f>
        <v/>
      </c>
    </row>
    <row r="4" spans="1:23">
      <c r="A4" s="649">
        <f>Sheet1!AJ12</f>
        <v>0.3</v>
      </c>
      <c r="B4" s="650" t="str">
        <f>IF(MIN(Sheet1!AO12:AO13)=0,"",AVERAGE(Sheet1!AO12:AO13))</f>
        <v/>
      </c>
      <c r="C4" s="651" t="str">
        <f>IF(B4="","",ABS(B4-B3/2))</f>
        <v/>
      </c>
      <c r="D4" s="651" t="str">
        <f>IF(OR(B3="",B4=""),"",IF(ABS(B3-B3/2)=SMALL(C3:C6,2),A3,IF(ABS(B4-B3/2)=SMALL(C3:C6,2),A4,IF(ABS(B5-B3/2)=SMALL(C3:C6,2),A5,IF(ABS(B6-B3/2)=SMALL(C3:C6,2),A6,"")))))</f>
        <v/>
      </c>
      <c r="E4" s="655"/>
      <c r="I4" s="649">
        <f>Sheet1!AJ60</f>
        <v>0.4</v>
      </c>
      <c r="J4" s="650" t="str">
        <f>IF(MIN(Sheet1!AO59:AO60)=0,"",AVERAGE(Sheet1!AO59:AO60))</f>
        <v/>
      </c>
      <c r="K4" s="651" t="str">
        <f>IF(J4="","",ABS(J4-J3/2))</f>
        <v/>
      </c>
      <c r="L4" s="651" t="str">
        <f>IF(OR(J3="",J4=""),"",IF(ABS(J3-J3/2)=SMALL(K3:K6,2),I3,IF(ABS(J4-J3/2)=SMALL(K3:K6,2),I4,IF(ABS(J5-J3/2)=SMALL(K3:K6,2),I5,IF(ABS(J6-J3/2)=SMALL(K3:K6,2),I6,"")))))</f>
        <v/>
      </c>
      <c r="M4" s="655"/>
      <c r="Q4" s="649">
        <f>Sheet1!AJ93</f>
        <v>0.4</v>
      </c>
      <c r="R4" s="650" t="str">
        <f>IF(MIN(Sheet1!AO93:AO94)=0,"",AVERAGE(Sheet1!AO93:AO94))</f>
        <v/>
      </c>
      <c r="S4" s="651" t="str">
        <f>IF(R4="","",ABS(R4-R3/2))</f>
        <v/>
      </c>
      <c r="T4" s="651" t="str">
        <f>IF(OR(R3="",R4=""),"",IF(ABS(R3-R3/2)=SMALL(S3:S6,2),Q3,IF(ABS(R4-R3/2)=SMALL(S3:S6,2),Q4,IF(ABS(R5-R3/2)=SMALL(S3:S6,2),Q5,IF(ABS(R6-R3/2)=SMALL(S3:S6,2),Q6,"")))))</f>
        <v/>
      </c>
      <c r="U4" s="655"/>
    </row>
    <row r="5" spans="1:23">
      <c r="A5" s="656" t="str">
        <f>IF(AND(Sheet1!AM14="",Sheet1!AM16=""),"",IF(Sheet1!AM14&lt;&gt;"",Sheet1!AJ14,Sheet1!AJ16))</f>
        <v/>
      </c>
      <c r="B5" s="650" t="str">
        <f>IF(AND(Sheet1!AM14="",Sheet1!AM16=""),"",IF(Sheet1!AM14&lt;&gt;"",AVERAGE(Sheet1!AO14:AO15),AVERAGE(Sheet1!AO16:AO17)))</f>
        <v/>
      </c>
      <c r="C5" s="651" t="str">
        <f>IF(B5="","",ABS(B5-B3/2))</f>
        <v/>
      </c>
      <c r="D5" s="657"/>
      <c r="E5" s="657"/>
      <c r="I5" s="656" t="str">
        <f>IF(AND(Sheet1!AM62="",Sheet1!AM64=""),"",IF(Sheet1!AM62&lt;&gt;"",Sheet1!AJ62,Sheet1!AJ64))</f>
        <v/>
      </c>
      <c r="J5" s="650" t="str">
        <f>IF(AND(Sheet1!AM61="",Sheet1!AM63=""),"",IF(Sheet1!AM61&lt;&gt;"",AVERAGE(Sheet1!AO61:AO62),AVERAGE(Sheet1!AO63:AO64)))</f>
        <v/>
      </c>
      <c r="K5" s="651" t="str">
        <f>IF(J5="","",ABS(J5-J3/2))</f>
        <v/>
      </c>
      <c r="L5" s="657"/>
      <c r="M5" s="657"/>
      <c r="Q5" s="656" t="str">
        <f>IF(AND(Sheet1!AM95="",Sheet1!AM97=""),"",IF(Sheet1!AM95&lt;&gt;"",Sheet1!AJ95,Sheet1!AJ97))</f>
        <v/>
      </c>
      <c r="R5" s="650" t="str">
        <f>IF(AND(Sheet1!AM95="",Sheet1!AM97=""),"",IF(Sheet1!AM95&lt;&gt;"",AVERAGE(Sheet1!AO95:AO96),AVERAGE(Sheet1!AO97:AO98)))</f>
        <v/>
      </c>
      <c r="S5" s="651" t="str">
        <f>IF(R5="","",ABS(R5-R3/2))</f>
        <v/>
      </c>
      <c r="T5" s="657"/>
      <c r="U5" s="657"/>
    </row>
    <row r="6" spans="1:23">
      <c r="A6" s="656" t="str">
        <f>IF(OR(Sheet1!AM16="",AND(Sheet1!AM14="",Sheet1!AM16&lt;&gt;"")),"",Sheet1!AJ16)</f>
        <v/>
      </c>
      <c r="B6" s="650" t="str">
        <f>IF(OR(Sheet1!AM16="",AND(Sheet1!AM14="",Sheet1!AM16&lt;&gt;"")),"",AVERAGE(Sheet1!AO16:AO17))</f>
        <v/>
      </c>
      <c r="C6" s="651" t="str">
        <f>IF(B6="","",ABS(B6-B3/2))</f>
        <v/>
      </c>
      <c r="D6" s="648" t="s">
        <v>669</v>
      </c>
      <c r="E6" s="648" t="s">
        <v>670</v>
      </c>
      <c r="I6" s="656" t="str">
        <f>IF(OR(Sheet1!AM64="",AND(Sheet1!AM62="",Sheet1!AM64&lt;&gt;"")),"",Sheet1!AJ64)</f>
        <v/>
      </c>
      <c r="J6" s="650" t="str">
        <f>IF(OR(Sheet1!AM63="",AND(Sheet1!AM61="",Sheet1!AM63&lt;&gt;"")),"",AVERAGE(Sheet1!AO63:AO64))</f>
        <v/>
      </c>
      <c r="K6" s="651" t="str">
        <f>IF(J6="","",ABS(J6-J3/2))</f>
        <v/>
      </c>
      <c r="L6" s="648" t="s">
        <v>669</v>
      </c>
      <c r="M6" s="648" t="s">
        <v>670</v>
      </c>
      <c r="Q6" s="656" t="str">
        <f>IF(OR(Sheet1!AM97="",AND(Sheet1!AM95="",Sheet1!AM97&lt;&gt;"")),"",Sheet1!AJ97)</f>
        <v/>
      </c>
      <c r="R6" s="650" t="str">
        <f>IF(OR(Sheet1!AM97="",AND(Sheet1!AM95="",Sheet1!AM97&lt;&gt;"")),"",AVERAGE(Sheet1!AO97:AO98))</f>
        <v/>
      </c>
      <c r="S6" s="651" t="str">
        <f>IF(R6="","",ABS(R6-R3/2))</f>
        <v/>
      </c>
      <c r="T6" s="648" t="s">
        <v>669</v>
      </c>
      <c r="U6" s="648" t="s">
        <v>670</v>
      </c>
    </row>
    <row r="7" spans="1:23">
      <c r="A7" s="658" t="str">
        <f>G3</f>
        <v/>
      </c>
      <c r="B7" s="659" t="str">
        <f>IF(G3="","",EXP(TREND(E7:E8,D3:D4,A7)))</f>
        <v/>
      </c>
      <c r="D7" s="652" t="str">
        <f>IF(OR(B3="",B4=""),"",IF(A3=D3,B3,IF(A4=D3,B4,IF(A5=D3,B5,IF(A6=D3,B6)))))</f>
        <v/>
      </c>
      <c r="E7" s="660" t="str">
        <f>IF(D7="","",LN(D7))</f>
        <v/>
      </c>
      <c r="I7" s="658" t="str">
        <f>O3</f>
        <v/>
      </c>
      <c r="J7" s="659" t="str">
        <f>IF(O3="","",EXP(TREND(M7:M8,L3:L4,I7)))</f>
        <v/>
      </c>
      <c r="L7" s="652" t="str">
        <f>IF(OR(J3="",J4=""),"",IF(I3=L3,J3,IF(I4=L3,J4,IF(I5=L3,J5,IF(I6=L3,J6)))))</f>
        <v/>
      </c>
      <c r="M7" s="660" t="str">
        <f>IF(L7="","",LN(L7))</f>
        <v/>
      </c>
      <c r="Q7" s="658" t="str">
        <f>W3</f>
        <v/>
      </c>
      <c r="R7" s="659" t="str">
        <f>IF(W3="","",EXP(TREND(U7:U8,T3:T4,Q7)))</f>
        <v/>
      </c>
      <c r="T7" s="652" t="str">
        <f>IF(OR(R3="",R4=""),"",IF(Q3=T3,R3,IF(Q4=T3,R4,IF(Q5=T3,R5,IF(Q6=T3,R6)))))</f>
        <v/>
      </c>
      <c r="U7" s="660" t="str">
        <f>IF(T7="","",LN(T7))</f>
        <v/>
      </c>
    </row>
    <row r="8" spans="1:23">
      <c r="D8" s="651" t="str">
        <f>IF(OR(B3="",B4=""),"",IF(A3=D4,B3,IF(A4=D4,B4,IF(A5=D4,B5,IF(A6=D4,B6)))))</f>
        <v/>
      </c>
      <c r="E8" s="661" t="str">
        <f>IF(D8="","",LN(D8))</f>
        <v/>
      </c>
      <c r="L8" s="651" t="str">
        <f>IF(OR(J3="",J4=""),"",IF(I3=L4,J3,IF(I4=L4,J4,IF(I5=L4,J5,IF(I6=L4,J6)))))</f>
        <v/>
      </c>
      <c r="M8" s="661" t="str">
        <f>IF(L8="","",LN(L8))</f>
        <v/>
      </c>
      <c r="T8" s="651" t="str">
        <f>IF(OR(R3="",R4=""),"",IF(Q3=T4,R3,IF(Q4=T4,R4,IF(Q5=T4,R5,IF(Q6=T4,R6)))))</f>
        <v/>
      </c>
      <c r="U8" s="661" t="str">
        <f>IF(T8="","",LN(T8))</f>
        <v/>
      </c>
    </row>
    <row r="9" spans="1:23">
      <c r="A9" s="646">
        <f>Sheet1!AH18</f>
        <v>25</v>
      </c>
      <c r="B9" s="54" t="s">
        <v>230</v>
      </c>
      <c r="I9" s="646">
        <f>Sheet1!AH65</f>
        <v>30</v>
      </c>
      <c r="J9" s="54" t="s">
        <v>230</v>
      </c>
      <c r="Q9" s="646">
        <f>Sheet1!AH99</f>
        <v>30</v>
      </c>
      <c r="R9" s="54" t="s">
        <v>230</v>
      </c>
    </row>
    <row r="10" spans="1:23">
      <c r="A10" s="647" t="s">
        <v>665</v>
      </c>
      <c r="B10" s="648" t="s">
        <v>666</v>
      </c>
      <c r="C10" s="648" t="s">
        <v>667</v>
      </c>
      <c r="D10" s="648" t="s">
        <v>668</v>
      </c>
      <c r="E10" s="648" t="s">
        <v>230</v>
      </c>
      <c r="G10" s="648" t="e">
        <f>"HVL @"&amp;ROUND(E11,2)&amp;" kVp"</f>
        <v>#VALUE!</v>
      </c>
      <c r="I10" s="647" t="s">
        <v>665</v>
      </c>
      <c r="J10" s="648" t="s">
        <v>666</v>
      </c>
      <c r="K10" s="648" t="s">
        <v>667</v>
      </c>
      <c r="L10" s="648" t="s">
        <v>668</v>
      </c>
      <c r="M10" s="648" t="s">
        <v>230</v>
      </c>
      <c r="O10" s="648" t="e">
        <f>"HVL @"&amp;ROUND(M11,2)&amp;" kVp"</f>
        <v>#VALUE!</v>
      </c>
      <c r="Q10" s="647" t="s">
        <v>665</v>
      </c>
      <c r="R10" s="648" t="s">
        <v>666</v>
      </c>
      <c r="S10" s="648" t="s">
        <v>667</v>
      </c>
      <c r="T10" s="648" t="s">
        <v>668</v>
      </c>
      <c r="U10" s="648" t="s">
        <v>230</v>
      </c>
      <c r="W10" s="648" t="e">
        <f>"HVL @"&amp;ROUND(U11,2)&amp;" kVp"</f>
        <v>#VALUE!</v>
      </c>
    </row>
    <row r="11" spans="1:23">
      <c r="A11" s="649">
        <f>Sheet1!AJ18</f>
        <v>0</v>
      </c>
      <c r="B11" s="650" t="str">
        <f>IF(MIN(Sheet1!AO18:AO19)=0,"",AVERAGE(Sheet1!AO18:AO19))</f>
        <v/>
      </c>
      <c r="C11" s="651" t="str">
        <f>IF(B11="","",ABS(B11-B11/2))</f>
        <v/>
      </c>
      <c r="D11" s="652" t="str">
        <f>IF(OR(B11="",B12=""),"",IF(ABS(B11-B11/2)=SMALL(C11:C14,1),A11,IF(ABS(B12-B11/2)=SMALL(C11:C14,1),A12,IF(ABS(B13-B11/2)=SMALL(C11:C14,1),A13,IF(ABS(B14-B11/2)=SMALL(C11:C14,1),A14,"")))))</f>
        <v/>
      </c>
      <c r="E11" s="653" t="str">
        <f>IF(OR(Sheet1!AM18="",Sheet1!AM19=""),"",AVERAGE(Sheet1!AM18:AM19))</f>
        <v/>
      </c>
      <c r="G11" s="654" t="str">
        <f>IF(OR(MIN(D11:D12)=0,MIN(D15:D16)=0),"",TREND(D11:D12,E15:E16,LN(B11/2)))</f>
        <v/>
      </c>
      <c r="I11" s="649">
        <f>Sheet1!AJ65</f>
        <v>0</v>
      </c>
      <c r="J11" s="650" t="str">
        <f>IF(MIN(Sheet1!AO65:AO66)=0,"",AVERAGE(Sheet1!AO65:AO66))</f>
        <v/>
      </c>
      <c r="K11" s="651" t="str">
        <f>IF(J11="","",ABS(J11-J11/2))</f>
        <v/>
      </c>
      <c r="L11" s="652" t="str">
        <f>IF(OR(J11="",J12=""),"",IF(ABS(J11-J11/2)=SMALL(K11:K14,1),I11,IF(ABS(J12-J11/2)=SMALL(K11:K14,1),I12,IF(ABS(J13-J11/2)=SMALL(K11:K14,1),I13,IF(ABS(J14-J11/2)=SMALL(K11:K14,1),I14,"")))))</f>
        <v/>
      </c>
      <c r="M11" s="653" t="str">
        <f>IF(OR(Sheet1!AM65="",Sheet1!AM66=""),"",AVERAGE(Sheet1!AM65:AM66))</f>
        <v/>
      </c>
      <c r="O11" s="654" t="str">
        <f>IF(OR(MIN(L11:L12)=0,MIN(L15:L16)=0),"",TREND(L11:L12,M15:M16,LN(J11/2)))</f>
        <v/>
      </c>
      <c r="Q11" s="649">
        <f>Sheet1!AJ99</f>
        <v>0</v>
      </c>
      <c r="R11" s="650" t="str">
        <f>IF(MIN(Sheet1!AO99:AO100)=0,"",AVERAGE(Sheet1!AO99:AO100))</f>
        <v/>
      </c>
      <c r="S11" s="651" t="str">
        <f>IF(R11="","",ABS(R11-R11/2))</f>
        <v/>
      </c>
      <c r="T11" s="652" t="str">
        <f>IF(OR(R11="",R12=""),"",IF(ABS(R11-R11/2)=SMALL(S11:S14,1),Q11,IF(ABS(R12-R11/2)=SMALL(S11:S14,1),Q12,IF(ABS(R13-R11/2)=SMALL(S11:S14,1),Q13,IF(ABS(R14-R11/2)=SMALL(S11:S14,1),Q14,"")))))</f>
        <v/>
      </c>
      <c r="U11" s="653" t="str">
        <f>IF(OR(Sheet1!AM99="",Sheet1!AM100=""),"",AVERAGE(Sheet1!AM99:AM100))</f>
        <v/>
      </c>
      <c r="W11" s="654" t="str">
        <f>IF(OR(MIN(T11:T12)=0,MIN(T15:T16)=0),"",TREND(T11:T12,U15:U16,LN(R11/2)))</f>
        <v/>
      </c>
    </row>
    <row r="12" spans="1:23">
      <c r="A12" s="649">
        <f>Sheet1!AJ20</f>
        <v>0.3</v>
      </c>
      <c r="B12" s="650" t="str">
        <f>IF(MIN(Sheet1!AO20:AO21)=0,"",AVERAGE(Sheet1!AO20:AO21))</f>
        <v/>
      </c>
      <c r="C12" s="651" t="str">
        <f>IF(B12="","",ABS(B12-B11/2))</f>
        <v/>
      </c>
      <c r="D12" s="651" t="str">
        <f>IF(OR(B11="",B12=""),"",IF(ABS(B11-B11/2)=SMALL(C11:C14,2),A11,IF(ABS(B12-B11/2)=SMALL(C11:C14,2),A12,IF(ABS(B13-B11/2)=SMALL(C11:C14,2),A13,IF(ABS(B14-B11/2)=SMALL(C11:C14,2),A14,"")))))</f>
        <v/>
      </c>
      <c r="E12" s="655"/>
      <c r="I12" s="649">
        <f>Sheet1!AJ67</f>
        <v>0.4</v>
      </c>
      <c r="J12" s="650" t="str">
        <f>IF(MIN(Sheet1!AO67:AO68)=0,"",AVERAGE(Sheet1!AO67:AO68))</f>
        <v/>
      </c>
      <c r="K12" s="651" t="str">
        <f>IF(J12="","",ABS(J12-J11/2))</f>
        <v/>
      </c>
      <c r="L12" s="651" t="str">
        <f>IF(OR(J11="",J12=""),"",IF(ABS(J11-J11/2)=SMALL(K11:K14,2),I11,IF(ABS(J12-J11/2)=SMALL(K11:K14,2),I12,IF(ABS(J13-J11/2)=SMALL(K11:K14,2),I13,IF(ABS(J14-J11/2)=SMALL(K11:K14,2),I14,"")))))</f>
        <v/>
      </c>
      <c r="M12" s="655"/>
      <c r="Q12" s="649">
        <f>Sheet1!AJ101</f>
        <v>0.4</v>
      </c>
      <c r="R12" s="650" t="str">
        <f>IF(MIN(Sheet1!AO101:AO102)=0,"",AVERAGE(Sheet1!AO101:AO102))</f>
        <v/>
      </c>
      <c r="S12" s="651" t="str">
        <f>IF(R12="","",ABS(R12-R11/2))</f>
        <v/>
      </c>
      <c r="T12" s="651" t="str">
        <f>IF(OR(R11="",R12=""),"",IF(ABS(R11-R11/2)=SMALL(S11:S14,2),Q11,IF(ABS(R12-R11/2)=SMALL(S11:S14,2),Q12,IF(ABS(R13-R11/2)=SMALL(S11:S14,2),Q13,IF(ABS(R14-R11/2)=SMALL(S11:S14,2),Q14,"")))))</f>
        <v/>
      </c>
      <c r="U12" s="655"/>
    </row>
    <row r="13" spans="1:23">
      <c r="A13" s="656" t="str">
        <f>IF(AND(Sheet1!AM22="",Sheet1!AM24=""),"",IF(Sheet1!AM22&lt;&gt;"",Sheet1!AJ22,Sheet1!AJ24))</f>
        <v/>
      </c>
      <c r="B13" s="650" t="str">
        <f>IF(AND(Sheet1!AM22="",Sheet1!AM24=""),"",IF(Sheet1!AM22&lt;&gt;"",AVERAGE(Sheet1!AO22:AO23),AVERAGE(Sheet1!AO24:AO25)))</f>
        <v/>
      </c>
      <c r="C13" s="651" t="str">
        <f>IF(B13="","",ABS(B13-B11/2))</f>
        <v/>
      </c>
      <c r="D13" s="657"/>
      <c r="E13" s="657"/>
      <c r="I13" s="656" t="str">
        <f>IF(AND(Sheet1!AM69="",Sheet1!AM71=""),"",IF(Sheet1!AM69&lt;&gt;"",Sheet1!AJ69,Sheet1!AJ71))</f>
        <v/>
      </c>
      <c r="J13" s="650" t="str">
        <f>IF(AND(Sheet1!AM69="",Sheet1!AM71=""),"",IF(Sheet1!AM69&lt;&gt;"",AVERAGE(Sheet1!AO69:AO70),AVERAGE(Sheet1!AO71:AO72)))</f>
        <v/>
      </c>
      <c r="K13" s="651" t="str">
        <f>IF(J13="","",ABS(J13-J11/2))</f>
        <v/>
      </c>
      <c r="L13" s="657"/>
      <c r="M13" s="657"/>
      <c r="Q13" s="656" t="str">
        <f>IF(AND(Sheet1!AM103="",Sheet1!AM105=""),"",IF(Sheet1!AM103&lt;&gt;"",Sheet1!AJ103,Sheet1!AJ105))</f>
        <v/>
      </c>
      <c r="R13" s="650" t="str">
        <f>IF(AND(Sheet1!AM103="",Sheet1!AM105=""),"",IF(Sheet1!AM103&lt;&gt;"",AVERAGE(Sheet1!AO103:AO104),AVERAGE(Sheet1!AO105:AO106)))</f>
        <v/>
      </c>
      <c r="S13" s="651" t="str">
        <f>IF(R13="","",ABS(R13-R11/2))</f>
        <v/>
      </c>
      <c r="T13" s="657"/>
      <c r="U13" s="657"/>
    </row>
    <row r="14" spans="1:23">
      <c r="A14" s="656" t="str">
        <f>IF(OR(Sheet1!AM24="",AND(Sheet1!AM22="",Sheet1!AM24&lt;&gt;"")),"",Sheet1!AJ24)</f>
        <v/>
      </c>
      <c r="B14" s="650" t="str">
        <f>IF(OR(Sheet1!AM24="",AND(Sheet1!AM22="",Sheet1!AM24&lt;&gt;"")),"",AVERAGE(Sheet1!AO24:AO25))</f>
        <v/>
      </c>
      <c r="C14" s="651" t="str">
        <f>IF(B14="","",ABS(B14-B11/2))</f>
        <v/>
      </c>
      <c r="D14" s="648" t="s">
        <v>669</v>
      </c>
      <c r="E14" s="648" t="s">
        <v>670</v>
      </c>
      <c r="I14" s="656" t="str">
        <f>IF(OR(Sheet1!AM71="",AND(Sheet1!AM69="",Sheet1!AM71&lt;&gt;"")),"",Sheet1!AJ71)</f>
        <v/>
      </c>
      <c r="J14" s="650" t="str">
        <f>IF(OR(Sheet1!AM71="",AND(Sheet1!AM69="",Sheet1!AM71&lt;&gt;"")),"",AVERAGE(Sheet1!AO71:AO72))</f>
        <v/>
      </c>
      <c r="K14" s="651" t="str">
        <f>IF(J14="","",ABS(J14-J11/2))</f>
        <v/>
      </c>
      <c r="L14" s="648" t="s">
        <v>669</v>
      </c>
      <c r="M14" s="648" t="s">
        <v>670</v>
      </c>
      <c r="Q14" s="656" t="str">
        <f>IF(OR(Sheet1!AM105="",AND(Sheet1!AM103="",Sheet1!AM105&lt;&gt;"")),"",Sheet1!AJ105)</f>
        <v/>
      </c>
      <c r="R14" s="650" t="str">
        <f>IF(OR(Sheet1!AM105="",AND(Sheet1!AM103="",Sheet1!AM105&lt;&gt;"")),"",AVERAGE(Sheet1!AO105:AO106))</f>
        <v/>
      </c>
      <c r="S14" s="651" t="str">
        <f>IF(R14="","",ABS(R14-R11/2))</f>
        <v/>
      </c>
      <c r="T14" s="648" t="s">
        <v>669</v>
      </c>
      <c r="U14" s="648" t="s">
        <v>670</v>
      </c>
    </row>
    <row r="15" spans="1:23">
      <c r="A15" s="658" t="str">
        <f>G11</f>
        <v/>
      </c>
      <c r="B15" s="659" t="str">
        <f>IF(G11="","",EXP(TREND(E15:E16,D11:D12,A15)))</f>
        <v/>
      </c>
      <c r="D15" s="652" t="str">
        <f>IF(OR(B11="",B12=""),"",IF(A11=D11,B11,IF(A12=D11,B12,IF(A13=D11,B13,IF(A14=D11,B14)))))</f>
        <v/>
      </c>
      <c r="E15" s="660" t="str">
        <f>IF(D15="","",LN(D15))</f>
        <v/>
      </c>
      <c r="I15" s="658" t="str">
        <f>O11</f>
        <v/>
      </c>
      <c r="J15" s="659" t="str">
        <f>IF(O11="","",EXP(TREND(M15:M16,L11:L12,I15)))</f>
        <v/>
      </c>
      <c r="L15" s="652" t="str">
        <f>IF(OR(J11="",J12=""),"",IF(I11=L11,J11,IF(I12=L11,J12,IF(I13=L11,J13,IF(I14=L11,J14)))))</f>
        <v/>
      </c>
      <c r="M15" s="660" t="str">
        <f>IF(L15="","",LN(L15))</f>
        <v/>
      </c>
      <c r="Q15" s="658" t="str">
        <f>W11</f>
        <v/>
      </c>
      <c r="R15" s="659" t="str">
        <f>IF(W11="","",EXP(TREND(U15:U16,T11:T12,Q15)))</f>
        <v/>
      </c>
      <c r="T15" s="652" t="str">
        <f>IF(OR(R11="",R12=""),"",IF(Q11=T11,R11,IF(Q12=T11,R12,IF(Q13=T11,R13,IF(Q14=T11,R14)))))</f>
        <v/>
      </c>
      <c r="U15" s="660" t="str">
        <f>IF(T15="","",LN(T15))</f>
        <v/>
      </c>
    </row>
    <row r="16" spans="1:23">
      <c r="D16" s="651" t="str">
        <f>IF(OR(B11="",B12=""),"",IF(A11=D12,B11,IF(A12=D12,B12,IF(A13=D12,B13,IF(A14=D12,B14)))))</f>
        <v/>
      </c>
      <c r="E16" s="661" t="str">
        <f>IF(D16="","",LN(D16))</f>
        <v/>
      </c>
      <c r="L16" s="651" t="str">
        <f>IF(OR(J11="",J12=""),"",IF(I11=L12,J11,IF(I12=L12,J12,IF(I13=L12,J13,IF(I14=L12,J14)))))</f>
        <v/>
      </c>
      <c r="M16" s="661" t="str">
        <f>IF(L16="","",LN(L16))</f>
        <v/>
      </c>
      <c r="T16" s="651" t="str">
        <f>IF(OR(R11="",R12=""),"",IF(Q11=T12,R11,IF(Q12=T12,R12,IF(Q13=T12,R13,IF(Q14=T12,R14)))))</f>
        <v/>
      </c>
      <c r="U16" s="661" t="str">
        <f>IF(T16="","",LN(T16))</f>
        <v/>
      </c>
    </row>
    <row r="17" spans="1:23">
      <c r="A17" s="646">
        <f>Sheet1!AH27</f>
        <v>28</v>
      </c>
      <c r="B17" s="54" t="s">
        <v>230</v>
      </c>
      <c r="I17" s="646">
        <f>Sheet1!AH73</f>
        <v>32</v>
      </c>
      <c r="J17" s="54" t="s">
        <v>230</v>
      </c>
      <c r="Q17" s="646">
        <f>Sheet1!AH107</f>
        <v>32</v>
      </c>
      <c r="R17" s="54" t="s">
        <v>230</v>
      </c>
    </row>
    <row r="18" spans="1:23">
      <c r="A18" s="647" t="s">
        <v>665</v>
      </c>
      <c r="B18" s="648" t="s">
        <v>666</v>
      </c>
      <c r="C18" s="648" t="s">
        <v>667</v>
      </c>
      <c r="D18" s="648" t="s">
        <v>668</v>
      </c>
      <c r="E18" s="648" t="s">
        <v>230</v>
      </c>
      <c r="G18" s="648" t="e">
        <f>"HVL @"&amp;ROUND(E19,2)&amp;" kVp"</f>
        <v>#VALUE!</v>
      </c>
      <c r="I18" s="647" t="s">
        <v>665</v>
      </c>
      <c r="J18" s="648" t="s">
        <v>666</v>
      </c>
      <c r="K18" s="648" t="s">
        <v>667</v>
      </c>
      <c r="L18" s="648" t="s">
        <v>668</v>
      </c>
      <c r="M18" s="648" t="s">
        <v>230</v>
      </c>
      <c r="O18" s="648" t="e">
        <f>"HVL @"&amp;ROUND(M19,2)&amp;" kVp"</f>
        <v>#VALUE!</v>
      </c>
      <c r="Q18" s="647" t="s">
        <v>665</v>
      </c>
      <c r="R18" s="648" t="s">
        <v>666</v>
      </c>
      <c r="S18" s="648" t="s">
        <v>667</v>
      </c>
      <c r="T18" s="648" t="s">
        <v>668</v>
      </c>
      <c r="U18" s="648" t="s">
        <v>230</v>
      </c>
      <c r="W18" s="648" t="e">
        <f>"HVL @"&amp;ROUND(U19,2)&amp;" kVp"</f>
        <v>#VALUE!</v>
      </c>
    </row>
    <row r="19" spans="1:23">
      <c r="A19" s="649">
        <f>Sheet1!AJ27</f>
        <v>0</v>
      </c>
      <c r="B19" s="650" t="str">
        <f>IF(MIN(Sheet1!AO28:AO29)=0,"",AVERAGE(Sheet1!AO28:AO31))</f>
        <v/>
      </c>
      <c r="C19" s="651" t="str">
        <f>IF(B19="","",ABS(B19-B19/2))</f>
        <v/>
      </c>
      <c r="D19" s="652" t="str">
        <f>IF(OR(B19="",B20=""),"",IF(ABS(B19-B19/2)=SMALL(C19:C22,1),A19,IF(ABS(B20-B19/2)=SMALL(C19:C22,1),A20,IF(ABS(B21-B19/2)=SMALL(C19:C22,1),A21,IF(ABS(B22-B19/2)=SMALL(C19:C22,1),A22,"")))))</f>
        <v/>
      </c>
      <c r="E19" s="653" t="str">
        <f>IF(OR(Sheet1!AM28="",Sheet1!AM29=""),"",AVERAGE(Sheet1!AM28:AM31))</f>
        <v/>
      </c>
      <c r="G19" s="654" t="str">
        <f>IF(OR(MIN(D19:D20)=0,MIN(D23:D24)=0),"",TREND(D19:D20,E23:E24,LN(B19/2)))</f>
        <v/>
      </c>
      <c r="I19" s="649">
        <f>Sheet1!AJ73</f>
        <v>0</v>
      </c>
      <c r="J19" s="650" t="str">
        <f>IF(MIN(Sheet1!AO73:AO74)=0,"",AVERAGE(Sheet1!AO73:AO74))</f>
        <v/>
      </c>
      <c r="K19" s="651" t="str">
        <f>IF(J19="","",ABS(J19-J19/2))</f>
        <v/>
      </c>
      <c r="L19" s="652" t="str">
        <f>IF(OR(J19="",J20=""),"",IF(ABS(J19-J19/2)=SMALL(K19:K22,1),I19,IF(ABS(J20-J19/2)=SMALL(K19:K22,1),I20,IF(ABS(J21-J19/2)=SMALL(K19:K22,1),I21,IF(ABS(J22-J19/2)=SMALL(K19:K22,1),I22,"")))))</f>
        <v/>
      </c>
      <c r="M19" s="653" t="str">
        <f>IF(OR(Sheet1!AM73="",Sheet1!AM74=""),"",AVERAGE(Sheet1!AM73:AM74))</f>
        <v/>
      </c>
      <c r="O19" s="654" t="str">
        <f>IF(OR(MIN(L19:L20)=0,MIN(L23:L24)=0),"",TREND(L19:L20,M23:M24,LN(J19/2)))</f>
        <v/>
      </c>
      <c r="Q19" s="649">
        <f>Sheet1!AJ107</f>
        <v>0</v>
      </c>
      <c r="R19" s="650" t="str">
        <f>IF(MIN(Sheet1!AO107:AO108)=0,"",AVERAGE(Sheet1!AO107:AO108))</f>
        <v/>
      </c>
      <c r="S19" s="651" t="str">
        <f>IF(R19="","",ABS(R19-R19/2))</f>
        <v/>
      </c>
      <c r="T19" s="652" t="str">
        <f>IF(OR(R19="",R20=""),"",IF(ABS(R19-R19/2)=SMALL(S19:S22,1),Q19,IF(ABS(R20-R19/2)=SMALL(S19:S22,1),Q20,IF(ABS(R21-R19/2)=SMALL(S19:S22,1),Q21,IF(ABS(R22-R19/2)=SMALL(S19:S22,1),Q22,"")))))</f>
        <v/>
      </c>
      <c r="U19" s="653" t="str">
        <f>IF(OR(Sheet1!AM107="",Sheet1!AM108=""),"",AVERAGE(Sheet1!AM107:AM108))</f>
        <v/>
      </c>
      <c r="W19" s="654" t="str">
        <f>IF(OR(MIN(T19:T20)=0,MIN(T23:T24)=0),"",TREND(T19:T20,U23:U24,LN(R19/2)))</f>
        <v/>
      </c>
    </row>
    <row r="20" spans="1:23">
      <c r="A20" s="649">
        <f>Sheet1!AJ32</f>
        <v>0.3</v>
      </c>
      <c r="B20" s="650" t="str">
        <f>IF(MIN(Sheet1!AO32:AO33)=0,"",AVERAGE(Sheet1!AO32:AO33))</f>
        <v/>
      </c>
      <c r="C20" s="651" t="str">
        <f>IF(B20="","",ABS(B20-B19/2))</f>
        <v/>
      </c>
      <c r="D20" s="651" t="str">
        <f>IF(OR(B19="",B20=""),"",IF(ABS(B19-B19/2)=SMALL(C19:C22,2),A19,IF(ABS(B20-B19/2)=SMALL(C19:C22,2),A20,IF(ABS(B21-B19/2)=SMALL(C19:C22,2),A21,IF(ABS(B22-B19/2)=SMALL(C19:C22,2),A22,"")))))</f>
        <v/>
      </c>
      <c r="E20" s="655"/>
      <c r="I20" s="649">
        <f>Sheet1!AJ75</f>
        <v>0.4</v>
      </c>
      <c r="J20" s="650" t="str">
        <f>IF(MIN(Sheet1!AO75:AO76)=0,"",AVERAGE(Sheet1!AO75:AO76))</f>
        <v/>
      </c>
      <c r="K20" s="651" t="str">
        <f>IF(J20="","",ABS(J20-J19/2))</f>
        <v/>
      </c>
      <c r="L20" s="651" t="str">
        <f>IF(OR(J19="",J20=""),"",IF(ABS(J19-J19/2)=SMALL(K19:K22,2),I19,IF(ABS(J20-J19/2)=SMALL(K19:K22,2),I20,IF(ABS(J21-J19/2)=SMALL(K19:K22,2),I21,IF(ABS(J22-J19/2)=SMALL(K19:K22,2),I22,"")))))</f>
        <v/>
      </c>
      <c r="M20" s="655"/>
      <c r="Q20" s="649">
        <f>Sheet1!AJ109</f>
        <v>0.5</v>
      </c>
      <c r="R20" s="650" t="str">
        <f>IF(MIN(Sheet1!AO109:AO110)=0,"",AVERAGE(Sheet1!AO109:AO110))</f>
        <v/>
      </c>
      <c r="S20" s="651" t="str">
        <f>IF(R20="","",ABS(R20-R19/2))</f>
        <v/>
      </c>
      <c r="T20" s="651" t="str">
        <f>IF(OR(R19="",R20=""),"",IF(ABS(R19-R19/2)=SMALL(S19:S22,2),Q19,IF(ABS(R20-R19/2)=SMALL(S19:S22,2),Q20,IF(ABS(R21-R19/2)=SMALL(S19:S22,2),Q21,IF(ABS(R22-R19/2)=SMALL(S19:S22,2),Q22,"")))))</f>
        <v/>
      </c>
      <c r="U20" s="655"/>
    </row>
    <row r="21" spans="1:23">
      <c r="A21" s="656" t="str">
        <f>IF(AND(Sheet1!AM34="",Sheet1!AM36=""),"",IF(Sheet1!AM34&lt;&gt;"",Sheet1!AJ34,Sheet1!AJ36))</f>
        <v/>
      </c>
      <c r="B21" s="650" t="str">
        <f>IF(AND(Sheet1!AM34="",Sheet1!AM36=""),"",IF(Sheet1!AM34&lt;&gt;"",AVERAGE(Sheet1!AO34:AO35),AVERAGE(Sheet1!AO36:AO37)))</f>
        <v/>
      </c>
      <c r="C21" s="651" t="str">
        <f>IF(B21="","",ABS(B21-B19/2))</f>
        <v/>
      </c>
      <c r="D21" s="657"/>
      <c r="E21" s="657"/>
      <c r="I21" s="656" t="str">
        <f>IF(AND(Sheet1!AM77="",Sheet1!AM79=""),"",IF(Sheet1!AM77&lt;&gt;"",Sheet1!AJ77,Sheet1!AJ79))</f>
        <v/>
      </c>
      <c r="J21" s="650" t="str">
        <f>IF(AND(Sheet1!AM77="",Sheet1!AM79=""),"",IF(Sheet1!AM77&lt;&gt;"",AVERAGE(Sheet1!AO77:AO78),AVERAGE(Sheet1!AO79:AO80)))</f>
        <v/>
      </c>
      <c r="K21" s="651" t="str">
        <f>IF(J21="","",ABS(J21-J19/2))</f>
        <v/>
      </c>
      <c r="L21" s="657"/>
      <c r="M21" s="657"/>
      <c r="Q21" s="656" t="str">
        <f>IF(AND(Sheet1!AM111="",Sheet1!AM113=""),"",IF(Sheet1!AM111&lt;&gt;"",Sheet1!AJ111,Sheet1!AJ113))</f>
        <v/>
      </c>
      <c r="R21" s="650" t="str">
        <f>IF(AND(Sheet1!AM111="",Sheet1!AM113=""),"",IF(Sheet1!AM111&lt;&gt;"",AVERAGE(Sheet1!AO111:AO112),AVERAGE(Sheet1!AO113:AO114)))</f>
        <v/>
      </c>
      <c r="S21" s="651" t="str">
        <f>IF(R21="","",ABS(R21-R19/2))</f>
        <v/>
      </c>
      <c r="T21" s="657"/>
      <c r="U21" s="657"/>
    </row>
    <row r="22" spans="1:23">
      <c r="A22" s="656" t="str">
        <f>IF(OR(Sheet1!AM36="",AND(Sheet1!AM34="",Sheet1!AM36&lt;&gt;"")),"",Sheet1!AJ36)</f>
        <v/>
      </c>
      <c r="B22" s="650" t="str">
        <f>IF(OR(Sheet1!AM36="",AND(Sheet1!AM34="",Sheet1!AM36&lt;&gt;"")),"",AVERAGE(Sheet1!AO36:AO37))</f>
        <v/>
      </c>
      <c r="C22" s="651" t="str">
        <f>IF(B22="","",ABS(B22-B19/2))</f>
        <v/>
      </c>
      <c r="D22" s="648" t="s">
        <v>669</v>
      </c>
      <c r="E22" s="648" t="s">
        <v>670</v>
      </c>
      <c r="I22" s="656" t="str">
        <f>IF(OR(Sheet1!AM79="",AND(Sheet1!AM77="",Sheet1!AM79&lt;&gt;"")),"",Sheet1!AJ79)</f>
        <v/>
      </c>
      <c r="J22" s="650" t="str">
        <f>IF(OR(Sheet1!AM79="",AND(Sheet1!AM77="",Sheet1!AM79&lt;&gt;"")),"",AVERAGE(Sheet1!AO79:AO80))</f>
        <v/>
      </c>
      <c r="K22" s="651" t="str">
        <f>IF(J22="","",ABS(J22-J19/2))</f>
        <v/>
      </c>
      <c r="L22" s="648" t="s">
        <v>669</v>
      </c>
      <c r="M22" s="648" t="s">
        <v>670</v>
      </c>
      <c r="Q22" s="656" t="str">
        <f>IF(OR(Sheet1!AM113="",AND(Sheet1!AM111="",Sheet1!AM113&lt;&gt;"")),"",Sheet1!AJ113)</f>
        <v/>
      </c>
      <c r="R22" s="650" t="str">
        <f>IF(OR(Sheet1!AM113="",AND(Sheet1!AM111="",Sheet1!AM113&lt;&gt;"")),"",AVERAGE(Sheet1!AO113:AO114))</f>
        <v/>
      </c>
      <c r="S22" s="651" t="str">
        <f>IF(R22="","",ABS(R22-R19/2))</f>
        <v/>
      </c>
      <c r="T22" s="648" t="s">
        <v>669</v>
      </c>
      <c r="U22" s="648" t="s">
        <v>670</v>
      </c>
    </row>
    <row r="23" spans="1:23">
      <c r="A23" s="658" t="str">
        <f>G19</f>
        <v/>
      </c>
      <c r="B23" s="659" t="str">
        <f>IF(G19="","",EXP(TREND(E23:E24,D19:D20,A23)))</f>
        <v/>
      </c>
      <c r="D23" s="652" t="str">
        <f>IF(OR(B19="",B20=""),"",IF(A19=D19,B19,IF(A20=D19,B20,IF(A21=D19,B21,IF(A22=D19,B22)))))</f>
        <v/>
      </c>
      <c r="E23" s="660" t="str">
        <f>IF(D23="","",LN(D23))</f>
        <v/>
      </c>
      <c r="I23" s="658" t="str">
        <f>O19</f>
        <v/>
      </c>
      <c r="J23" s="659" t="str">
        <f>IF(O19="","",EXP(TREND(M23:M24,L19:L20,I23)))</f>
        <v/>
      </c>
      <c r="L23" s="652" t="str">
        <f>IF(OR(J19="",J20=""),"",IF(I19=L19,J19,IF(I20=L19,J20,IF(I21=L19,J21,IF(I22=L19,J22)))))</f>
        <v/>
      </c>
      <c r="M23" s="660" t="str">
        <f>IF(L23="","",LN(L23))</f>
        <v/>
      </c>
      <c r="Q23" s="658" t="str">
        <f>W19</f>
        <v/>
      </c>
      <c r="R23" s="659" t="str">
        <f>IF(W19="","",EXP(TREND(U23:U24,T19:T20,Q23)))</f>
        <v/>
      </c>
      <c r="T23" s="652" t="str">
        <f>IF(OR(R19="",R20=""),"",IF(Q19=T19,R19,IF(Q20=T19,R20,IF(Q21=T19,R21,IF(Q22=T19,R22)))))</f>
        <v/>
      </c>
      <c r="U23" s="660" t="str">
        <f>IF(T23="","",LN(T23))</f>
        <v/>
      </c>
    </row>
    <row r="24" spans="1:23">
      <c r="D24" s="651" t="str">
        <f>IF(OR(B19="",B20=""),"",IF(A19=D20,B19,IF(A20=D20,B20,IF(A21=D20,B21,IF(A22=D20,B22)))))</f>
        <v/>
      </c>
      <c r="E24" s="661" t="str">
        <f>IF(D24="","",LN(D24))</f>
        <v/>
      </c>
      <c r="L24" s="651" t="str">
        <f>IF(OR(J19="",J20=""),"",IF(I19=L20,J19,IF(I20=L20,J20,IF(I21=L20,J21,IF(I22=L20,J22)))))</f>
        <v/>
      </c>
      <c r="M24" s="661" t="str">
        <f>IF(L24="","",LN(L24))</f>
        <v/>
      </c>
      <c r="T24" s="651" t="str">
        <f>IF(OR(R19="",R20=""),"",IF(Q19=T20,R19,IF(Q20=T20,R20,IF(Q21=T20,R21,IF(Q22=T20,R22)))))</f>
        <v/>
      </c>
      <c r="U24" s="661" t="str">
        <f>IF(T24="","",LN(T24))</f>
        <v/>
      </c>
    </row>
    <row r="25" spans="1:23">
      <c r="A25" s="646">
        <f>Sheet1!AH41</f>
        <v>32</v>
      </c>
      <c r="B25" s="54" t="s">
        <v>230</v>
      </c>
      <c r="I25" s="646">
        <f>Sheet1!AH81</f>
        <v>34</v>
      </c>
      <c r="J25" s="54" t="s">
        <v>230</v>
      </c>
      <c r="Q25" s="646">
        <f>Sheet1!AH115</f>
        <v>34</v>
      </c>
      <c r="R25" s="54" t="s">
        <v>230</v>
      </c>
    </row>
    <row r="26" spans="1:23">
      <c r="A26" s="647" t="s">
        <v>665</v>
      </c>
      <c r="B26" s="648" t="s">
        <v>666</v>
      </c>
      <c r="C26" s="648" t="s">
        <v>667</v>
      </c>
      <c r="D26" s="648" t="s">
        <v>668</v>
      </c>
      <c r="E26" s="648" t="s">
        <v>230</v>
      </c>
      <c r="G26" s="648" t="e">
        <f>"HVL @"&amp;ROUND(E27,2)&amp;" kVp"</f>
        <v>#VALUE!</v>
      </c>
      <c r="I26" s="647" t="s">
        <v>665</v>
      </c>
      <c r="J26" s="648" t="s">
        <v>666</v>
      </c>
      <c r="K26" s="648" t="s">
        <v>667</v>
      </c>
      <c r="L26" s="648" t="s">
        <v>668</v>
      </c>
      <c r="M26" s="648" t="s">
        <v>230</v>
      </c>
      <c r="O26" s="648" t="e">
        <f>"HVL @"&amp;ROUND(M27,2)&amp;" kVp"</f>
        <v>#VALUE!</v>
      </c>
      <c r="Q26" s="647" t="s">
        <v>665</v>
      </c>
      <c r="R26" s="648" t="s">
        <v>666</v>
      </c>
      <c r="S26" s="648" t="s">
        <v>667</v>
      </c>
      <c r="T26" s="648" t="s">
        <v>668</v>
      </c>
      <c r="U26" s="648" t="s">
        <v>230</v>
      </c>
      <c r="W26" s="648" t="e">
        <f>"HVL @"&amp;ROUND(U27,2)&amp;" kVp"</f>
        <v>#VALUE!</v>
      </c>
    </row>
    <row r="27" spans="1:23">
      <c r="A27" s="649">
        <f>Sheet1!AJ41</f>
        <v>0</v>
      </c>
      <c r="B27" s="650" t="str">
        <f>IF(MIN(Sheet1!AO41:AO42)=0,"",AVERAGE(Sheet1!AO41:AO42))</f>
        <v/>
      </c>
      <c r="C27" s="651" t="str">
        <f>IF(B27="","",ABS(B27-B27/2))</f>
        <v/>
      </c>
      <c r="D27" s="652" t="str">
        <f>IF(OR(B27="",B28=""),"",IF(ABS(B27-B27/2)=SMALL(C27:C30,1),A27,IF(ABS(B28-B27/2)=SMALL(C27:C30,1),A28,IF(ABS(B29-B27/2)=SMALL(C27:C30,1),A29,IF(ABS(B30-B27/2)=SMALL(C27:C30,1),A30,"")))))</f>
        <v/>
      </c>
      <c r="E27" s="653" t="str">
        <f>IF(OR(Sheet1!AM40="",Sheet1!AM41=""),"",AVERAGE(Sheet1!AM40:AM41))</f>
        <v/>
      </c>
      <c r="G27" s="654" t="str">
        <f>IF(OR(MIN(D27:D28)=0,MIN(D31:D32)=0),"",TREND(D27:D28,E31:E32,LN(B27/2)))</f>
        <v/>
      </c>
      <c r="I27" s="649">
        <f>Sheet1!AJ81</f>
        <v>0</v>
      </c>
      <c r="J27" s="650" t="str">
        <f>IF(MIN(Sheet1!AO81:AO82)=0,"",AVERAGE(Sheet1!AO81:AO82))</f>
        <v/>
      </c>
      <c r="K27" s="651" t="str">
        <f>IF(J27="","",ABS(J27-J27/2))</f>
        <v/>
      </c>
      <c r="L27" s="652" t="str">
        <f>IF(OR(J27="",J28=""),"",IF(ABS(J27-J27/2)=SMALL(K27:K30,1),I27,IF(ABS(J28-J27/2)=SMALL(K27:K30,1),I28,IF(ABS(J29-J27/2)=SMALL(K27:K30,1),I29,IF(ABS(J30-J27/2)=SMALL(K27:K30,1),I30,"")))))</f>
        <v/>
      </c>
      <c r="M27" s="653" t="str">
        <f>IF(OR(Sheet1!AM81="",Sheet1!AM82=""),"",AVERAGE(Sheet1!AM81:AM82))</f>
        <v/>
      </c>
      <c r="O27" s="654" t="str">
        <f>IF(OR(MIN(L27:L28)=0,MIN(L31:L32)=0),"",TREND(L27:L28,M31:M32,LN(J27/2)))</f>
        <v/>
      </c>
      <c r="Q27" s="649">
        <f>Sheet1!AJ115</f>
        <v>0</v>
      </c>
      <c r="R27" s="650" t="str">
        <f>IF(MIN(Sheet1!AO115:AO116)=0,"",AVERAGE(Sheet1!AO115:AO116))</f>
        <v/>
      </c>
      <c r="S27" s="651" t="str">
        <f>IF(R27="","",ABS(R27-R27/2))</f>
        <v/>
      </c>
      <c r="T27" s="652" t="str">
        <f>IF(OR(R27="",R28=""),"",IF(ABS(R27-R27/2)=SMALL(S27:S30,1),Q27,IF(ABS(R28-R27/2)=SMALL(S27:S30,1),Q28,IF(ABS(R29-R27/2)=SMALL(S27:S30,1),Q29,IF(ABS(R30-R27/2)=SMALL(S27:S30,1),Q30,"")))))</f>
        <v/>
      </c>
      <c r="U27" s="653" t="str">
        <f>IF(OR(Sheet1!AM115="",Sheet1!AM116=""),"",AVERAGE(Sheet1!AM115:AM116))</f>
        <v/>
      </c>
      <c r="W27" s="654" t="str">
        <f>IF(OR(MIN(T27:T28)=0,MIN(T31:T32)=0),"",TREND(T27:T28,U31:U32,LN(R27/2)))</f>
        <v/>
      </c>
    </row>
    <row r="28" spans="1:23">
      <c r="A28" s="649">
        <f>Sheet1!AJ43</f>
        <v>0.4</v>
      </c>
      <c r="B28" s="650" t="str">
        <f>IF(MIN(Sheet1!AO43:AO44)=0,"",AVERAGE(Sheet1!AO43:AO44))</f>
        <v/>
      </c>
      <c r="C28" s="651" t="str">
        <f>IF(B28="","",ABS(B28-B27/2))</f>
        <v/>
      </c>
      <c r="D28" s="651" t="str">
        <f>IF(OR(B27="",B28=""),"",IF(ABS(B27-B27/2)=SMALL(C27:C30,2),A27,IF(ABS(B28-B27/2)=SMALL(C27:C30,2),A28,IF(ABS(B29-B27/2)=SMALL(C27:C30,2),A29,IF(ABS(B30-B27/2)=SMALL(C27:C30,2),A30,"")))))</f>
        <v/>
      </c>
      <c r="E28" s="655"/>
      <c r="I28" s="649">
        <f>Sheet1!AJ83</f>
        <v>0.4</v>
      </c>
      <c r="J28" s="650" t="str">
        <f>IF(MIN(Sheet1!AO83:AO84)=0,"",AVERAGE(Sheet1!AO83:AO84))</f>
        <v/>
      </c>
      <c r="K28" s="651" t="str">
        <f>IF(J28="","",ABS(J28-J27/2))</f>
        <v/>
      </c>
      <c r="L28" s="651" t="str">
        <f>IF(OR(J27="",J28=""),"",IF(ABS(J27-J27/2)=SMALL(K27:K30,2),I27,IF(ABS(J28-J27/2)=SMALL(K27:K30,2),I28,IF(ABS(J29-J27/2)=SMALL(K27:K30,2),I29,IF(ABS(J30-J27/2)=SMALL(K27:K30,2),I30,"")))))</f>
        <v/>
      </c>
      <c r="M28" s="655"/>
      <c r="Q28" s="649">
        <f>Sheet1!AJ117</f>
        <v>0.5</v>
      </c>
      <c r="R28" s="650" t="str">
        <f>IF(MIN(Sheet1!AO117:AO118)=0,"",AVERAGE(Sheet1!AO117:AO118))</f>
        <v/>
      </c>
      <c r="S28" s="651" t="str">
        <f>IF(R28="","",ABS(R28-R27/2))</f>
        <v/>
      </c>
      <c r="T28" s="651" t="str">
        <f>IF(OR(R27="",R28=""),"",IF(ABS(R27-R27/2)=SMALL(S27:S30,2),Q27,IF(ABS(R28-R27/2)=SMALL(S27:S30,2),Q28,IF(ABS(R29-R27/2)=SMALL(S27:S30,2),Q29,IF(ABS(R30-R27/2)=SMALL(S27:S30,2),Q30,"")))))</f>
        <v/>
      </c>
      <c r="U28" s="655"/>
    </row>
    <row r="29" spans="1:23">
      <c r="A29" s="656" t="str">
        <f>IF(AND(Sheet1!AM45="",Sheet1!AM47=""),"",IF(Sheet1!AM45&lt;&gt;"",Sheet1!AJ45,Sheet1!AJ47))</f>
        <v/>
      </c>
      <c r="B29" s="650" t="str">
        <f>IF(AND(Sheet1!AM45="",Sheet1!AM47=""),"",IF(Sheet1!AM45&lt;&gt;"",AVERAGE(Sheet1!AO45:AO46),AVERAGE(Sheet1!AO47:AO48)))</f>
        <v/>
      </c>
      <c r="C29" s="651" t="str">
        <f>IF(B29="","",ABS(B29-B27/2))</f>
        <v/>
      </c>
      <c r="D29" s="657"/>
      <c r="E29" s="657"/>
      <c r="I29" s="656" t="str">
        <f>IF(AND(Sheet1!AM85="",Sheet1!AM87=""),"",IF(Sheet1!AM85&lt;&gt;"",Sheet1!AJ85,Sheet1!AJ87))</f>
        <v/>
      </c>
      <c r="J29" s="650" t="str">
        <f>IF(AND(Sheet1!AM85="",Sheet1!AM87=""),"",IF(Sheet1!AM85&lt;&gt;"",AVERAGE(Sheet1!AO85:AO86),AVERAGE(Sheet1!AO87:AO88)))</f>
        <v/>
      </c>
      <c r="K29" s="651" t="str">
        <f>IF(J29="","",ABS(J29-J27/2))</f>
        <v/>
      </c>
      <c r="L29" s="657"/>
      <c r="M29" s="657"/>
      <c r="Q29" s="656" t="str">
        <f>IF(AND(Sheet1!AM119="",Sheet1!AM121=""),"",IF(Sheet1!AM119&lt;&gt;"",Sheet1!AJ119,Sheet1!AJ121))</f>
        <v/>
      </c>
      <c r="R29" s="650" t="str">
        <f>IF(AND(Sheet1!AM119="",Sheet1!AM121=""),"",IF(Sheet1!AM119&lt;&gt;"",AVERAGE(Sheet1!AO119:AO120),AVERAGE(Sheet1!AO121:AO122)))</f>
        <v/>
      </c>
      <c r="S29" s="651" t="str">
        <f>IF(R29="","",ABS(R29-R27/2))</f>
        <v/>
      </c>
      <c r="T29" s="657"/>
      <c r="U29" s="657"/>
    </row>
    <row r="30" spans="1:23">
      <c r="A30" s="656" t="str">
        <f>IF(OR(Sheet1!AM47="",AND(Sheet1!AM45="",Sheet1!AM47&lt;&gt;"")),"",Sheet1!AJ47)</f>
        <v/>
      </c>
      <c r="B30" s="650" t="str">
        <f>IF(OR(Sheet1!AM47="",AND(Sheet1!AM45="",Sheet1!AM47&lt;&gt;"")),"",AVERAGE(Sheet1!AO47:AO48))</f>
        <v/>
      </c>
      <c r="C30" s="651" t="str">
        <f>IF(B30="","",ABS(B30-B27/2))</f>
        <v/>
      </c>
      <c r="D30" s="648" t="s">
        <v>669</v>
      </c>
      <c r="E30" s="648" t="s">
        <v>670</v>
      </c>
      <c r="I30" s="656" t="str">
        <f>IF(OR(Sheet1!AM87="",AND(Sheet1!AM85="",Sheet1!AM87&lt;&gt;"")),"",Sheet1!AJ87)</f>
        <v/>
      </c>
      <c r="J30" s="650" t="str">
        <f>IF(OR(Sheet1!AM87="",AND(Sheet1!AM85="",Sheet1!AM87&lt;&gt;"")),"",AVERAGE(Sheet1!AO87:AO88))</f>
        <v/>
      </c>
      <c r="K30" s="651" t="str">
        <f>IF(J30="","",ABS(J30-J27/2))</f>
        <v/>
      </c>
      <c r="L30" s="648" t="s">
        <v>669</v>
      </c>
      <c r="M30" s="648" t="s">
        <v>670</v>
      </c>
      <c r="Q30" s="656" t="str">
        <f>IF(OR(Sheet1!AM121="",AND(Sheet1!AM119="",Sheet1!AM121&lt;&gt;"")),"",Sheet1!AJ121)</f>
        <v/>
      </c>
      <c r="R30" s="650" t="str">
        <f>IF(OR(Sheet1!AM121="",AND(Sheet1!AM119="",Sheet1!AM121&lt;&gt;"")),"",AVERAGE(Sheet1!AO121:AO122))</f>
        <v/>
      </c>
      <c r="S30" s="651" t="str">
        <f>IF(R30="","",ABS(R30-R27/2))</f>
        <v/>
      </c>
      <c r="T30" s="648" t="s">
        <v>669</v>
      </c>
      <c r="U30" s="648" t="s">
        <v>670</v>
      </c>
    </row>
    <row r="31" spans="1:23">
      <c r="A31" s="658" t="str">
        <f>G27</f>
        <v/>
      </c>
      <c r="B31" s="659" t="str">
        <f>IF(G27="","",EXP(TREND(E31:E32,D27:D28,A31)))</f>
        <v/>
      </c>
      <c r="D31" s="652" t="str">
        <f>IF(OR(B27="",B28=""),"",IF(A27=D27,B27,IF(A28=D27,B28,IF(A29=D27,B29,IF(A30=D27,B30)))))</f>
        <v/>
      </c>
      <c r="E31" s="660" t="str">
        <f>IF(D31="","",LN(D31))</f>
        <v/>
      </c>
      <c r="I31" s="658" t="str">
        <f>O27</f>
        <v/>
      </c>
      <c r="J31" s="659" t="str">
        <f>IF(O27="","",EXP(TREND(M31:M32,L27:L28,I31)))</f>
        <v/>
      </c>
      <c r="L31" s="652" t="str">
        <f>IF(OR(J27="",J28=""),"",IF(I27=L27,J27,IF(I28=L27,J28,IF(I29=L27,J29,IF(I30=L27,J30)))))</f>
        <v/>
      </c>
      <c r="M31" s="660" t="str">
        <f>IF(L31="","",LN(L31))</f>
        <v/>
      </c>
      <c r="Q31" s="658" t="str">
        <f>W27</f>
        <v/>
      </c>
      <c r="R31" s="659" t="str">
        <f>IF(W27="","",EXP(TREND(U31:U32,T27:T28,Q31)))</f>
        <v/>
      </c>
      <c r="T31" s="652" t="str">
        <f>IF(OR(R27="",R28=""),"",IF(Q27=T27,R27,IF(Q28=T27,R28,IF(Q29=T27,R29,IF(Q30=T27,R30)))))</f>
        <v/>
      </c>
      <c r="U31" s="660" t="str">
        <f>IF(T31="","",LN(T31))</f>
        <v/>
      </c>
    </row>
    <row r="32" spans="1:23">
      <c r="D32" s="651" t="str">
        <f>IF(OR(B27="",B28=""),"",IF(A27=D28,B27,IF(A28=D28,B28,IF(A29=D28,B29,IF(A30=D28,B30)))))</f>
        <v/>
      </c>
      <c r="E32" s="661" t="str">
        <f>IF(D32="","",LN(D32))</f>
        <v/>
      </c>
      <c r="L32" s="651" t="str">
        <f>IF(OR(J27="",J28=""),"",IF(I27=L28,J27,IF(I28=L28,J28,IF(I29=L28,J29,IF(I30=L28,J30)))))</f>
        <v/>
      </c>
      <c r="M32" s="661" t="str">
        <f>IF(L32="","",LN(L32))</f>
        <v/>
      </c>
      <c r="T32" s="651" t="str">
        <f>IF(OR(R27="",R28=""),"",IF(Q27=T28,R27,IF(Q28=T28,R28,IF(Q29=T28,R29,IF(Q30=T28,R30)))))</f>
        <v/>
      </c>
      <c r="U32" s="661" t="str">
        <f>IF(T32="","",LN(T32))</f>
        <v/>
      </c>
    </row>
    <row r="33" spans="1:23">
      <c r="A33" s="646">
        <f>Sheet1!AH49</f>
        <v>34</v>
      </c>
      <c r="B33" s="54" t="s">
        <v>230</v>
      </c>
      <c r="Q33" s="646">
        <f>Sheet1!AH123</f>
        <v>38</v>
      </c>
      <c r="R33" s="54" t="s">
        <v>230</v>
      </c>
    </row>
    <row r="34" spans="1:23">
      <c r="A34" s="647" t="s">
        <v>665</v>
      </c>
      <c r="B34" s="648" t="s">
        <v>666</v>
      </c>
      <c r="C34" s="648" t="s">
        <v>667</v>
      </c>
      <c r="D34" s="648" t="s">
        <v>668</v>
      </c>
      <c r="E34" s="648" t="s">
        <v>230</v>
      </c>
      <c r="G34" s="648" t="e">
        <f>"HVL @"&amp;ROUND(E35,2)&amp;" kVp"</f>
        <v>#VALUE!</v>
      </c>
      <c r="Q34" s="647" t="s">
        <v>665</v>
      </c>
      <c r="R34" s="648" t="s">
        <v>666</v>
      </c>
      <c r="S34" s="648" t="s">
        <v>667</v>
      </c>
      <c r="T34" s="648" t="s">
        <v>668</v>
      </c>
      <c r="U34" s="648" t="s">
        <v>230</v>
      </c>
      <c r="W34" s="648" t="e">
        <f>"HVL @"&amp;ROUND(U35,2)&amp;" kVp"</f>
        <v>#VALUE!</v>
      </c>
    </row>
    <row r="35" spans="1:23">
      <c r="A35" s="649">
        <f>Sheet1!AJ49</f>
        <v>0</v>
      </c>
      <c r="B35" s="650" t="str">
        <f>IF(MIN(Sheet1!AO49:AO50)=0,"",AVERAGE(Sheet1!AO49:AO50))</f>
        <v/>
      </c>
      <c r="C35" s="651" t="str">
        <f>IF(B35="","",ABS(B35-B35/2))</f>
        <v/>
      </c>
      <c r="D35" s="652" t="str">
        <f>IF(OR(B35="",B36=""),"",IF(ABS(B35-B35/2)=SMALL(C35:C38,1),A35,IF(ABS(B36-B35/2)=SMALL(C35:C38,1),A36,IF(ABS(B37-B35/2)=SMALL(C35:C38,1),A37,IF(ABS(B38-B35/2)=SMALL(C35:C38,1),A38,"")))))</f>
        <v/>
      </c>
      <c r="E35" s="653" t="str">
        <f>IF(OR(Sheet1!AM48="",Sheet1!AM49=""),"",AVERAGE(Sheet1!AM48:AM49))</f>
        <v/>
      </c>
      <c r="G35" s="654" t="str">
        <f>IF(OR(MIN(D35:D36)=0,MIN(D39:D40)=0),"",TREND(D35:D36,E39:E40,LN(B35/2)))</f>
        <v/>
      </c>
      <c r="Q35" s="649">
        <f>Sheet1!AJ123</f>
        <v>0</v>
      </c>
      <c r="R35" s="650" t="str">
        <f>IF(MIN(Sheet1!AO123:AO124)=0,"",AVERAGE(Sheet1!AO123:AO124))</f>
        <v/>
      </c>
      <c r="S35" s="651" t="str">
        <f>IF(R35="","",ABS(R35-R35/2))</f>
        <v/>
      </c>
      <c r="T35" s="652" t="str">
        <f>IF(OR(R35="",R36=""),"",IF(ABS(R35-R35/2)=SMALL(S35:S38,1),Q35,IF(ABS(R36-R35/2)=SMALL(S35:S38,1),Q36,IF(ABS(R37-R35/2)=SMALL(S35:S38,1),Q37,IF(ABS(R38-R35/2)=SMALL(S35:S38,1),Q38,"")))))</f>
        <v/>
      </c>
      <c r="U35" s="653" t="str">
        <f>IF(OR(Sheet1!AM123="",Sheet1!AM124=""),"",AVERAGE(Sheet1!AM123:AM124))</f>
        <v/>
      </c>
      <c r="W35" s="654" t="str">
        <f>IF(OR(MIN(T35:T36)=0,MIN(T39:T40)=0),"",TREND(T35:T36,U39:U40,LN(R35/2)))</f>
        <v/>
      </c>
    </row>
    <row r="36" spans="1:23">
      <c r="A36" s="649">
        <f>Sheet1!AJ51</f>
        <v>0.4</v>
      </c>
      <c r="B36" s="650" t="str">
        <f>IF(MIN(Sheet1!AO51:AO52)=0,"",AVERAGE(Sheet1!AO51:AO52))</f>
        <v/>
      </c>
      <c r="C36" s="651" t="str">
        <f>IF(B36="","",ABS(B36-B35/2))</f>
        <v/>
      </c>
      <c r="D36" s="651" t="str">
        <f>IF(OR(B35="",B36=""),"",IF(ABS(B35-B35/2)=SMALL(C35:C38,2),A35,IF(ABS(B36-B35/2)=SMALL(C35:C38,2),A36,IF(ABS(B37-B35/2)=SMALL(C35:C38,2),A37,IF(ABS(B38-B35/2)=SMALL(C35:C38,2),A38,"")))))</f>
        <v/>
      </c>
      <c r="E36" s="655"/>
      <c r="Q36" s="649">
        <f>Sheet1!AJ125</f>
        <v>0.6</v>
      </c>
      <c r="R36" s="650" t="str">
        <f>IF(MIN(Sheet1!AO125:AO126)=0,"",AVERAGE(Sheet1!AO125:AO126))</f>
        <v/>
      </c>
      <c r="S36" s="651" t="str">
        <f>IF(R36="","",ABS(R36-R35/2))</f>
        <v/>
      </c>
      <c r="T36" s="651" t="str">
        <f>IF(OR(R35="",R36=""),"",IF(ABS(R35-R35/2)=SMALL(S35:S38,2),Q35,IF(ABS(R36-R35/2)=SMALL(S35:S38,2),Q36,IF(ABS(R37-R35/2)=SMALL(S35:S38,2),Q37,IF(ABS(R38-R35/2)=SMALL(S35:S38,2),Q38,"")))))</f>
        <v/>
      </c>
      <c r="U36" s="655"/>
    </row>
    <row r="37" spans="1:23">
      <c r="A37" s="656" t="str">
        <f>IF(AND(Sheet1!AM53="",Sheet1!AM55=""),"",IF(Sheet1!AM53&lt;&gt;"",Sheet1!AJ53,Sheet1!AJ55))</f>
        <v/>
      </c>
      <c r="B37" s="650" t="str">
        <f>IF(AND(Sheet1!AM53="",Sheet1!AM55=""),"",IF(Sheet1!AM53&lt;&gt;"",AVERAGE(Sheet1!AO53:AO54),AVERAGE(Sheet1!AO55:AO56)))</f>
        <v/>
      </c>
      <c r="C37" s="651" t="str">
        <f>IF(B37="","",ABS(B37-B35/2))</f>
        <v/>
      </c>
      <c r="D37" s="657"/>
      <c r="E37" s="657"/>
      <c r="Q37" s="656" t="str">
        <f>IF(AND(Sheet1!AM127="",Sheet1!AM129=""),"",IF(Sheet1!AM127&lt;&gt;"",Sheet1!AJ127,Sheet1!AJ129))</f>
        <v/>
      </c>
      <c r="R37" s="650" t="str">
        <f>IF(AND(Sheet1!AM127="",Sheet1!AM129=""),"",IF(Sheet1!AM127&lt;&gt;"",AVERAGE(Sheet1!AO127:AO128),AVERAGE(Sheet1!AO129:AO130)))</f>
        <v/>
      </c>
      <c r="S37" s="651" t="str">
        <f>IF(R37="","",ABS(R37-R35/2))</f>
        <v/>
      </c>
      <c r="T37" s="657"/>
      <c r="U37" s="657"/>
    </row>
    <row r="38" spans="1:23">
      <c r="A38" s="656" t="str">
        <f>IF(OR(Sheet1!AM55="",AND(Sheet1!AM53="",Sheet1!AM55&lt;&gt;"")),"",Sheet1!AJ55)</f>
        <v/>
      </c>
      <c r="B38" s="650" t="str">
        <f>IF(OR(Sheet1!AM55="",AND(Sheet1!AM53="",Sheet1!AM55&lt;&gt;"")),"",AVERAGE(Sheet1!AO55:AO56))</f>
        <v/>
      </c>
      <c r="C38" s="651" t="str">
        <f>IF(B38="","",ABS(B38-B35/2))</f>
        <v/>
      </c>
      <c r="D38" s="648" t="s">
        <v>669</v>
      </c>
      <c r="E38" s="648" t="s">
        <v>670</v>
      </c>
      <c r="Q38" s="656" t="str">
        <f>IF(OR(Sheet1!AM129="",AND(Sheet1!AM127="",Sheet1!AM129&lt;&gt;"")),"",Sheet1!AJ129)</f>
        <v/>
      </c>
      <c r="R38" s="650" t="str">
        <f>IF(OR(Sheet1!AM129="",AND(Sheet1!AM127="",Sheet1!AM129&lt;&gt;"")),"",AVERAGE(Sheet1!AO129:AO130))</f>
        <v/>
      </c>
      <c r="S38" s="651" t="str">
        <f>IF(R38="","",ABS(R38-R35/2))</f>
        <v/>
      </c>
      <c r="T38" s="648" t="s">
        <v>669</v>
      </c>
      <c r="U38" s="648" t="s">
        <v>670</v>
      </c>
    </row>
    <row r="39" spans="1:23">
      <c r="A39" s="658" t="str">
        <f>G35</f>
        <v/>
      </c>
      <c r="B39" s="659" t="str">
        <f>IF(G35="","",EXP(TREND(E39:E40,D35:D36,A39)))</f>
        <v/>
      </c>
      <c r="D39" s="652" t="str">
        <f>IF(OR(B35="",B36=""),"",IF(A35=D35,B35,IF(A36=D35,B36,IF(A37=D35,B37,IF(A38=D35,B38)))))</f>
        <v/>
      </c>
      <c r="E39" s="660" t="str">
        <f>IF(D39="","",LN(D39))</f>
        <v/>
      </c>
      <c r="Q39" s="658" t="str">
        <f>W35</f>
        <v/>
      </c>
      <c r="R39" s="659" t="str">
        <f>IF(W35="","",EXP(TREND(U39:U40,T35:T36,Q39)))</f>
        <v/>
      </c>
      <c r="T39" s="652" t="str">
        <f>IF(OR(R35="",R36=""),"",IF(Q35=T35,R35,IF(Q36=T35,R36,IF(Q37=T35,R37,IF(Q38=T35,R38)))))</f>
        <v/>
      </c>
      <c r="U39" s="660" t="str">
        <f>IF(T39="","",LN(T39))</f>
        <v/>
      </c>
    </row>
    <row r="40" spans="1:23">
      <c r="D40" s="651" t="str">
        <f>IF(OR(B35="",B36=""),"",IF(A35=D36,B35,IF(A36=D36,B36,IF(A37=D36,B37,IF(A38=D36,B38)))))</f>
        <v/>
      </c>
      <c r="E40" s="661" t="str">
        <f>IF(D40="","",LN(D40))</f>
        <v/>
      </c>
      <c r="T40" s="651" t="str">
        <f>IF(OR(R35="",R36=""),"",IF(Q35=T36,R35,IF(Q36=T36,R36,IF(Q37=T36,R37,IF(Q38=T36,R38)))))</f>
        <v/>
      </c>
      <c r="U40" s="661"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zoomScale="75" zoomScaleNormal="75" workbookViewId="0">
      <selection activeCell="B13" sqref="B13"/>
    </sheetView>
  </sheetViews>
  <sheetFormatPr defaultRowHeight="14.25"/>
  <cols>
    <col min="1" max="1025" width="8.25" style="97" customWidth="1"/>
  </cols>
  <sheetData>
    <row r="1" spans="1:3">
      <c r="A1" s="662" t="s">
        <v>671</v>
      </c>
    </row>
    <row r="2" spans="1:3">
      <c r="B2" s="97" t="s">
        <v>672</v>
      </c>
    </row>
    <row r="3" spans="1:3">
      <c r="B3" s="97" t="s">
        <v>673</v>
      </c>
    </row>
    <row r="4" spans="1:3">
      <c r="B4" s="97" t="s">
        <v>674</v>
      </c>
    </row>
    <row r="5" spans="1:3">
      <c r="B5" s="97" t="s">
        <v>675</v>
      </c>
    </row>
    <row r="6" spans="1:3">
      <c r="B6" s="97" t="s">
        <v>676</v>
      </c>
    </row>
    <row r="8" spans="1:3">
      <c r="A8" s="662" t="s">
        <v>677</v>
      </c>
    </row>
    <row r="9" spans="1:3">
      <c r="A9" s="662"/>
      <c r="B9" s="97" t="s">
        <v>647</v>
      </c>
    </row>
    <row r="10" spans="1:3">
      <c r="A10" s="662"/>
      <c r="B10" s="97" t="s">
        <v>648</v>
      </c>
    </row>
    <row r="11" spans="1:3">
      <c r="B11" s="617" t="s">
        <v>678</v>
      </c>
      <c r="C11" s="617" t="s">
        <v>679</v>
      </c>
    </row>
    <row r="12" spans="1:3">
      <c r="B12" s="663">
        <v>29</v>
      </c>
      <c r="C12" s="664">
        <f>IF(B12&lt;A22,B12+B22+B12*C22+B12^2*D22+B12^3*E22+B12^4*F22+B12^5*G22+B12^6*H22,B12+B23+B12*C23+B12^2*D23+B12^3*E23+B12^4*F23+B12^5*G23+B12^6*H23)</f>
        <v>30.282068178701138</v>
      </c>
    </row>
    <row r="14" spans="1:3">
      <c r="A14" s="662" t="s">
        <v>680</v>
      </c>
    </row>
    <row r="15" spans="1:3">
      <c r="A15" s="662"/>
      <c r="B15" s="97" t="s">
        <v>649</v>
      </c>
    </row>
    <row r="16" spans="1:3">
      <c r="A16" s="662"/>
      <c r="B16" s="97" t="s">
        <v>650</v>
      </c>
    </row>
    <row r="17" spans="1:8">
      <c r="B17" s="617" t="s">
        <v>678</v>
      </c>
      <c r="C17" s="617" t="s">
        <v>679</v>
      </c>
    </row>
    <row r="18" spans="1:8">
      <c r="B18" s="663">
        <v>37.1</v>
      </c>
      <c r="C18" s="664">
        <f>IF(B18&gt;37.1,40,IF(B18&lt;A28,B18+B28+B18*C28+B18^2*D28+B18^3*E28+B18^4*F28+B18^5*G28+B18^6*H28,B18+B29+B18*C29+B18^2*D29+B18^3*E29+B18^4*F29+B18^5*G29+B18^6*H29))</f>
        <v>38.967510688751645</v>
      </c>
    </row>
    <row r="22" spans="1:8">
      <c r="A22" s="97">
        <v>27.585999999999999</v>
      </c>
      <c r="B22" s="97">
        <v>-8375.0727645925508</v>
      </c>
      <c r="C22" s="97">
        <v>975.92543560432796</v>
      </c>
      <c r="D22" s="97">
        <v>-37.913729682039403</v>
      </c>
      <c r="E22" s="97">
        <v>0.49086583472609402</v>
      </c>
      <c r="F22" s="97">
        <v>0</v>
      </c>
      <c r="G22" s="97">
        <v>0</v>
      </c>
      <c r="H22" s="97">
        <v>0</v>
      </c>
    </row>
    <row r="23" spans="1:8">
      <c r="B23" s="97">
        <v>-9984.6167916494396</v>
      </c>
      <c r="C23" s="97">
        <v>1436.52454571413</v>
      </c>
      <c r="D23" s="97">
        <v>-82.505102185254898</v>
      </c>
      <c r="E23" s="97">
        <v>2.36559081763837</v>
      </c>
      <c r="F23" s="97">
        <v>-3.38672433779705E-2</v>
      </c>
      <c r="G23" s="97">
        <v>1.93686920423126E-4</v>
      </c>
      <c r="H23" s="97">
        <v>0</v>
      </c>
    </row>
    <row r="28" spans="1:8">
      <c r="A28" s="97">
        <v>30.1</v>
      </c>
      <c r="B28" s="97">
        <v>-540847.69550077303</v>
      </c>
      <c r="C28" s="97">
        <v>100186.23364273099</v>
      </c>
      <c r="D28" s="97">
        <v>-7418.4790179812599</v>
      </c>
      <c r="E28" s="97">
        <v>274.47660929577501</v>
      </c>
      <c r="F28" s="97">
        <v>-5.07436954359087</v>
      </c>
      <c r="G28" s="97">
        <v>3.7500574787580898E-2</v>
      </c>
      <c r="H28" s="97">
        <v>0</v>
      </c>
    </row>
    <row r="29" spans="1:8">
      <c r="B29" s="97">
        <v>-11057.773936199201</v>
      </c>
      <c r="C29" s="97">
        <v>1297.2285673766901</v>
      </c>
      <c r="D29" s="97">
        <v>-56.989188989725697</v>
      </c>
      <c r="E29" s="97">
        <v>1.1115828564217201</v>
      </c>
      <c r="F29" s="97">
        <v>-8.1233997365129599E-3</v>
      </c>
      <c r="G29" s="97">
        <v>0</v>
      </c>
      <c r="H29" s="97">
        <v>0</v>
      </c>
    </row>
  </sheetData>
  <conditionalFormatting sqref="C12">
    <cfRule type="cellIs" dxfId="11" priority="2" operator="lessThan">
      <formula>21.8</formula>
    </cfRule>
    <cfRule type="cellIs" dxfId="10" priority="3" operator="between">
      <formula>24</formula>
      <formula>27</formula>
    </cfRule>
    <cfRule type="cellIs" dxfId="9" priority="4" operator="greaterThanOrEqual">
      <formula>40</formula>
    </cfRule>
  </conditionalFormatting>
  <conditionalFormatting sqref="C18">
    <cfRule type="cellIs" dxfId="8" priority="5" operator="lessThan">
      <formula>21.8</formula>
    </cfRule>
    <cfRule type="cellIs" dxfId="7" priority="6" operator="between">
      <formula>25.35</formula>
      <formula>31.55</formula>
    </cfRule>
    <cfRule type="cellIs" dxfId="6" priority="7" operator="greaterThanOrEqual">
      <formula>40</formula>
    </cfRule>
  </conditionalFormatting>
  <conditionalFormatting sqref="C12">
    <cfRule type="cellIs" dxfId="5" priority="8" operator="lessThan">
      <formula>21.8</formula>
    </cfRule>
    <cfRule type="cellIs" dxfId="4" priority="9" operator="between">
      <formula>24</formula>
      <formula>27</formula>
    </cfRule>
    <cfRule type="cellIs" dxfId="3" priority="10" operator="greaterThanOrEqual">
      <formula>40</formula>
    </cfRule>
  </conditionalFormatting>
  <conditionalFormatting sqref="C18">
    <cfRule type="cellIs" dxfId="2" priority="11" operator="lessThan">
      <formula>21.8</formula>
    </cfRule>
    <cfRule type="cellIs" dxfId="1" priority="12" operator="between">
      <formula>25.35</formula>
      <formula>31.55</formula>
    </cfRule>
    <cfRule type="cellIs" dxfId="0" priority="13"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5338</TotalTime>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QC Test Summary-Lorad</vt:lpstr>
      <vt:lpstr>QC Test Summary-Tomo</vt:lpstr>
      <vt:lpstr>Tech QC Eval-Tomo</vt:lpstr>
      <vt:lpstr>MQSA Requirements</vt:lpstr>
      <vt:lpstr>Sheet1</vt:lpstr>
      <vt:lpstr>DataPage</vt:lpstr>
      <vt:lpstr>Tables</vt:lpstr>
      <vt:lpstr>HVLProcessing</vt:lpstr>
      <vt:lpstr>Corrected kV</vt:lpstr>
      <vt:lpstr>dropdowns</vt:lpstr>
      <vt:lpstr>ESE</vt:lpstr>
      <vt:lpstr>FiberList</vt:lpstr>
      <vt:lpstr>MGD</vt:lpstr>
      <vt:lpstr>NA</vt:lpstr>
      <vt:lpstr>PF</vt:lpstr>
      <vt:lpstr>Sheet1!Print_Area</vt:lpstr>
      <vt:lpstr>SpeckMassList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572</cp:revision>
  <dcterms:created xsi:type="dcterms:W3CDTF">2014-08-25T14:38:09Z</dcterms:created>
  <dcterms:modified xsi:type="dcterms:W3CDTF">2017-10-18T14:43:32Z</dcterms:modified>
  <dc:language>en-US</dc:language>
</cp:coreProperties>
</file>