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C5E48F22-A725-4B92-8D56-6BE9EF23B267}" xr6:coauthVersionLast="45" xr6:coauthVersionMax="45" xr10:uidLastSave="{00000000-0000-0000-0000-000000000000}"/>
  <bookViews>
    <workbookView xWindow="-120" yWindow="-120" windowWidth="20730" windowHeight="11760" activeTab="3"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pg1">Sheet1!$B$433:$M$504</definedName>
    <definedName name="ESE">Sheet1!$X$263</definedName>
    <definedName name="ExpLinHVL">Sheet1!$B$361:$M$432</definedName>
    <definedName name="FiberLst">dropdowns!$A$11:$A$22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S423" i="4"/>
  <c r="R423" i="4"/>
  <c r="Q423" i="4"/>
  <c r="U374" i="4"/>
  <c r="T374" i="4"/>
  <c r="S374" i="4"/>
  <c r="Q253" i="4"/>
  <c r="X218" i="4"/>
  <c r="X219" i="4"/>
  <c r="R141" i="4"/>
  <c r="Q460" i="4"/>
  <c r="Q459" i="4"/>
  <c r="S247" i="4"/>
  <c r="R247" i="4"/>
  <c r="S246" i="4"/>
  <c r="F251" i="4" s="1"/>
  <c r="R246" i="4"/>
  <c r="E251" i="4" s="1"/>
  <c r="Q247" i="4"/>
  <c r="Q246" i="4"/>
  <c r="D251" i="4" s="1"/>
  <c r="S245" i="4"/>
  <c r="R245" i="4"/>
  <c r="E250" i="4" s="1"/>
  <c r="Q245"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F302" i="4" s="1"/>
  <c r="S376" i="4"/>
  <c r="S375" i="4"/>
  <c r="S373" i="4"/>
  <c r="S372" i="4"/>
  <c r="S371" i="4"/>
  <c r="E7" i="3" l="1"/>
  <c r="B3" i="3"/>
  <c r="Q454" i="4" l="1"/>
  <c r="H398" i="4" s="1"/>
  <c r="N22" i="1" l="1"/>
  <c r="L48" i="1"/>
  <c r="J48" i="1"/>
  <c r="H48" i="1"/>
  <c r="L25" i="1"/>
  <c r="J25" i="1"/>
  <c r="H25" i="1"/>
  <c r="V21" i="4" l="1"/>
  <c r="Q461" i="4" s="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O415" i="4" s="1"/>
  <c r="I367" i="4" s="1"/>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T377" i="4"/>
  <c r="G302" i="4" s="1"/>
  <c r="X377" i="4"/>
  <c r="K302" i="4" s="1"/>
  <c r="R377" i="4"/>
  <c r="E302" i="4" s="1"/>
  <c r="Q377" i="4"/>
  <c r="D302" i="4" s="1"/>
  <c r="U376" i="4"/>
  <c r="T376" i="4"/>
  <c r="R376" i="4"/>
  <c r="Q376" i="4"/>
  <c r="U375" i="4"/>
  <c r="T375" i="4"/>
  <c r="R375" i="4"/>
  <c r="Q375" i="4"/>
  <c r="U373" i="4"/>
  <c r="T373" i="4"/>
  <c r="R373" i="4"/>
  <c r="Q373" i="4"/>
  <c r="R372" i="4"/>
  <c r="U372" i="4"/>
  <c r="T372" i="4"/>
  <c r="Q372" i="4"/>
  <c r="U371" i="4"/>
  <c r="W371" i="4" s="1"/>
  <c r="T371" i="4"/>
  <c r="S402" i="4"/>
  <c r="T402" i="4"/>
  <c r="V377" i="4" l="1"/>
  <c r="H302" i="4"/>
  <c r="T396" i="4"/>
  <c r="M138" i="4"/>
  <c r="L138" i="4"/>
  <c r="W377" i="4"/>
  <c r="J302" i="4" s="1"/>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O416" i="4" s="1"/>
  <c r="I368" i="4" s="1"/>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Q462" i="4" s="1"/>
  <c r="E385" i="4" s="1"/>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E4" i="3" l="1"/>
  <c r="D88" i="6"/>
  <c r="H237" i="4"/>
  <c r="AD55" i="4"/>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L302" i="4" s="1"/>
  <c r="B63" i="6"/>
  <c r="X373" i="4"/>
  <c r="K298" i="4" s="1"/>
  <c r="B65" i="6"/>
  <c r="X374" i="4"/>
  <c r="K299" i="4" s="1"/>
  <c r="B66" i="6"/>
  <c r="X378" i="4"/>
  <c r="K303" i="4" s="1"/>
  <c r="L307"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L312"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T463" i="4" l="1"/>
  <c r="T464" i="4"/>
  <c r="X221" i="4"/>
  <c r="J237" i="4"/>
  <c r="C303" i="4"/>
  <c r="D76" i="6"/>
  <c r="C83" i="6" s="1"/>
  <c r="R418" i="4"/>
  <c r="E374" i="4" s="1"/>
  <c r="J252" i="4"/>
  <c r="S254" i="4"/>
  <c r="S255" i="4" s="1"/>
  <c r="I252" i="4"/>
  <c r="R254" i="4"/>
  <c r="R255" i="4" s="1"/>
  <c r="H252" i="4"/>
  <c r="Q255" i="4"/>
  <c r="P384" i="4"/>
  <c r="V392" i="4"/>
  <c r="Q392" i="4"/>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S418" i="4"/>
  <c r="F374" i="4" s="1"/>
  <c r="Q418" i="4"/>
  <c r="D374" i="4" s="1"/>
  <c r="C308" i="4"/>
  <c r="G63" i="6"/>
  <c r="D70" i="6" s="1"/>
  <c r="C296" i="4"/>
  <c r="A63" i="6"/>
  <c r="B70" i="6" s="1"/>
  <c r="U410" i="4"/>
  <c r="G368" i="4" s="1"/>
  <c r="H350" i="4"/>
  <c r="H353" i="4" s="1"/>
  <c r="T410" i="4"/>
  <c r="G350" i="4"/>
  <c r="F260" i="4"/>
  <c r="F259" i="4"/>
  <c r="X238" i="4"/>
  <c r="K243" i="4" s="1"/>
  <c r="K242" i="4"/>
  <c r="E260" i="4"/>
  <c r="E259" i="4"/>
  <c r="D260" i="4"/>
  <c r="D259" i="4"/>
  <c r="V238" i="4"/>
  <c r="J243" i="4" s="1"/>
  <c r="V237" i="4"/>
  <c r="J242" i="4" s="1"/>
  <c r="Y237" i="4"/>
  <c r="L242" i="4" s="1"/>
  <c r="G352" i="4"/>
  <c r="AD88" i="4"/>
  <c r="AD89" i="4"/>
  <c r="U265" i="4" l="1"/>
  <c r="H270" i="4" s="1"/>
  <c r="U264" i="4"/>
  <c r="U266" i="4"/>
  <c r="U263" i="4"/>
  <c r="H271" i="4"/>
  <c r="H268" i="4"/>
  <c r="X262" i="4"/>
  <c r="K383" i="4"/>
  <c r="X463" i="4"/>
  <c r="L383" i="4" s="1"/>
  <c r="K384" i="4"/>
  <c r="X464" i="4"/>
  <c r="L384" i="4" s="1"/>
  <c r="X281" i="4"/>
  <c r="H269"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K268" i="4" l="1"/>
  <c r="X265" i="4" l="1"/>
  <c r="L33" i="1" s="1"/>
  <c r="X295" i="4"/>
  <c r="X284" i="4"/>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<sst xmlns="http://schemas.openxmlformats.org/spreadsheetml/2006/main" count="1840" uniqueCount="784">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</sst>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9" Type="http://schemas.openxmlformats.org/officeDocument/2006/relationships/ctrlProp" Target="../ctrlProps/ctrlProp43.xml"/><Relationship Id="rId21" Type="http://schemas.openxmlformats.org/officeDocument/2006/relationships/ctrlProp" Target="../ctrlProps/ctrlProp25.xml"/><Relationship Id="rId34" Type="http://schemas.openxmlformats.org/officeDocument/2006/relationships/ctrlProp" Target="../ctrlProps/ctrlProp38.xml"/><Relationship Id="rId42" Type="http://schemas.openxmlformats.org/officeDocument/2006/relationships/ctrlProp" Target="../ctrlProps/ctrlProp46.xml"/><Relationship Id="rId47" Type="http://schemas.openxmlformats.org/officeDocument/2006/relationships/ctrlProp" Target="../ctrlProps/ctrlProp51.xml"/><Relationship Id="rId50" Type="http://schemas.openxmlformats.org/officeDocument/2006/relationships/ctrlProp" Target="../ctrlProps/ctrlProp54.xml"/><Relationship Id="rId55" Type="http://schemas.openxmlformats.org/officeDocument/2006/relationships/ctrlProp" Target="../ctrlProps/ctrlProp59.xml"/><Relationship Id="rId63" Type="http://schemas.openxmlformats.org/officeDocument/2006/relationships/ctrlProp" Target="../ctrlProps/ctrlProp67.xml"/><Relationship Id="rId68" Type="http://schemas.openxmlformats.org/officeDocument/2006/relationships/ctrlProp" Target="../ctrlProps/ctrlProp72.xml"/><Relationship Id="rId76" Type="http://schemas.openxmlformats.org/officeDocument/2006/relationships/ctrlProp" Target="../ctrlProps/ctrlProp80.xml"/><Relationship Id="rId84" Type="http://schemas.openxmlformats.org/officeDocument/2006/relationships/ctrlProp" Target="../ctrlProps/ctrlProp88.xml"/><Relationship Id="rId89" Type="http://schemas.openxmlformats.org/officeDocument/2006/relationships/ctrlProp" Target="../ctrlProps/ctrlProp93.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16" Type="http://schemas.openxmlformats.org/officeDocument/2006/relationships/ctrlProp" Target="../ctrlProps/ctrlProp20.xml"/><Relationship Id="rId29" Type="http://schemas.openxmlformats.org/officeDocument/2006/relationships/ctrlProp" Target="../ctrlProps/ctrlProp33.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37" Type="http://schemas.openxmlformats.org/officeDocument/2006/relationships/ctrlProp" Target="../ctrlProps/ctrlProp41.xml"/><Relationship Id="rId40" Type="http://schemas.openxmlformats.org/officeDocument/2006/relationships/ctrlProp" Target="../ctrlProps/ctrlProp44.xml"/><Relationship Id="rId45" Type="http://schemas.openxmlformats.org/officeDocument/2006/relationships/ctrlProp" Target="../ctrlProps/ctrlProp49.xml"/><Relationship Id="rId53" Type="http://schemas.openxmlformats.org/officeDocument/2006/relationships/ctrlProp" Target="../ctrlProps/ctrlProp57.xml"/><Relationship Id="rId58" Type="http://schemas.openxmlformats.org/officeDocument/2006/relationships/ctrlProp" Target="../ctrlProps/ctrlProp62.xml"/><Relationship Id="rId66" Type="http://schemas.openxmlformats.org/officeDocument/2006/relationships/ctrlProp" Target="../ctrlProps/ctrlProp70.xml"/><Relationship Id="rId74" Type="http://schemas.openxmlformats.org/officeDocument/2006/relationships/ctrlProp" Target="../ctrlProps/ctrlProp78.xml"/><Relationship Id="rId79" Type="http://schemas.openxmlformats.org/officeDocument/2006/relationships/ctrlProp" Target="../ctrlProps/ctrlProp83.xml"/><Relationship Id="rId87" Type="http://schemas.openxmlformats.org/officeDocument/2006/relationships/ctrlProp" Target="../ctrlProps/ctrlProp91.xml"/><Relationship Id="rId5" Type="http://schemas.openxmlformats.org/officeDocument/2006/relationships/ctrlProp" Target="../ctrlProps/ctrlProp9.xml"/><Relationship Id="rId61" Type="http://schemas.openxmlformats.org/officeDocument/2006/relationships/ctrlProp" Target="../ctrlProps/ctrlProp65.xml"/><Relationship Id="rId82" Type="http://schemas.openxmlformats.org/officeDocument/2006/relationships/ctrlProp" Target="../ctrlProps/ctrlProp86.xml"/><Relationship Id="rId90" Type="http://schemas.openxmlformats.org/officeDocument/2006/relationships/ctrlProp" Target="../ctrlProps/ctrlProp94.xml"/><Relationship Id="rId19" Type="http://schemas.openxmlformats.org/officeDocument/2006/relationships/ctrlProp" Target="../ctrlProps/ctrlProp2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trlProp" Target="../ctrlProps/ctrlProp39.xml"/><Relationship Id="rId43" Type="http://schemas.openxmlformats.org/officeDocument/2006/relationships/ctrlProp" Target="../ctrlProps/ctrlProp47.xml"/><Relationship Id="rId48" Type="http://schemas.openxmlformats.org/officeDocument/2006/relationships/ctrlProp" Target="../ctrlProps/ctrlProp52.xml"/><Relationship Id="rId56" Type="http://schemas.openxmlformats.org/officeDocument/2006/relationships/ctrlProp" Target="../ctrlProps/ctrlProp60.xml"/><Relationship Id="rId64" Type="http://schemas.openxmlformats.org/officeDocument/2006/relationships/ctrlProp" Target="../ctrlProps/ctrlProp68.xml"/><Relationship Id="rId69" Type="http://schemas.openxmlformats.org/officeDocument/2006/relationships/ctrlProp" Target="../ctrlProps/ctrlProp73.xml"/><Relationship Id="rId77" Type="http://schemas.openxmlformats.org/officeDocument/2006/relationships/ctrlProp" Target="../ctrlProps/ctrlProp81.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7" sqref="L7:N7"/>
    </sheetView>
  </sheetViews>
  <sheetFormatPr defaultColWidth="9" defaultRowHeight="12.75"/>
  <cols>
    <col min="1" max="1" width="5" style="489" customWidth="1"/>
    <col min="2" max="2" width="5.375" style="489" customWidth="1"/>
    <col min="3" max="3" width="5.875" style="489" customWidth="1"/>
    <col min="4" max="4" width="7.375" style="489" customWidth="1"/>
    <col min="5" max="5" width="5.875" style="489" customWidth="1"/>
    <col min="6" max="7" width="7.375" style="489" customWidth="1"/>
    <col min="8" max="10" width="7.625" style="489" customWidth="1"/>
    <col min="11" max="12" width="8.375" style="489" customWidth="1"/>
    <col min="13" max="13" width="6.625" style="489" customWidth="1"/>
    <col min="14" max="14" width="15.125" style="489" customWidth="1"/>
    <col min="15" max="16384" width="9" style="489"/>
  </cols>
  <sheetData>
    <row r="1" spans="1:14" ht="26.25">
      <c r="A1" s="874" t="s">
        <v>367</v>
      </c>
      <c r="B1" s="874"/>
      <c r="C1" s="874"/>
      <c r="D1" s="874"/>
      <c r="E1" s="874"/>
      <c r="F1" s="874"/>
      <c r="G1" s="874"/>
      <c r="H1" s="874"/>
      <c r="I1" s="874"/>
      <c r="J1" s="874"/>
      <c r="K1" s="874"/>
      <c r="L1" s="874"/>
      <c r="M1" s="874"/>
      <c r="N1" s="874"/>
    </row>
    <row r="2" spans="1:14" ht="26.25">
      <c r="A2" s="874" t="s">
        <v>368</v>
      </c>
      <c r="B2" s="874"/>
      <c r="C2" s="874"/>
      <c r="D2" s="874"/>
      <c r="E2" s="874"/>
      <c r="F2" s="874"/>
      <c r="G2" s="874"/>
      <c r="H2" s="874"/>
      <c r="I2" s="874"/>
      <c r="J2" s="874"/>
      <c r="K2" s="874"/>
      <c r="L2" s="874"/>
      <c r="M2" s="874"/>
      <c r="N2" s="874"/>
    </row>
    <row r="3" spans="1:14" ht="16.5" customHeight="1">
      <c r="A3" s="797"/>
      <c r="B3" s="797"/>
      <c r="C3" s="797"/>
      <c r="D3" s="797"/>
      <c r="E3" s="797"/>
      <c r="F3" s="797"/>
      <c r="G3" s="797"/>
      <c r="H3" s="797"/>
      <c r="I3" s="797"/>
      <c r="J3" s="797"/>
      <c r="K3" s="797"/>
      <c r="L3" s="797"/>
      <c r="M3" s="797"/>
      <c r="N3" s="797"/>
    </row>
    <row r="4" spans="1:14" ht="16.5" customHeight="1">
      <c r="A4" s="798" t="s">
        <v>369</v>
      </c>
      <c r="B4" s="798"/>
      <c r="C4" s="875"/>
      <c r="D4" s="876"/>
      <c r="E4" s="876"/>
      <c r="F4" s="876"/>
      <c r="G4" s="876"/>
      <c r="H4" s="877"/>
      <c r="J4" s="799"/>
      <c r="K4" s="800" t="s">
        <v>370</v>
      </c>
      <c r="L4" s="878"/>
      <c r="M4" s="879"/>
      <c r="N4" s="880"/>
    </row>
    <row r="5" spans="1:14" ht="16.5" customHeight="1">
      <c r="A5" s="798" t="s">
        <v>371</v>
      </c>
      <c r="B5" s="798"/>
      <c r="C5" s="875"/>
      <c r="D5" s="876"/>
      <c r="E5" s="876"/>
      <c r="F5" s="876"/>
      <c r="G5" s="876"/>
      <c r="H5" s="877"/>
      <c r="J5" s="799"/>
      <c r="K5" s="800" t="s">
        <v>372</v>
      </c>
      <c r="L5" s="878">
        <f>Sheet1!P7</f>
        <v>0</v>
      </c>
      <c r="M5" s="879"/>
      <c r="N5" s="880"/>
    </row>
    <row r="6" spans="1:14" ht="16.5" customHeight="1">
      <c r="A6" s="798" t="s">
        <v>373</v>
      </c>
      <c r="B6" s="798"/>
      <c r="C6" s="798"/>
      <c r="D6" s="798"/>
      <c r="E6" s="886" t="s">
        <v>10</v>
      </c>
      <c r="F6" s="886"/>
      <c r="G6" s="886"/>
      <c r="H6" s="886"/>
      <c r="J6" s="799"/>
      <c r="K6" s="800" t="s">
        <v>374</v>
      </c>
      <c r="L6" s="875"/>
      <c r="M6" s="876"/>
      <c r="N6" s="877"/>
    </row>
    <row r="7" spans="1:14" ht="16.5" customHeight="1">
      <c r="A7" s="798" t="s">
        <v>375</v>
      </c>
      <c r="B7" s="798"/>
      <c r="C7" s="798"/>
      <c r="D7" s="798"/>
      <c r="E7" s="875" t="s">
        <v>376</v>
      </c>
      <c r="F7" s="876"/>
      <c r="G7" s="876"/>
      <c r="H7" s="877"/>
      <c r="J7" s="799"/>
      <c r="K7" s="800" t="s">
        <v>377</v>
      </c>
      <c r="L7" s="875" t="s">
        <v>762</v>
      </c>
      <c r="M7" s="876"/>
      <c r="N7" s="877"/>
    </row>
    <row r="8" spans="1:14" ht="16.5" customHeight="1">
      <c r="A8" s="798" t="s">
        <v>378</v>
      </c>
      <c r="B8" s="798"/>
      <c r="C8" s="798"/>
      <c r="D8" s="798"/>
      <c r="E8" s="887" t="str">
        <f>Sheet1!K12</f>
        <v/>
      </c>
      <c r="F8" s="888"/>
      <c r="G8" s="888"/>
      <c r="H8" s="889"/>
      <c r="J8" s="799"/>
      <c r="K8" s="800" t="s">
        <v>379</v>
      </c>
      <c r="L8" s="875" t="str">
        <f>Sheet1!R14</f>
        <v/>
      </c>
      <c r="M8" s="876"/>
      <c r="N8" s="877"/>
    </row>
    <row r="9" spans="1:14" ht="11.25" customHeight="1">
      <c r="A9" s="798"/>
      <c r="B9" s="798"/>
      <c r="C9" s="798"/>
      <c r="D9" s="798"/>
      <c r="E9" s="801"/>
      <c r="F9" s="802"/>
      <c r="G9" s="802"/>
      <c r="H9" s="802"/>
      <c r="J9" s="799"/>
      <c r="K9" s="800"/>
      <c r="L9" s="802"/>
      <c r="M9" s="802"/>
      <c r="N9" s="802"/>
    </row>
    <row r="10" spans="1:14" ht="16.5" customHeight="1">
      <c r="A10" s="803" t="s">
        <v>534</v>
      </c>
      <c r="E10" s="890" t="s">
        <v>763</v>
      </c>
      <c r="F10" s="891"/>
      <c r="G10" s="891"/>
      <c r="H10" s="892"/>
      <c r="I10" s="804" t="s">
        <v>533</v>
      </c>
    </row>
    <row r="11" spans="1:14" ht="11.25" customHeight="1">
      <c r="C11" s="798"/>
      <c r="D11" s="798"/>
      <c r="E11" s="798"/>
      <c r="F11" s="798"/>
      <c r="G11" s="798"/>
      <c r="H11" s="799"/>
      <c r="I11" s="799"/>
      <c r="K11" s="805"/>
      <c r="L11" s="805"/>
      <c r="M11" s="805"/>
      <c r="N11" s="805"/>
    </row>
    <row r="12" spans="1:14" ht="16.5" customHeight="1" thickBot="1">
      <c r="A12" s="798" t="s">
        <v>381</v>
      </c>
      <c r="B12" s="798"/>
      <c r="C12" s="798"/>
      <c r="D12" s="798"/>
      <c r="E12" s="893" t="s">
        <v>382</v>
      </c>
      <c r="F12" s="894"/>
      <c r="G12" s="893" t="s">
        <v>377</v>
      </c>
      <c r="H12" s="894"/>
      <c r="I12" s="893" t="s">
        <v>14</v>
      </c>
      <c r="J12" s="894"/>
      <c r="K12" s="893" t="s">
        <v>380</v>
      </c>
      <c r="L12" s="895"/>
      <c r="M12" s="895"/>
      <c r="N12" s="894"/>
    </row>
    <row r="13" spans="1:14" ht="16.5" customHeight="1" thickTop="1">
      <c r="A13" s="798"/>
      <c r="B13" s="798"/>
      <c r="C13" s="798"/>
      <c r="D13" s="806" t="s">
        <v>383</v>
      </c>
      <c r="E13" s="881" t="s">
        <v>749</v>
      </c>
      <c r="F13" s="882"/>
      <c r="G13" s="881" t="s">
        <v>750</v>
      </c>
      <c r="H13" s="882"/>
      <c r="I13" s="883"/>
      <c r="J13" s="884"/>
      <c r="K13" s="881" t="s">
        <v>751</v>
      </c>
      <c r="L13" s="885"/>
      <c r="M13" s="885"/>
      <c r="N13" s="882"/>
    </row>
    <row r="14" spans="1:14" ht="16.5" customHeight="1">
      <c r="D14" s="806" t="s">
        <v>384</v>
      </c>
      <c r="E14" s="898"/>
      <c r="F14" s="899"/>
      <c r="G14" s="898"/>
      <c r="H14" s="899"/>
      <c r="I14" s="900"/>
      <c r="J14" s="901"/>
      <c r="K14" s="898"/>
      <c r="L14" s="902"/>
      <c r="M14" s="902"/>
      <c r="N14" s="899"/>
    </row>
    <row r="15" spans="1:14" ht="36" customHeight="1">
      <c r="A15" s="903" t="s">
        <v>710</v>
      </c>
      <c r="B15" s="903"/>
      <c r="C15" s="903"/>
      <c r="D15" s="903"/>
      <c r="E15" s="903"/>
      <c r="F15" s="903"/>
      <c r="G15" s="903"/>
      <c r="H15" s="903"/>
      <c r="I15" s="903"/>
      <c r="J15" s="903"/>
      <c r="K15" s="903"/>
      <c r="L15" s="903"/>
      <c r="M15" s="903"/>
      <c r="N15" s="903"/>
    </row>
    <row r="16" spans="1:14" ht="16.5" customHeight="1">
      <c r="A16" s="803" t="s">
        <v>385</v>
      </c>
      <c r="B16" s="803"/>
      <c r="C16" s="807"/>
      <c r="D16" s="808" t="s">
        <v>711</v>
      </c>
      <c r="E16" s="808"/>
      <c r="F16" s="808"/>
      <c r="G16" s="809"/>
      <c r="H16" s="810"/>
      <c r="I16" s="811"/>
      <c r="J16" s="809"/>
      <c r="K16" s="808"/>
      <c r="L16" s="808"/>
      <c r="N16" s="806" t="s">
        <v>386</v>
      </c>
    </row>
    <row r="17" spans="1:15" s="819" customFormat="1" ht="15.75" customHeight="1">
      <c r="A17" s="812" t="s">
        <v>712</v>
      </c>
      <c r="B17" s="813"/>
      <c r="C17" s="814"/>
      <c r="D17" s="815" t="s">
        <v>603</v>
      </c>
      <c r="E17" s="814"/>
      <c r="F17" s="815" t="s">
        <v>713</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904" t="s">
        <v>387</v>
      </c>
      <c r="B19" s="904"/>
      <c r="C19" s="904"/>
      <c r="D19" s="904"/>
      <c r="E19" s="904"/>
      <c r="F19" s="904"/>
      <c r="G19" s="904"/>
      <c r="H19" s="904"/>
      <c r="I19" s="904"/>
      <c r="J19" s="904"/>
      <c r="K19" s="904"/>
      <c r="L19" s="904"/>
      <c r="M19" s="904"/>
      <c r="N19" s="904"/>
    </row>
    <row r="20" spans="1:15" ht="15" customHeight="1">
      <c r="A20" s="896" t="s">
        <v>532</v>
      </c>
      <c r="B20" s="896"/>
      <c r="C20" s="896"/>
      <c r="D20" s="896"/>
      <c r="E20" s="896"/>
      <c r="F20" s="896"/>
      <c r="G20" s="896"/>
      <c r="H20" s="896"/>
      <c r="I20" s="896"/>
      <c r="J20" s="896"/>
      <c r="K20" s="896"/>
      <c r="L20" s="896"/>
      <c r="M20" s="896"/>
      <c r="N20" s="896"/>
    </row>
    <row r="21" spans="1:15" ht="15" customHeight="1">
      <c r="A21" s="798"/>
      <c r="B21" s="798"/>
      <c r="C21" s="798"/>
      <c r="D21" s="798"/>
      <c r="E21" s="798"/>
      <c r="F21" s="798"/>
      <c r="G21" s="798"/>
      <c r="H21" s="798"/>
      <c r="I21" s="798"/>
      <c r="J21" s="798"/>
      <c r="K21" s="798"/>
      <c r="L21" s="798"/>
      <c r="M21" s="798"/>
      <c r="N21" s="824" t="s">
        <v>388</v>
      </c>
    </row>
    <row r="22" spans="1:15" ht="15.75" customHeight="1">
      <c r="A22" s="825" t="s">
        <v>714</v>
      </c>
      <c r="B22" s="825"/>
      <c r="C22" s="825"/>
      <c r="D22" s="825"/>
      <c r="E22" s="825"/>
      <c r="F22" s="825"/>
      <c r="G22" s="825"/>
      <c r="H22" s="825"/>
      <c r="I22" s="825"/>
      <c r="J22" s="825"/>
      <c r="K22" s="825"/>
      <c r="L22" s="825"/>
      <c r="M22" s="825"/>
      <c r="N22" s="826" t="str">
        <f>Sheet1!Q454</f>
        <v/>
      </c>
    </row>
    <row r="23" spans="1:15" ht="15.75" customHeight="1">
      <c r="A23" s="825"/>
      <c r="B23" s="825"/>
      <c r="C23" s="827" t="s">
        <v>530</v>
      </c>
      <c r="D23" s="825"/>
      <c r="E23" s="825"/>
      <c r="F23" s="825"/>
      <c r="G23" s="825"/>
      <c r="H23" s="825"/>
      <c r="I23" s="825"/>
      <c r="J23" s="825"/>
      <c r="K23" s="825"/>
      <c r="L23" s="825"/>
      <c r="M23" s="825"/>
    </row>
    <row r="24" spans="1:15" ht="15.75" customHeight="1">
      <c r="A24" s="825"/>
      <c r="B24" s="825"/>
      <c r="C24" s="828" t="s">
        <v>529</v>
      </c>
      <c r="D24" s="825"/>
      <c r="E24" s="825"/>
      <c r="F24" s="825"/>
      <c r="G24" s="825"/>
      <c r="H24" s="825"/>
      <c r="I24" s="825"/>
      <c r="J24" s="825"/>
      <c r="K24" s="825"/>
      <c r="L24" s="825"/>
      <c r="M24" s="825"/>
    </row>
    <row r="25" spans="1:15" ht="15.75" customHeight="1">
      <c r="A25" s="829"/>
      <c r="B25" s="829"/>
      <c r="C25" s="830" t="s">
        <v>391</v>
      </c>
      <c r="D25" s="827"/>
      <c r="E25" s="827"/>
      <c r="F25" s="831"/>
      <c r="G25" s="831" t="s">
        <v>355</v>
      </c>
      <c r="H25" s="832">
        <f>Sheet1!Q451</f>
        <v>0</v>
      </c>
      <c r="I25" s="831" t="s">
        <v>356</v>
      </c>
      <c r="J25" s="832">
        <f>Sheet1!Q452</f>
        <v>0</v>
      </c>
      <c r="K25" s="831" t="s">
        <v>357</v>
      </c>
      <c r="L25" s="832">
        <f>Sheet1!Q453</f>
        <v>0</v>
      </c>
      <c r="M25" s="833"/>
      <c r="N25" s="829"/>
    </row>
    <row r="26" spans="1:15" ht="15.75" customHeight="1">
      <c r="A26" s="825" t="s">
        <v>715</v>
      </c>
      <c r="B26" s="825"/>
      <c r="C26" s="825"/>
      <c r="D26" s="825"/>
      <c r="E26" s="825"/>
      <c r="F26" s="825"/>
      <c r="G26" s="825"/>
      <c r="H26" s="825"/>
      <c r="I26" s="825"/>
      <c r="J26" s="825"/>
      <c r="K26" s="825"/>
      <c r="L26" s="825"/>
      <c r="M26" s="825"/>
      <c r="N26" s="826"/>
    </row>
    <row r="27" spans="1:15" ht="15.75" customHeight="1">
      <c r="A27" s="825" t="s">
        <v>716</v>
      </c>
      <c r="B27" s="825"/>
      <c r="C27" s="825"/>
      <c r="D27" s="825"/>
      <c r="E27" s="825"/>
      <c r="F27" s="825"/>
      <c r="G27" s="825"/>
      <c r="H27" s="825"/>
      <c r="I27" s="825"/>
      <c r="J27" s="825"/>
      <c r="K27" s="825"/>
      <c r="L27" s="825"/>
      <c r="M27" s="825"/>
      <c r="N27" s="826"/>
    </row>
    <row r="28" spans="1:15" ht="15.75" customHeight="1">
      <c r="A28" s="825" t="s">
        <v>717</v>
      </c>
      <c r="B28" s="825"/>
      <c r="C28" s="825"/>
      <c r="D28" s="825"/>
      <c r="E28" s="825"/>
      <c r="F28" s="831"/>
      <c r="G28" s="834"/>
      <c r="H28" s="835"/>
      <c r="I28" s="834"/>
      <c r="J28" s="825"/>
      <c r="K28" s="825"/>
      <c r="L28" s="825"/>
      <c r="M28" s="825"/>
      <c r="N28" s="826"/>
    </row>
    <row r="29" spans="1:15" ht="15.75" customHeight="1">
      <c r="A29" s="825"/>
      <c r="B29" s="825"/>
      <c r="C29" s="827" t="s">
        <v>389</v>
      </c>
      <c r="D29" s="825"/>
      <c r="E29" s="825"/>
      <c r="F29" s="831" t="s">
        <v>281</v>
      </c>
      <c r="G29" s="836" t="str">
        <f>Sheet1!T463</f>
        <v/>
      </c>
      <c r="H29" s="831" t="s">
        <v>282</v>
      </c>
      <c r="I29" s="836" t="str">
        <f>Sheet1!T464</f>
        <v/>
      </c>
      <c r="J29" s="825"/>
      <c r="K29" s="825"/>
      <c r="L29" s="825"/>
      <c r="M29" s="825"/>
      <c r="N29" s="837"/>
    </row>
    <row r="30" spans="1:15" ht="15.75" customHeight="1">
      <c r="A30" s="825"/>
      <c r="B30" s="825"/>
      <c r="C30" s="827" t="s">
        <v>531</v>
      </c>
      <c r="D30" s="825"/>
      <c r="E30" s="825"/>
      <c r="F30" s="825"/>
      <c r="G30" s="825"/>
      <c r="H30" s="825"/>
      <c r="I30" s="825"/>
      <c r="J30" s="825"/>
      <c r="K30" s="825"/>
      <c r="L30" s="825"/>
      <c r="M30" s="825"/>
      <c r="N30" s="826"/>
    </row>
    <row r="31" spans="1:15" ht="15.75" customHeight="1">
      <c r="A31" s="825"/>
      <c r="B31" s="825"/>
      <c r="C31" s="827" t="s">
        <v>390</v>
      </c>
      <c r="D31" s="825"/>
      <c r="E31" s="825"/>
      <c r="F31" s="825"/>
      <c r="G31" s="825"/>
      <c r="H31" s="825"/>
      <c r="I31" s="825"/>
      <c r="J31" s="825"/>
      <c r="K31" s="825"/>
      <c r="L31" s="825"/>
      <c r="M31" s="825"/>
      <c r="N31" s="826"/>
    </row>
    <row r="32" spans="1:15" ht="15.75" customHeight="1">
      <c r="A32" s="825" t="s">
        <v>718</v>
      </c>
      <c r="B32" s="825"/>
      <c r="C32" s="825"/>
      <c r="D32" s="825"/>
      <c r="E32" s="825"/>
      <c r="F32" s="825"/>
      <c r="G32" s="825"/>
      <c r="H32" s="825"/>
      <c r="I32" s="825"/>
      <c r="J32" s="825"/>
      <c r="K32" s="825"/>
      <c r="L32" s="825"/>
      <c r="M32" s="825"/>
      <c r="N32" s="826"/>
    </row>
    <row r="33" spans="1:14" ht="15.75" customHeight="1">
      <c r="A33" s="825"/>
      <c r="B33" s="825"/>
      <c r="C33" s="827" t="s">
        <v>528</v>
      </c>
      <c r="D33" s="827"/>
      <c r="E33" s="827"/>
      <c r="F33" s="825"/>
      <c r="G33" s="825"/>
      <c r="H33" s="825"/>
      <c r="I33" s="825"/>
      <c r="J33" s="825"/>
      <c r="K33" s="825"/>
      <c r="L33" s="836" t="e">
        <f>MGD</f>
        <v>#N/A</v>
      </c>
      <c r="M33" s="827" t="s">
        <v>337</v>
      </c>
      <c r="N33" s="829"/>
    </row>
    <row r="34" spans="1:14" ht="15.75" customHeight="1">
      <c r="A34" s="825" t="s">
        <v>719</v>
      </c>
      <c r="B34" s="825"/>
      <c r="C34" s="825"/>
      <c r="D34" s="825"/>
      <c r="E34" s="825"/>
      <c r="F34" s="825"/>
      <c r="G34" s="825"/>
      <c r="H34" s="825"/>
      <c r="I34" s="825"/>
      <c r="J34" s="825"/>
      <c r="K34" s="825"/>
      <c r="L34" s="825"/>
      <c r="M34" s="825"/>
      <c r="N34" s="826"/>
    </row>
    <row r="35" spans="1:14" ht="15.75" customHeight="1">
      <c r="A35" s="825" t="s">
        <v>720</v>
      </c>
      <c r="B35" s="825"/>
      <c r="C35" s="825"/>
      <c r="D35" s="825"/>
      <c r="E35" s="825"/>
      <c r="F35" s="825"/>
      <c r="G35" s="825"/>
      <c r="H35" s="825"/>
      <c r="I35" s="825"/>
      <c r="J35" s="825"/>
      <c r="K35" s="825"/>
      <c r="L35" s="825"/>
      <c r="M35" s="825"/>
      <c r="N35" s="826" t="str">
        <f>Sheet1!X221</f>
        <v/>
      </c>
    </row>
    <row r="36" spans="1:14" ht="15.75" customHeight="1">
      <c r="A36" s="825" t="s">
        <v>721</v>
      </c>
      <c r="B36" s="825"/>
      <c r="C36" s="825"/>
      <c r="D36" s="825"/>
      <c r="E36" s="825"/>
      <c r="F36" s="825"/>
      <c r="G36" s="825"/>
      <c r="H36" s="825"/>
      <c r="I36" s="825"/>
      <c r="J36" s="825"/>
      <c r="K36" s="825"/>
      <c r="L36" s="825"/>
      <c r="M36" s="825"/>
      <c r="N36" s="826"/>
    </row>
    <row r="37" spans="1:14" ht="15.75" customHeight="1">
      <c r="A37" s="825" t="s">
        <v>722</v>
      </c>
      <c r="B37" s="825"/>
      <c r="C37" s="825"/>
      <c r="D37" s="825"/>
      <c r="E37" s="825"/>
      <c r="F37" s="825"/>
      <c r="G37" s="825"/>
      <c r="H37" s="825"/>
      <c r="I37" s="825"/>
      <c r="J37" s="825"/>
      <c r="K37" s="825"/>
      <c r="L37" s="825"/>
      <c r="M37" s="825"/>
      <c r="N37" s="826"/>
    </row>
    <row r="38" spans="1:14" ht="15.75" customHeight="1">
      <c r="A38" s="825" t="s">
        <v>723</v>
      </c>
      <c r="B38" s="825"/>
      <c r="C38" s="825"/>
      <c r="D38" s="825"/>
      <c r="E38" s="825"/>
      <c r="F38" s="825"/>
      <c r="G38" s="825"/>
      <c r="H38" s="825"/>
      <c r="I38" s="825"/>
      <c r="J38" s="825"/>
      <c r="K38" s="825"/>
      <c r="L38" s="825"/>
      <c r="M38" s="825"/>
      <c r="N38" s="826"/>
    </row>
    <row r="39" spans="1:14" ht="15.75" customHeight="1">
      <c r="A39" s="825" t="s">
        <v>724</v>
      </c>
      <c r="B39" s="825"/>
      <c r="C39" s="825"/>
      <c r="D39" s="825"/>
      <c r="E39" s="825"/>
      <c r="F39" s="825"/>
      <c r="G39" s="825"/>
      <c r="H39" s="825"/>
      <c r="I39" s="825"/>
      <c r="J39" s="825"/>
      <c r="K39" s="825"/>
      <c r="L39" s="825"/>
      <c r="M39" s="825"/>
      <c r="N39" s="826"/>
    </row>
    <row r="40" spans="1:14" ht="15.75" customHeight="1">
      <c r="A40" s="825" t="s">
        <v>725</v>
      </c>
      <c r="B40" s="825"/>
      <c r="C40" s="825"/>
      <c r="D40" s="825"/>
      <c r="E40" s="825"/>
      <c r="F40" s="825"/>
      <c r="G40" s="825"/>
      <c r="H40" s="825"/>
      <c r="I40" s="825"/>
      <c r="J40" s="825"/>
      <c r="K40" s="825"/>
      <c r="L40" s="825"/>
      <c r="M40" s="825"/>
      <c r="N40" s="826"/>
    </row>
    <row r="41" spans="1:14" ht="15.75" customHeight="1">
      <c r="A41" s="825" t="s">
        <v>726</v>
      </c>
      <c r="B41" s="825"/>
      <c r="C41" s="825"/>
      <c r="D41" s="825"/>
      <c r="E41" s="825"/>
      <c r="F41" s="825"/>
      <c r="G41" s="825"/>
      <c r="H41" s="825"/>
      <c r="I41" s="825"/>
      <c r="J41" s="825"/>
      <c r="K41" s="825"/>
      <c r="L41" s="825"/>
      <c r="M41" s="825"/>
      <c r="N41" s="826"/>
    </row>
    <row r="42" spans="1:14" ht="15.75" customHeight="1">
      <c r="A42" s="825" t="s">
        <v>727</v>
      </c>
      <c r="B42" s="825"/>
      <c r="C42" s="825"/>
      <c r="D42" s="825"/>
      <c r="E42" s="825"/>
      <c r="F42" s="825"/>
      <c r="G42" s="825"/>
      <c r="H42" s="825"/>
      <c r="I42" s="825"/>
      <c r="J42" s="825"/>
      <c r="K42" s="825"/>
      <c r="L42" s="825"/>
      <c r="M42" s="825"/>
      <c r="N42" s="826"/>
    </row>
    <row r="43" spans="1:14" ht="15.75" customHeight="1">
      <c r="A43" s="825" t="s">
        <v>728</v>
      </c>
      <c r="B43" s="825"/>
      <c r="C43" s="825"/>
      <c r="D43" s="825"/>
      <c r="E43" s="825"/>
      <c r="F43" s="825"/>
      <c r="G43" s="825"/>
      <c r="H43" s="825"/>
      <c r="I43" s="825"/>
      <c r="J43" s="825"/>
      <c r="K43" s="825"/>
      <c r="L43" s="825"/>
      <c r="M43" s="825"/>
      <c r="N43" s="826"/>
    </row>
    <row r="44" spans="1:14" ht="15.75" customHeight="1">
      <c r="A44" s="825" t="s">
        <v>729</v>
      </c>
      <c r="B44" s="825"/>
      <c r="C44" s="825"/>
      <c r="D44" s="825"/>
      <c r="E44" s="825"/>
      <c r="F44" s="825"/>
      <c r="G44" s="825"/>
      <c r="H44" s="825"/>
      <c r="I44" s="825"/>
      <c r="J44" s="825"/>
      <c r="K44" s="825"/>
      <c r="L44" s="825"/>
      <c r="M44" s="825"/>
      <c r="N44" s="826"/>
    </row>
    <row r="45" spans="1:14" ht="15.75" customHeight="1">
      <c r="A45" s="825" t="s">
        <v>730</v>
      </c>
      <c r="B45" s="825"/>
      <c r="C45" s="825"/>
      <c r="D45" s="825"/>
      <c r="E45" s="825"/>
      <c r="F45" s="825"/>
      <c r="G45" s="825"/>
      <c r="H45" s="825"/>
      <c r="I45" s="825"/>
      <c r="J45" s="825"/>
      <c r="K45" s="825"/>
      <c r="L45" s="825"/>
      <c r="M45" s="825"/>
      <c r="N45" s="826"/>
    </row>
    <row r="46" spans="1:14" ht="15.75" customHeight="1">
      <c r="A46" s="825" t="s">
        <v>731</v>
      </c>
      <c r="B46" s="825"/>
      <c r="C46" s="825"/>
      <c r="D46" s="825"/>
      <c r="E46" s="825"/>
      <c r="F46" s="825"/>
      <c r="G46" s="825"/>
      <c r="H46" s="825"/>
      <c r="I46" s="825"/>
      <c r="J46" s="825"/>
      <c r="K46" s="825"/>
      <c r="L46" s="825"/>
      <c r="M46" s="825"/>
      <c r="N46" s="826"/>
    </row>
    <row r="47" spans="1:14" ht="15.75" customHeight="1">
      <c r="A47" s="825"/>
      <c r="B47" s="825"/>
      <c r="C47" s="827" t="s">
        <v>732</v>
      </c>
      <c r="D47" s="825"/>
      <c r="E47" s="825"/>
      <c r="F47" s="825"/>
      <c r="G47" s="825"/>
      <c r="H47" s="825"/>
      <c r="I47" s="825"/>
      <c r="J47" s="825"/>
      <c r="K47" s="825"/>
      <c r="L47" s="825"/>
      <c r="M47" s="825"/>
    </row>
    <row r="48" spans="1:14" ht="15.75" customHeight="1">
      <c r="A48" s="829"/>
      <c r="B48" s="829"/>
      <c r="C48" s="830" t="s">
        <v>391</v>
      </c>
      <c r="D48" s="827"/>
      <c r="E48" s="827"/>
      <c r="F48" s="831"/>
      <c r="G48" s="831" t="s">
        <v>355</v>
      </c>
      <c r="H48" s="832">
        <f>Sheet1!S451</f>
        <v>0</v>
      </c>
      <c r="I48" s="831" t="s">
        <v>356</v>
      </c>
      <c r="J48" s="832">
        <f>Sheet1!S452</f>
        <v>0</v>
      </c>
      <c r="K48" s="831" t="s">
        <v>357</v>
      </c>
      <c r="L48" s="832">
        <f>Sheet1!S453</f>
        <v>0</v>
      </c>
      <c r="M48" s="833"/>
      <c r="N48" s="829"/>
    </row>
    <row r="49" spans="1:14" ht="15.75" customHeight="1">
      <c r="A49" s="825" t="s">
        <v>733</v>
      </c>
      <c r="B49" s="825"/>
      <c r="C49" s="825"/>
      <c r="D49" s="825"/>
      <c r="E49" s="825"/>
      <c r="F49" s="825"/>
      <c r="G49" s="825"/>
      <c r="H49" s="825"/>
      <c r="I49" s="825"/>
      <c r="J49" s="825"/>
      <c r="K49" s="825"/>
      <c r="L49" s="825"/>
      <c r="M49" s="825"/>
      <c r="N49" s="826"/>
    </row>
    <row r="50" spans="1:14" ht="15.75" customHeight="1">
      <c r="A50" s="825" t="s">
        <v>734</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97" t="s">
        <v>527</v>
      </c>
      <c r="B52" s="897"/>
      <c r="C52" s="897"/>
      <c r="D52" s="897"/>
      <c r="E52" s="897"/>
      <c r="F52" s="897"/>
      <c r="G52" s="897"/>
      <c r="H52" s="897"/>
      <c r="I52" s="897"/>
      <c r="J52" s="897"/>
      <c r="K52" s="897"/>
      <c r="L52" s="897"/>
      <c r="M52" s="897"/>
      <c r="N52" s="897"/>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2.75"/>
  <cols>
    <col min="1" max="1" width="3.875" style="483" customWidth="1"/>
    <col min="2" max="2" width="19.125" style="483" customWidth="1"/>
    <col min="3" max="4" width="8.625" style="483" customWidth="1"/>
    <col min="5" max="5" width="9" style="483" customWidth="1"/>
    <col min="6" max="6" width="3.25" style="483" customWidth="1"/>
    <col min="7" max="7" width="13.75" style="483" customWidth="1"/>
    <col min="8" max="8" width="8.5" style="483" customWidth="1"/>
    <col min="9" max="9" width="9.5" style="483" customWidth="1"/>
    <col min="10" max="10" width="8.375" style="483" customWidth="1"/>
    <col min="11" max="11" width="8.625" style="483" customWidth="1"/>
    <col min="12" max="16384" width="9" style="483"/>
  </cols>
  <sheetData>
    <row r="1" spans="1:12" ht="27" customHeight="1">
      <c r="A1" s="907" t="s">
        <v>367</v>
      </c>
      <c r="B1" s="907"/>
      <c r="C1" s="907"/>
      <c r="D1" s="907"/>
      <c r="E1" s="907"/>
      <c r="F1" s="907"/>
      <c r="G1" s="907"/>
      <c r="H1" s="907"/>
      <c r="I1" s="907"/>
      <c r="J1" s="907"/>
      <c r="K1" s="907"/>
    </row>
    <row r="2" spans="1:12" ht="18" customHeight="1">
      <c r="A2" s="517" t="s">
        <v>392</v>
      </c>
      <c r="B2" s="516"/>
      <c r="C2" s="516"/>
      <c r="D2" s="516"/>
      <c r="E2" s="516"/>
      <c r="F2" s="516"/>
      <c r="G2" s="516"/>
      <c r="H2" s="516"/>
      <c r="I2" s="516"/>
      <c r="J2" s="516"/>
      <c r="K2" s="516"/>
    </row>
    <row r="3" spans="1:12" ht="15.75" customHeight="1"/>
    <row r="4" spans="1:12" ht="24" customHeight="1">
      <c r="A4" s="515" t="s">
        <v>393</v>
      </c>
      <c r="B4" s="514"/>
      <c r="C4" s="512"/>
      <c r="D4" s="512"/>
      <c r="E4" s="512"/>
      <c r="F4" s="512"/>
      <c r="G4" s="512"/>
      <c r="H4" s="512"/>
      <c r="I4" s="512"/>
      <c r="J4" s="513"/>
      <c r="K4" s="512"/>
    </row>
    <row r="5" spans="1:12" ht="42" customHeight="1">
      <c r="A5" s="908" t="s">
        <v>539</v>
      </c>
      <c r="B5" s="908"/>
      <c r="C5" s="908"/>
      <c r="D5" s="908"/>
      <c r="E5" s="908"/>
      <c r="F5" s="908"/>
      <c r="G5" s="908"/>
      <c r="H5" s="908"/>
      <c r="I5" s="908"/>
      <c r="J5" s="908"/>
      <c r="K5" s="908"/>
    </row>
    <row r="6" spans="1:12" ht="15" customHeight="1">
      <c r="A6" s="511" t="s">
        <v>538</v>
      </c>
      <c r="B6" s="510"/>
      <c r="C6" s="510"/>
      <c r="D6" s="510"/>
      <c r="E6" s="510"/>
      <c r="F6" s="510"/>
      <c r="G6" s="510"/>
      <c r="H6" s="510"/>
      <c r="I6" s="509"/>
      <c r="J6" s="508"/>
      <c r="K6" s="508"/>
    </row>
    <row r="7" spans="1:12" ht="15" customHeight="1">
      <c r="A7" s="507" t="s">
        <v>537</v>
      </c>
      <c r="B7" s="506"/>
      <c r="C7" s="506"/>
      <c r="D7" s="506"/>
      <c r="E7" s="506"/>
      <c r="F7" s="506"/>
      <c r="G7" s="506"/>
      <c r="H7" s="506"/>
      <c r="I7" s="506"/>
      <c r="J7" s="506"/>
      <c r="K7" s="506"/>
    </row>
    <row r="8" spans="1:12" ht="15" customHeight="1">
      <c r="J8" s="909"/>
      <c r="K8" s="909"/>
    </row>
    <row r="9" spans="1:12" ht="15" customHeight="1">
      <c r="A9" s="492"/>
      <c r="E9" s="492"/>
      <c r="H9" s="710" t="s">
        <v>394</v>
      </c>
      <c r="I9" s="505"/>
      <c r="J9" s="910" t="s">
        <v>388</v>
      </c>
      <c r="K9" s="910"/>
    </row>
    <row r="10" spans="1:12" ht="15.75" customHeight="1">
      <c r="A10" s="504" t="s">
        <v>395</v>
      </c>
      <c r="B10" s="486" t="s">
        <v>396</v>
      </c>
      <c r="C10" s="485"/>
      <c r="E10" s="492"/>
      <c r="G10" s="715"/>
      <c r="H10" s="716"/>
      <c r="I10" s="716" t="s">
        <v>735</v>
      </c>
      <c r="J10" s="905"/>
      <c r="K10" s="906"/>
    </row>
    <row r="11" spans="1:12" ht="15.75" customHeight="1">
      <c r="A11" s="499" t="s">
        <v>397</v>
      </c>
      <c r="B11" s="486" t="s">
        <v>400</v>
      </c>
      <c r="C11" s="485"/>
      <c r="E11" s="492"/>
      <c r="H11" s="500" t="s">
        <v>401</v>
      </c>
      <c r="J11" s="905"/>
      <c r="K11" s="906"/>
    </row>
    <row r="12" spans="1:12" ht="15.75" customHeight="1">
      <c r="A12" s="504" t="s">
        <v>399</v>
      </c>
      <c r="B12" s="486" t="s">
        <v>403</v>
      </c>
      <c r="C12" s="485"/>
      <c r="E12" s="492"/>
      <c r="H12" s="500" t="s">
        <v>401</v>
      </c>
      <c r="J12" s="905"/>
      <c r="K12" s="906"/>
    </row>
    <row r="13" spans="1:12" ht="15.75" customHeight="1">
      <c r="A13" s="499" t="s">
        <v>402</v>
      </c>
      <c r="B13" s="486" t="s">
        <v>398</v>
      </c>
      <c r="C13" s="485"/>
      <c r="E13" s="492"/>
      <c r="H13" s="502"/>
      <c r="I13" s="502" t="s">
        <v>736</v>
      </c>
      <c r="J13" s="905"/>
      <c r="K13" s="906"/>
    </row>
    <row r="14" spans="1:12" ht="15.75" customHeight="1">
      <c r="A14" s="501" t="s">
        <v>404</v>
      </c>
      <c r="B14" s="486" t="s">
        <v>737</v>
      </c>
      <c r="C14" s="485"/>
      <c r="E14" s="492"/>
      <c r="H14" s="500" t="s">
        <v>405</v>
      </c>
      <c r="J14" s="905"/>
      <c r="K14" s="906"/>
      <c r="L14" s="492"/>
    </row>
    <row r="15" spans="1:12" ht="15.75" customHeight="1">
      <c r="A15" s="499" t="s">
        <v>406</v>
      </c>
      <c r="B15" s="486" t="s">
        <v>407</v>
      </c>
      <c r="C15" s="485"/>
      <c r="E15" s="492"/>
      <c r="H15" s="500" t="s">
        <v>408</v>
      </c>
      <c r="J15" s="905"/>
      <c r="K15" s="906"/>
      <c r="L15" s="492"/>
    </row>
    <row r="16" spans="1:12" ht="15.75" customHeight="1">
      <c r="A16" s="499" t="s">
        <v>409</v>
      </c>
      <c r="B16" s="486" t="s">
        <v>738</v>
      </c>
      <c r="C16" s="485"/>
      <c r="E16" s="492"/>
      <c r="H16" s="500" t="s">
        <v>739</v>
      </c>
      <c r="J16" s="711"/>
      <c r="K16" s="712"/>
      <c r="L16" s="492"/>
    </row>
    <row r="17" spans="1:12" ht="15.75" customHeight="1">
      <c r="A17" s="499" t="s">
        <v>411</v>
      </c>
      <c r="B17" s="486" t="s">
        <v>740</v>
      </c>
      <c r="C17" s="485"/>
      <c r="E17" s="492"/>
      <c r="H17" s="500" t="s">
        <v>410</v>
      </c>
      <c r="J17" s="905" t="s">
        <v>485</v>
      </c>
      <c r="K17" s="906"/>
      <c r="L17" s="492"/>
    </row>
    <row r="18" spans="1:12" ht="15.75" customHeight="1">
      <c r="A18" s="499" t="s">
        <v>741</v>
      </c>
      <c r="B18" s="498" t="s">
        <v>536</v>
      </c>
      <c r="C18" s="485"/>
      <c r="H18" s="497" t="s">
        <v>412</v>
      </c>
      <c r="I18" s="484"/>
      <c r="J18" s="905"/>
      <c r="K18" s="906"/>
      <c r="L18" s="496"/>
    </row>
    <row r="19" spans="1:12" ht="15.75" customHeight="1">
      <c r="A19" s="499" t="s">
        <v>742</v>
      </c>
      <c r="B19" s="498" t="s">
        <v>743</v>
      </c>
      <c r="C19" s="485"/>
      <c r="H19" s="503" t="s">
        <v>744</v>
      </c>
      <c r="I19" s="484"/>
      <c r="J19" s="905" t="s">
        <v>485</v>
      </c>
      <c r="K19" s="906"/>
      <c r="L19" s="496"/>
    </row>
    <row r="20" spans="1:12" ht="15.75" customHeight="1">
      <c r="A20" s="487"/>
      <c r="B20" s="495"/>
      <c r="E20" s="492"/>
      <c r="H20" s="494"/>
      <c r="J20" s="493"/>
      <c r="K20" s="493"/>
      <c r="L20" s="492"/>
    </row>
    <row r="21" spans="1:12" ht="24" customHeight="1">
      <c r="A21" s="911" t="s">
        <v>413</v>
      </c>
      <c r="B21" s="911"/>
      <c r="C21" s="911"/>
      <c r="D21" s="911"/>
      <c r="E21" s="911"/>
      <c r="F21" s="911"/>
      <c r="G21" s="911"/>
      <c r="H21" s="911"/>
      <c r="I21" s="911"/>
      <c r="J21" s="911"/>
      <c r="K21" s="911"/>
    </row>
    <row r="22" spans="1:12" ht="15" customHeight="1">
      <c r="A22" s="491"/>
      <c r="B22" s="490"/>
      <c r="C22" s="490"/>
      <c r="D22" s="490"/>
      <c r="E22" s="490"/>
      <c r="F22" s="490"/>
      <c r="G22" s="490"/>
      <c r="H22" s="490"/>
      <c r="I22" s="490"/>
      <c r="J22" s="490"/>
      <c r="K22" s="490"/>
    </row>
    <row r="23" spans="1:12" ht="290.25" customHeight="1">
      <c r="A23" s="912"/>
      <c r="B23" s="913"/>
      <c r="C23" s="913"/>
      <c r="D23" s="913"/>
      <c r="E23" s="913"/>
      <c r="F23" s="913"/>
      <c r="G23" s="913"/>
      <c r="H23" s="913"/>
      <c r="I23" s="913"/>
      <c r="J23" s="913"/>
      <c r="K23" s="914"/>
    </row>
    <row r="24" spans="1:12" ht="15" customHeight="1" thickBot="1">
      <c r="A24" s="915"/>
      <c r="B24" s="915"/>
      <c r="C24" s="915"/>
      <c r="D24" s="915"/>
      <c r="E24" s="915"/>
      <c r="F24" s="915"/>
      <c r="G24" s="915"/>
      <c r="H24" s="915"/>
      <c r="I24" s="915"/>
      <c r="J24" s="915"/>
      <c r="K24" s="915"/>
    </row>
    <row r="25" spans="1:12" hidden="1">
      <c r="A25" s="916"/>
      <c r="B25" s="916"/>
      <c r="C25" s="916"/>
      <c r="D25" s="916"/>
      <c r="E25" s="916"/>
      <c r="F25" s="916"/>
      <c r="G25" s="916"/>
      <c r="H25" s="916"/>
      <c r="I25" s="916"/>
      <c r="J25" s="916"/>
      <c r="K25" s="916"/>
    </row>
    <row r="26" spans="1:12" hidden="1">
      <c r="A26" s="916"/>
      <c r="B26" s="916"/>
      <c r="C26" s="916"/>
      <c r="D26" s="916"/>
      <c r="E26" s="916"/>
      <c r="F26" s="916"/>
      <c r="G26" s="916"/>
      <c r="H26" s="916"/>
      <c r="I26" s="916"/>
      <c r="J26" s="916"/>
      <c r="K26" s="916"/>
    </row>
    <row r="27" spans="1:12" hidden="1">
      <c r="A27" s="916"/>
      <c r="B27" s="916"/>
      <c r="C27" s="916"/>
      <c r="D27" s="916"/>
      <c r="E27" s="916"/>
      <c r="F27" s="916"/>
      <c r="G27" s="916"/>
      <c r="H27" s="916"/>
      <c r="I27" s="916"/>
      <c r="J27" s="916"/>
      <c r="K27" s="916"/>
    </row>
    <row r="28" spans="1:12" hidden="1">
      <c r="A28" s="916"/>
      <c r="B28" s="916"/>
      <c r="C28" s="916"/>
      <c r="D28" s="916"/>
      <c r="E28" s="916"/>
      <c r="F28" s="916"/>
      <c r="G28" s="916"/>
      <c r="H28" s="916"/>
      <c r="I28" s="916"/>
      <c r="J28" s="916"/>
      <c r="K28" s="916"/>
    </row>
    <row r="29" spans="1:12" hidden="1">
      <c r="A29" s="916"/>
      <c r="B29" s="916"/>
      <c r="C29" s="916"/>
      <c r="D29" s="916"/>
      <c r="E29" s="916"/>
      <c r="F29" s="916"/>
      <c r="G29" s="916"/>
      <c r="H29" s="916"/>
      <c r="I29" s="916"/>
      <c r="J29" s="916"/>
      <c r="K29" s="916"/>
    </row>
    <row r="30" spans="1:12" ht="13.5" hidden="1" thickBot="1">
      <c r="A30" s="916"/>
      <c r="B30" s="916"/>
      <c r="C30" s="916"/>
      <c r="D30" s="916"/>
      <c r="E30" s="916"/>
      <c r="F30" s="916"/>
      <c r="G30" s="916"/>
      <c r="H30" s="916"/>
      <c r="I30" s="916"/>
      <c r="J30" s="916"/>
      <c r="K30" s="916"/>
    </row>
    <row r="31" spans="1:12" ht="201.75" customHeight="1" thickBot="1">
      <c r="A31" s="917" t="s">
        <v>535</v>
      </c>
      <c r="B31" s="918"/>
      <c r="C31" s="918"/>
      <c r="D31" s="918"/>
      <c r="E31" s="918"/>
      <c r="F31" s="918"/>
      <c r="G31" s="918"/>
      <c r="H31" s="918"/>
      <c r="I31" s="918"/>
      <c r="J31" s="918"/>
      <c r="K31" s="919"/>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2.75"/>
  <cols>
    <col min="1" max="1" width="13.5" style="483" customWidth="1"/>
    <col min="2" max="2" width="6.5" style="483" customWidth="1"/>
    <col min="3" max="3" width="36.25" style="483" customWidth="1"/>
    <col min="4" max="4" width="9.875" style="483" customWidth="1"/>
    <col min="5" max="5" width="15.5" style="483" customWidth="1"/>
    <col min="6" max="7" width="9" style="483"/>
    <col min="8" max="8" width="10.875" style="483" customWidth="1"/>
    <col min="9" max="256" width="9" style="483"/>
    <col min="257" max="257" width="13.5" style="483" customWidth="1"/>
    <col min="258" max="258" width="6.5" style="483" customWidth="1"/>
    <col min="259" max="259" width="36.25" style="483" customWidth="1"/>
    <col min="260" max="260" width="9.875" style="483" customWidth="1"/>
    <col min="261" max="261" width="15.5" style="483" customWidth="1"/>
    <col min="262" max="263" width="9" style="483"/>
    <col min="264" max="264" width="10.875" style="483" customWidth="1"/>
    <col min="265" max="512" width="9" style="483"/>
    <col min="513" max="513" width="13.5" style="483" customWidth="1"/>
    <col min="514" max="514" width="6.5" style="483" customWidth="1"/>
    <col min="515" max="515" width="36.25" style="483" customWidth="1"/>
    <col min="516" max="516" width="9.875" style="483" customWidth="1"/>
    <col min="517" max="517" width="15.5" style="483" customWidth="1"/>
    <col min="518" max="519" width="9" style="483"/>
    <col min="520" max="520" width="10.875" style="483" customWidth="1"/>
    <col min="521" max="768" width="9" style="483"/>
    <col min="769" max="769" width="13.5" style="483" customWidth="1"/>
    <col min="770" max="770" width="6.5" style="483" customWidth="1"/>
    <col min="771" max="771" width="36.25" style="483" customWidth="1"/>
    <col min="772" max="772" width="9.875" style="483" customWidth="1"/>
    <col min="773" max="773" width="15.5" style="483" customWidth="1"/>
    <col min="774" max="775" width="9" style="483"/>
    <col min="776" max="776" width="10.875" style="483" customWidth="1"/>
    <col min="777" max="1024" width="9" style="483"/>
    <col min="1025" max="1025" width="13.5" style="483" customWidth="1"/>
    <col min="1026" max="1026" width="6.5" style="483" customWidth="1"/>
    <col min="1027" max="1027" width="36.25" style="483" customWidth="1"/>
    <col min="1028" max="1028" width="9.875" style="483" customWidth="1"/>
    <col min="1029" max="1029" width="15.5" style="483" customWidth="1"/>
    <col min="1030" max="1031" width="9" style="483"/>
    <col min="1032" max="1032" width="10.875" style="483" customWidth="1"/>
    <col min="1033" max="1280" width="9" style="483"/>
    <col min="1281" max="1281" width="13.5" style="483" customWidth="1"/>
    <col min="1282" max="1282" width="6.5" style="483" customWidth="1"/>
    <col min="1283" max="1283" width="36.25" style="483" customWidth="1"/>
    <col min="1284" max="1284" width="9.875" style="483" customWidth="1"/>
    <col min="1285" max="1285" width="15.5" style="483" customWidth="1"/>
    <col min="1286" max="1287" width="9" style="483"/>
    <col min="1288" max="1288" width="10.875" style="483" customWidth="1"/>
    <col min="1289" max="1536" width="9" style="483"/>
    <col min="1537" max="1537" width="13.5" style="483" customWidth="1"/>
    <col min="1538" max="1538" width="6.5" style="483" customWidth="1"/>
    <col min="1539" max="1539" width="36.25" style="483" customWidth="1"/>
    <col min="1540" max="1540" width="9.875" style="483" customWidth="1"/>
    <col min="1541" max="1541" width="15.5" style="483" customWidth="1"/>
    <col min="1542" max="1543" width="9" style="483"/>
    <col min="1544" max="1544" width="10.875" style="483" customWidth="1"/>
    <col min="1545" max="1792" width="9" style="483"/>
    <col min="1793" max="1793" width="13.5" style="483" customWidth="1"/>
    <col min="1794" max="1794" width="6.5" style="483" customWidth="1"/>
    <col min="1795" max="1795" width="36.25" style="483" customWidth="1"/>
    <col min="1796" max="1796" width="9.875" style="483" customWidth="1"/>
    <col min="1797" max="1797" width="15.5" style="483" customWidth="1"/>
    <col min="1798" max="1799" width="9" style="483"/>
    <col min="1800" max="1800" width="10.875" style="483" customWidth="1"/>
    <col min="1801" max="2048" width="9" style="483"/>
    <col min="2049" max="2049" width="13.5" style="483" customWidth="1"/>
    <col min="2050" max="2050" width="6.5" style="483" customWidth="1"/>
    <col min="2051" max="2051" width="36.25" style="483" customWidth="1"/>
    <col min="2052" max="2052" width="9.875" style="483" customWidth="1"/>
    <col min="2053" max="2053" width="15.5" style="483" customWidth="1"/>
    <col min="2054" max="2055" width="9" style="483"/>
    <col min="2056" max="2056" width="10.875" style="483" customWidth="1"/>
    <col min="2057" max="2304" width="9" style="483"/>
    <col min="2305" max="2305" width="13.5" style="483" customWidth="1"/>
    <col min="2306" max="2306" width="6.5" style="483" customWidth="1"/>
    <col min="2307" max="2307" width="36.25" style="483" customWidth="1"/>
    <col min="2308" max="2308" width="9.875" style="483" customWidth="1"/>
    <col min="2309" max="2309" width="15.5" style="483" customWidth="1"/>
    <col min="2310" max="2311" width="9" style="483"/>
    <col min="2312" max="2312" width="10.875" style="483" customWidth="1"/>
    <col min="2313" max="2560" width="9" style="483"/>
    <col min="2561" max="2561" width="13.5" style="483" customWidth="1"/>
    <col min="2562" max="2562" width="6.5" style="483" customWidth="1"/>
    <col min="2563" max="2563" width="36.25" style="483" customWidth="1"/>
    <col min="2564" max="2564" width="9.875" style="483" customWidth="1"/>
    <col min="2565" max="2565" width="15.5" style="483" customWidth="1"/>
    <col min="2566" max="2567" width="9" style="483"/>
    <col min="2568" max="2568" width="10.875" style="483" customWidth="1"/>
    <col min="2569" max="2816" width="9" style="483"/>
    <col min="2817" max="2817" width="13.5" style="483" customWidth="1"/>
    <col min="2818" max="2818" width="6.5" style="483" customWidth="1"/>
    <col min="2819" max="2819" width="36.25" style="483" customWidth="1"/>
    <col min="2820" max="2820" width="9.875" style="483" customWidth="1"/>
    <col min="2821" max="2821" width="15.5" style="483" customWidth="1"/>
    <col min="2822" max="2823" width="9" style="483"/>
    <col min="2824" max="2824" width="10.875" style="483" customWidth="1"/>
    <col min="2825" max="3072" width="9" style="483"/>
    <col min="3073" max="3073" width="13.5" style="483" customWidth="1"/>
    <col min="3074" max="3074" width="6.5" style="483" customWidth="1"/>
    <col min="3075" max="3075" width="36.25" style="483" customWidth="1"/>
    <col min="3076" max="3076" width="9.875" style="483" customWidth="1"/>
    <col min="3077" max="3077" width="15.5" style="483" customWidth="1"/>
    <col min="3078" max="3079" width="9" style="483"/>
    <col min="3080" max="3080" width="10.875" style="483" customWidth="1"/>
    <col min="3081" max="3328" width="9" style="483"/>
    <col min="3329" max="3329" width="13.5" style="483" customWidth="1"/>
    <col min="3330" max="3330" width="6.5" style="483" customWidth="1"/>
    <col min="3331" max="3331" width="36.25" style="483" customWidth="1"/>
    <col min="3332" max="3332" width="9.875" style="483" customWidth="1"/>
    <col min="3333" max="3333" width="15.5" style="483" customWidth="1"/>
    <col min="3334" max="3335" width="9" style="483"/>
    <col min="3336" max="3336" width="10.875" style="483" customWidth="1"/>
    <col min="3337" max="3584" width="9" style="483"/>
    <col min="3585" max="3585" width="13.5" style="483" customWidth="1"/>
    <col min="3586" max="3586" width="6.5" style="483" customWidth="1"/>
    <col min="3587" max="3587" width="36.25" style="483" customWidth="1"/>
    <col min="3588" max="3588" width="9.875" style="483" customWidth="1"/>
    <col min="3589" max="3589" width="15.5" style="483" customWidth="1"/>
    <col min="3590" max="3591" width="9" style="483"/>
    <col min="3592" max="3592" width="10.875" style="483" customWidth="1"/>
    <col min="3593" max="3840" width="9" style="483"/>
    <col min="3841" max="3841" width="13.5" style="483" customWidth="1"/>
    <col min="3842" max="3842" width="6.5" style="483" customWidth="1"/>
    <col min="3843" max="3843" width="36.25" style="483" customWidth="1"/>
    <col min="3844" max="3844" width="9.875" style="483" customWidth="1"/>
    <col min="3845" max="3845" width="15.5" style="483" customWidth="1"/>
    <col min="3846" max="3847" width="9" style="483"/>
    <col min="3848" max="3848" width="10.875" style="483" customWidth="1"/>
    <col min="3849" max="4096" width="9" style="483"/>
    <col min="4097" max="4097" width="13.5" style="483" customWidth="1"/>
    <col min="4098" max="4098" width="6.5" style="483" customWidth="1"/>
    <col min="4099" max="4099" width="36.25" style="483" customWidth="1"/>
    <col min="4100" max="4100" width="9.875" style="483" customWidth="1"/>
    <col min="4101" max="4101" width="15.5" style="483" customWidth="1"/>
    <col min="4102" max="4103" width="9" style="483"/>
    <col min="4104" max="4104" width="10.875" style="483" customWidth="1"/>
    <col min="4105" max="4352" width="9" style="483"/>
    <col min="4353" max="4353" width="13.5" style="483" customWidth="1"/>
    <col min="4354" max="4354" width="6.5" style="483" customWidth="1"/>
    <col min="4355" max="4355" width="36.25" style="483" customWidth="1"/>
    <col min="4356" max="4356" width="9.875" style="483" customWidth="1"/>
    <col min="4357" max="4357" width="15.5" style="483" customWidth="1"/>
    <col min="4358" max="4359" width="9" style="483"/>
    <col min="4360" max="4360" width="10.875" style="483" customWidth="1"/>
    <col min="4361" max="4608" width="9" style="483"/>
    <col min="4609" max="4609" width="13.5" style="483" customWidth="1"/>
    <col min="4610" max="4610" width="6.5" style="483" customWidth="1"/>
    <col min="4611" max="4611" width="36.25" style="483" customWidth="1"/>
    <col min="4612" max="4612" width="9.875" style="483" customWidth="1"/>
    <col min="4613" max="4613" width="15.5" style="483" customWidth="1"/>
    <col min="4614" max="4615" width="9" style="483"/>
    <col min="4616" max="4616" width="10.875" style="483" customWidth="1"/>
    <col min="4617" max="4864" width="9" style="483"/>
    <col min="4865" max="4865" width="13.5" style="483" customWidth="1"/>
    <col min="4866" max="4866" width="6.5" style="483" customWidth="1"/>
    <col min="4867" max="4867" width="36.25" style="483" customWidth="1"/>
    <col min="4868" max="4868" width="9.875" style="483" customWidth="1"/>
    <col min="4869" max="4869" width="15.5" style="483" customWidth="1"/>
    <col min="4870" max="4871" width="9" style="483"/>
    <col min="4872" max="4872" width="10.875" style="483" customWidth="1"/>
    <col min="4873" max="5120" width="9" style="483"/>
    <col min="5121" max="5121" width="13.5" style="483" customWidth="1"/>
    <col min="5122" max="5122" width="6.5" style="483" customWidth="1"/>
    <col min="5123" max="5123" width="36.25" style="483" customWidth="1"/>
    <col min="5124" max="5124" width="9.875" style="483" customWidth="1"/>
    <col min="5125" max="5125" width="15.5" style="483" customWidth="1"/>
    <col min="5126" max="5127" width="9" style="483"/>
    <col min="5128" max="5128" width="10.875" style="483" customWidth="1"/>
    <col min="5129" max="5376" width="9" style="483"/>
    <col min="5377" max="5377" width="13.5" style="483" customWidth="1"/>
    <col min="5378" max="5378" width="6.5" style="483" customWidth="1"/>
    <col min="5379" max="5379" width="36.25" style="483" customWidth="1"/>
    <col min="5380" max="5380" width="9.875" style="483" customWidth="1"/>
    <col min="5381" max="5381" width="15.5" style="483" customWidth="1"/>
    <col min="5382" max="5383" width="9" style="483"/>
    <col min="5384" max="5384" width="10.875" style="483" customWidth="1"/>
    <col min="5385" max="5632" width="9" style="483"/>
    <col min="5633" max="5633" width="13.5" style="483" customWidth="1"/>
    <col min="5634" max="5634" width="6.5" style="483" customWidth="1"/>
    <col min="5635" max="5635" width="36.25" style="483" customWidth="1"/>
    <col min="5636" max="5636" width="9.875" style="483" customWidth="1"/>
    <col min="5637" max="5637" width="15.5" style="483" customWidth="1"/>
    <col min="5638" max="5639" width="9" style="483"/>
    <col min="5640" max="5640" width="10.875" style="483" customWidth="1"/>
    <col min="5641" max="5888" width="9" style="483"/>
    <col min="5889" max="5889" width="13.5" style="483" customWidth="1"/>
    <col min="5890" max="5890" width="6.5" style="483" customWidth="1"/>
    <col min="5891" max="5891" width="36.25" style="483" customWidth="1"/>
    <col min="5892" max="5892" width="9.875" style="483" customWidth="1"/>
    <col min="5893" max="5893" width="15.5" style="483" customWidth="1"/>
    <col min="5894" max="5895" width="9" style="483"/>
    <col min="5896" max="5896" width="10.875" style="483" customWidth="1"/>
    <col min="5897" max="6144" width="9" style="483"/>
    <col min="6145" max="6145" width="13.5" style="483" customWidth="1"/>
    <col min="6146" max="6146" width="6.5" style="483" customWidth="1"/>
    <col min="6147" max="6147" width="36.25" style="483" customWidth="1"/>
    <col min="6148" max="6148" width="9.875" style="483" customWidth="1"/>
    <col min="6149" max="6149" width="15.5" style="483" customWidth="1"/>
    <col min="6150" max="6151" width="9" style="483"/>
    <col min="6152" max="6152" width="10.875" style="483" customWidth="1"/>
    <col min="6153" max="6400" width="9" style="483"/>
    <col min="6401" max="6401" width="13.5" style="483" customWidth="1"/>
    <col min="6402" max="6402" width="6.5" style="483" customWidth="1"/>
    <col min="6403" max="6403" width="36.25" style="483" customWidth="1"/>
    <col min="6404" max="6404" width="9.875" style="483" customWidth="1"/>
    <col min="6405" max="6405" width="15.5" style="483" customWidth="1"/>
    <col min="6406" max="6407" width="9" style="483"/>
    <col min="6408" max="6408" width="10.875" style="483" customWidth="1"/>
    <col min="6409" max="6656" width="9" style="483"/>
    <col min="6657" max="6657" width="13.5" style="483" customWidth="1"/>
    <col min="6658" max="6658" width="6.5" style="483" customWidth="1"/>
    <col min="6659" max="6659" width="36.25" style="483" customWidth="1"/>
    <col min="6660" max="6660" width="9.875" style="483" customWidth="1"/>
    <col min="6661" max="6661" width="15.5" style="483" customWidth="1"/>
    <col min="6662" max="6663" width="9" style="483"/>
    <col min="6664" max="6664" width="10.875" style="483" customWidth="1"/>
    <col min="6665" max="6912" width="9" style="483"/>
    <col min="6913" max="6913" width="13.5" style="483" customWidth="1"/>
    <col min="6914" max="6914" width="6.5" style="483" customWidth="1"/>
    <col min="6915" max="6915" width="36.25" style="483" customWidth="1"/>
    <col min="6916" max="6916" width="9.875" style="483" customWidth="1"/>
    <col min="6917" max="6917" width="15.5" style="483" customWidth="1"/>
    <col min="6918" max="6919" width="9" style="483"/>
    <col min="6920" max="6920" width="10.875" style="483" customWidth="1"/>
    <col min="6921" max="7168" width="9" style="483"/>
    <col min="7169" max="7169" width="13.5" style="483" customWidth="1"/>
    <col min="7170" max="7170" width="6.5" style="483" customWidth="1"/>
    <col min="7171" max="7171" width="36.25" style="483" customWidth="1"/>
    <col min="7172" max="7172" width="9.875" style="483" customWidth="1"/>
    <col min="7173" max="7173" width="15.5" style="483" customWidth="1"/>
    <col min="7174" max="7175" width="9" style="483"/>
    <col min="7176" max="7176" width="10.875" style="483" customWidth="1"/>
    <col min="7177" max="7424" width="9" style="483"/>
    <col min="7425" max="7425" width="13.5" style="483" customWidth="1"/>
    <col min="7426" max="7426" width="6.5" style="483" customWidth="1"/>
    <col min="7427" max="7427" width="36.25" style="483" customWidth="1"/>
    <col min="7428" max="7428" width="9.875" style="483" customWidth="1"/>
    <col min="7429" max="7429" width="15.5" style="483" customWidth="1"/>
    <col min="7430" max="7431" width="9" style="483"/>
    <col min="7432" max="7432" width="10.875" style="483" customWidth="1"/>
    <col min="7433" max="7680" width="9" style="483"/>
    <col min="7681" max="7681" width="13.5" style="483" customWidth="1"/>
    <col min="7682" max="7682" width="6.5" style="483" customWidth="1"/>
    <col min="7683" max="7683" width="36.25" style="483" customWidth="1"/>
    <col min="7684" max="7684" width="9.875" style="483" customWidth="1"/>
    <col min="7685" max="7685" width="15.5" style="483" customWidth="1"/>
    <col min="7686" max="7687" width="9" style="483"/>
    <col min="7688" max="7688" width="10.875" style="483" customWidth="1"/>
    <col min="7689" max="7936" width="9" style="483"/>
    <col min="7937" max="7937" width="13.5" style="483" customWidth="1"/>
    <col min="7938" max="7938" width="6.5" style="483" customWidth="1"/>
    <col min="7939" max="7939" width="36.25" style="483" customWidth="1"/>
    <col min="7940" max="7940" width="9.875" style="483" customWidth="1"/>
    <col min="7941" max="7941" width="15.5" style="483" customWidth="1"/>
    <col min="7942" max="7943" width="9" style="483"/>
    <col min="7944" max="7944" width="10.875" style="483" customWidth="1"/>
    <col min="7945" max="8192" width="9" style="483"/>
    <col min="8193" max="8193" width="13.5" style="483" customWidth="1"/>
    <col min="8194" max="8194" width="6.5" style="483" customWidth="1"/>
    <col min="8195" max="8195" width="36.25" style="483" customWidth="1"/>
    <col min="8196" max="8196" width="9.875" style="483" customWidth="1"/>
    <col min="8197" max="8197" width="15.5" style="483" customWidth="1"/>
    <col min="8198" max="8199" width="9" style="483"/>
    <col min="8200" max="8200" width="10.875" style="483" customWidth="1"/>
    <col min="8201" max="8448" width="9" style="483"/>
    <col min="8449" max="8449" width="13.5" style="483" customWidth="1"/>
    <col min="8450" max="8450" width="6.5" style="483" customWidth="1"/>
    <col min="8451" max="8451" width="36.25" style="483" customWidth="1"/>
    <col min="8452" max="8452" width="9.875" style="483" customWidth="1"/>
    <col min="8453" max="8453" width="15.5" style="483" customWidth="1"/>
    <col min="8454" max="8455" width="9" style="483"/>
    <col min="8456" max="8456" width="10.875" style="483" customWidth="1"/>
    <col min="8457" max="8704" width="9" style="483"/>
    <col min="8705" max="8705" width="13.5" style="483" customWidth="1"/>
    <col min="8706" max="8706" width="6.5" style="483" customWidth="1"/>
    <col min="8707" max="8707" width="36.25" style="483" customWidth="1"/>
    <col min="8708" max="8708" width="9.875" style="483" customWidth="1"/>
    <col min="8709" max="8709" width="15.5" style="483" customWidth="1"/>
    <col min="8710" max="8711" width="9" style="483"/>
    <col min="8712" max="8712" width="10.875" style="483" customWidth="1"/>
    <col min="8713" max="8960" width="9" style="483"/>
    <col min="8961" max="8961" width="13.5" style="483" customWidth="1"/>
    <col min="8962" max="8962" width="6.5" style="483" customWidth="1"/>
    <col min="8963" max="8963" width="36.25" style="483" customWidth="1"/>
    <col min="8964" max="8964" width="9.875" style="483" customWidth="1"/>
    <col min="8965" max="8965" width="15.5" style="483" customWidth="1"/>
    <col min="8966" max="8967" width="9" style="483"/>
    <col min="8968" max="8968" width="10.875" style="483" customWidth="1"/>
    <col min="8969" max="9216" width="9" style="483"/>
    <col min="9217" max="9217" width="13.5" style="483" customWidth="1"/>
    <col min="9218" max="9218" width="6.5" style="483" customWidth="1"/>
    <col min="9219" max="9219" width="36.25" style="483" customWidth="1"/>
    <col min="9220" max="9220" width="9.875" style="483" customWidth="1"/>
    <col min="9221" max="9221" width="15.5" style="483" customWidth="1"/>
    <col min="9222" max="9223" width="9" style="483"/>
    <col min="9224" max="9224" width="10.875" style="483" customWidth="1"/>
    <col min="9225" max="9472" width="9" style="483"/>
    <col min="9473" max="9473" width="13.5" style="483" customWidth="1"/>
    <col min="9474" max="9474" width="6.5" style="483" customWidth="1"/>
    <col min="9475" max="9475" width="36.25" style="483" customWidth="1"/>
    <col min="9476" max="9476" width="9.875" style="483" customWidth="1"/>
    <col min="9477" max="9477" width="15.5" style="483" customWidth="1"/>
    <col min="9478" max="9479" width="9" style="483"/>
    <col min="9480" max="9480" width="10.875" style="483" customWidth="1"/>
    <col min="9481" max="9728" width="9" style="483"/>
    <col min="9729" max="9729" width="13.5" style="483" customWidth="1"/>
    <col min="9730" max="9730" width="6.5" style="483" customWidth="1"/>
    <col min="9731" max="9731" width="36.25" style="483" customWidth="1"/>
    <col min="9732" max="9732" width="9.875" style="483" customWidth="1"/>
    <col min="9733" max="9733" width="15.5" style="483" customWidth="1"/>
    <col min="9734" max="9735" width="9" style="483"/>
    <col min="9736" max="9736" width="10.875" style="483" customWidth="1"/>
    <col min="9737" max="9984" width="9" style="483"/>
    <col min="9985" max="9985" width="13.5" style="483" customWidth="1"/>
    <col min="9986" max="9986" width="6.5" style="483" customWidth="1"/>
    <col min="9987" max="9987" width="36.25" style="483" customWidth="1"/>
    <col min="9988" max="9988" width="9.875" style="483" customWidth="1"/>
    <col min="9989" max="9989" width="15.5" style="483" customWidth="1"/>
    <col min="9990" max="9991" width="9" style="483"/>
    <col min="9992" max="9992" width="10.875" style="483" customWidth="1"/>
    <col min="9993" max="10240" width="9" style="483"/>
    <col min="10241" max="10241" width="13.5" style="483" customWidth="1"/>
    <col min="10242" max="10242" width="6.5" style="483" customWidth="1"/>
    <col min="10243" max="10243" width="36.25" style="483" customWidth="1"/>
    <col min="10244" max="10244" width="9.875" style="483" customWidth="1"/>
    <col min="10245" max="10245" width="15.5" style="483" customWidth="1"/>
    <col min="10246" max="10247" width="9" style="483"/>
    <col min="10248" max="10248" width="10.875" style="483" customWidth="1"/>
    <col min="10249" max="10496" width="9" style="483"/>
    <col min="10497" max="10497" width="13.5" style="483" customWidth="1"/>
    <col min="10498" max="10498" width="6.5" style="483" customWidth="1"/>
    <col min="10499" max="10499" width="36.25" style="483" customWidth="1"/>
    <col min="10500" max="10500" width="9.875" style="483" customWidth="1"/>
    <col min="10501" max="10501" width="15.5" style="483" customWidth="1"/>
    <col min="10502" max="10503" width="9" style="483"/>
    <col min="10504" max="10504" width="10.875" style="483" customWidth="1"/>
    <col min="10505" max="10752" width="9" style="483"/>
    <col min="10753" max="10753" width="13.5" style="483" customWidth="1"/>
    <col min="10754" max="10754" width="6.5" style="483" customWidth="1"/>
    <col min="10755" max="10755" width="36.25" style="483" customWidth="1"/>
    <col min="10756" max="10756" width="9.875" style="483" customWidth="1"/>
    <col min="10757" max="10757" width="15.5" style="483" customWidth="1"/>
    <col min="10758" max="10759" width="9" style="483"/>
    <col min="10760" max="10760" width="10.875" style="483" customWidth="1"/>
    <col min="10761" max="11008" width="9" style="483"/>
    <col min="11009" max="11009" width="13.5" style="483" customWidth="1"/>
    <col min="11010" max="11010" width="6.5" style="483" customWidth="1"/>
    <col min="11011" max="11011" width="36.25" style="483" customWidth="1"/>
    <col min="11012" max="11012" width="9.875" style="483" customWidth="1"/>
    <col min="11013" max="11013" width="15.5" style="483" customWidth="1"/>
    <col min="11014" max="11015" width="9" style="483"/>
    <col min="11016" max="11016" width="10.875" style="483" customWidth="1"/>
    <col min="11017" max="11264" width="9" style="483"/>
    <col min="11265" max="11265" width="13.5" style="483" customWidth="1"/>
    <col min="11266" max="11266" width="6.5" style="483" customWidth="1"/>
    <col min="11267" max="11267" width="36.25" style="483" customWidth="1"/>
    <col min="11268" max="11268" width="9.875" style="483" customWidth="1"/>
    <col min="11269" max="11269" width="15.5" style="483" customWidth="1"/>
    <col min="11270" max="11271" width="9" style="483"/>
    <col min="11272" max="11272" width="10.875" style="483" customWidth="1"/>
    <col min="11273" max="11520" width="9" style="483"/>
    <col min="11521" max="11521" width="13.5" style="483" customWidth="1"/>
    <col min="11522" max="11522" width="6.5" style="483" customWidth="1"/>
    <col min="11523" max="11523" width="36.25" style="483" customWidth="1"/>
    <col min="11524" max="11524" width="9.875" style="483" customWidth="1"/>
    <col min="11525" max="11525" width="15.5" style="483" customWidth="1"/>
    <col min="11526" max="11527" width="9" style="483"/>
    <col min="11528" max="11528" width="10.875" style="483" customWidth="1"/>
    <col min="11529" max="11776" width="9" style="483"/>
    <col min="11777" max="11777" width="13.5" style="483" customWidth="1"/>
    <col min="11778" max="11778" width="6.5" style="483" customWidth="1"/>
    <col min="11779" max="11779" width="36.25" style="483" customWidth="1"/>
    <col min="11780" max="11780" width="9.875" style="483" customWidth="1"/>
    <col min="11781" max="11781" width="15.5" style="483" customWidth="1"/>
    <col min="11782" max="11783" width="9" style="483"/>
    <col min="11784" max="11784" width="10.875" style="483" customWidth="1"/>
    <col min="11785" max="12032" width="9" style="483"/>
    <col min="12033" max="12033" width="13.5" style="483" customWidth="1"/>
    <col min="12034" max="12034" width="6.5" style="483" customWidth="1"/>
    <col min="12035" max="12035" width="36.25" style="483" customWidth="1"/>
    <col min="12036" max="12036" width="9.875" style="483" customWidth="1"/>
    <col min="12037" max="12037" width="15.5" style="483" customWidth="1"/>
    <col min="12038" max="12039" width="9" style="483"/>
    <col min="12040" max="12040" width="10.875" style="483" customWidth="1"/>
    <col min="12041" max="12288" width="9" style="483"/>
    <col min="12289" max="12289" width="13.5" style="483" customWidth="1"/>
    <col min="12290" max="12290" width="6.5" style="483" customWidth="1"/>
    <col min="12291" max="12291" width="36.25" style="483" customWidth="1"/>
    <col min="12292" max="12292" width="9.875" style="483" customWidth="1"/>
    <col min="12293" max="12293" width="15.5" style="483" customWidth="1"/>
    <col min="12294" max="12295" width="9" style="483"/>
    <col min="12296" max="12296" width="10.875" style="483" customWidth="1"/>
    <col min="12297" max="12544" width="9" style="483"/>
    <col min="12545" max="12545" width="13.5" style="483" customWidth="1"/>
    <col min="12546" max="12546" width="6.5" style="483" customWidth="1"/>
    <col min="12547" max="12547" width="36.25" style="483" customWidth="1"/>
    <col min="12548" max="12548" width="9.875" style="483" customWidth="1"/>
    <col min="12549" max="12549" width="15.5" style="483" customWidth="1"/>
    <col min="12550" max="12551" width="9" style="483"/>
    <col min="12552" max="12552" width="10.875" style="483" customWidth="1"/>
    <col min="12553" max="12800" width="9" style="483"/>
    <col min="12801" max="12801" width="13.5" style="483" customWidth="1"/>
    <col min="12802" max="12802" width="6.5" style="483" customWidth="1"/>
    <col min="12803" max="12803" width="36.25" style="483" customWidth="1"/>
    <col min="12804" max="12804" width="9.875" style="483" customWidth="1"/>
    <col min="12805" max="12805" width="15.5" style="483" customWidth="1"/>
    <col min="12806" max="12807" width="9" style="483"/>
    <col min="12808" max="12808" width="10.875" style="483" customWidth="1"/>
    <col min="12809" max="13056" width="9" style="483"/>
    <col min="13057" max="13057" width="13.5" style="483" customWidth="1"/>
    <col min="13058" max="13058" width="6.5" style="483" customWidth="1"/>
    <col min="13059" max="13059" width="36.25" style="483" customWidth="1"/>
    <col min="13060" max="13060" width="9.875" style="483" customWidth="1"/>
    <col min="13061" max="13061" width="15.5" style="483" customWidth="1"/>
    <col min="13062" max="13063" width="9" style="483"/>
    <col min="13064" max="13064" width="10.875" style="483" customWidth="1"/>
    <col min="13065" max="13312" width="9" style="483"/>
    <col min="13313" max="13313" width="13.5" style="483" customWidth="1"/>
    <col min="13314" max="13314" width="6.5" style="483" customWidth="1"/>
    <col min="13315" max="13315" width="36.25" style="483" customWidth="1"/>
    <col min="13316" max="13316" width="9.875" style="483" customWidth="1"/>
    <col min="13317" max="13317" width="15.5" style="483" customWidth="1"/>
    <col min="13318" max="13319" width="9" style="483"/>
    <col min="13320" max="13320" width="10.875" style="483" customWidth="1"/>
    <col min="13321" max="13568" width="9" style="483"/>
    <col min="13569" max="13569" width="13.5" style="483" customWidth="1"/>
    <col min="13570" max="13570" width="6.5" style="483" customWidth="1"/>
    <col min="13571" max="13571" width="36.25" style="483" customWidth="1"/>
    <col min="13572" max="13572" width="9.875" style="483" customWidth="1"/>
    <col min="13573" max="13573" width="15.5" style="483" customWidth="1"/>
    <col min="13574" max="13575" width="9" style="483"/>
    <col min="13576" max="13576" width="10.875" style="483" customWidth="1"/>
    <col min="13577" max="13824" width="9" style="483"/>
    <col min="13825" max="13825" width="13.5" style="483" customWidth="1"/>
    <col min="13826" max="13826" width="6.5" style="483" customWidth="1"/>
    <col min="13827" max="13827" width="36.25" style="483" customWidth="1"/>
    <col min="13828" max="13828" width="9.875" style="483" customWidth="1"/>
    <col min="13829" max="13829" width="15.5" style="483" customWidth="1"/>
    <col min="13830" max="13831" width="9" style="483"/>
    <col min="13832" max="13832" width="10.875" style="483" customWidth="1"/>
    <col min="13833" max="14080" width="9" style="483"/>
    <col min="14081" max="14081" width="13.5" style="483" customWidth="1"/>
    <col min="14082" max="14082" width="6.5" style="483" customWidth="1"/>
    <col min="14083" max="14083" width="36.25" style="483" customWidth="1"/>
    <col min="14084" max="14084" width="9.875" style="483" customWidth="1"/>
    <col min="14085" max="14085" width="15.5" style="483" customWidth="1"/>
    <col min="14086" max="14087" width="9" style="483"/>
    <col min="14088" max="14088" width="10.875" style="483" customWidth="1"/>
    <col min="14089" max="14336" width="9" style="483"/>
    <col min="14337" max="14337" width="13.5" style="483" customWidth="1"/>
    <col min="14338" max="14338" width="6.5" style="483" customWidth="1"/>
    <col min="14339" max="14339" width="36.25" style="483" customWidth="1"/>
    <col min="14340" max="14340" width="9.875" style="483" customWidth="1"/>
    <col min="14341" max="14341" width="15.5" style="483" customWidth="1"/>
    <col min="14342" max="14343" width="9" style="483"/>
    <col min="14344" max="14344" width="10.875" style="483" customWidth="1"/>
    <col min="14345" max="14592" width="9" style="483"/>
    <col min="14593" max="14593" width="13.5" style="483" customWidth="1"/>
    <col min="14594" max="14594" width="6.5" style="483" customWidth="1"/>
    <col min="14595" max="14595" width="36.25" style="483" customWidth="1"/>
    <col min="14596" max="14596" width="9.875" style="483" customWidth="1"/>
    <col min="14597" max="14597" width="15.5" style="483" customWidth="1"/>
    <col min="14598" max="14599" width="9" style="483"/>
    <col min="14600" max="14600" width="10.875" style="483" customWidth="1"/>
    <col min="14601" max="14848" width="9" style="483"/>
    <col min="14849" max="14849" width="13.5" style="483" customWidth="1"/>
    <col min="14850" max="14850" width="6.5" style="483" customWidth="1"/>
    <col min="14851" max="14851" width="36.25" style="483" customWidth="1"/>
    <col min="14852" max="14852" width="9.875" style="483" customWidth="1"/>
    <col min="14853" max="14853" width="15.5" style="483" customWidth="1"/>
    <col min="14854" max="14855" width="9" style="483"/>
    <col min="14856" max="14856" width="10.875" style="483" customWidth="1"/>
    <col min="14857" max="15104" width="9" style="483"/>
    <col min="15105" max="15105" width="13.5" style="483" customWidth="1"/>
    <col min="15106" max="15106" width="6.5" style="483" customWidth="1"/>
    <col min="15107" max="15107" width="36.25" style="483" customWidth="1"/>
    <col min="15108" max="15108" width="9.875" style="483" customWidth="1"/>
    <col min="15109" max="15109" width="15.5" style="483" customWidth="1"/>
    <col min="15110" max="15111" width="9" style="483"/>
    <col min="15112" max="15112" width="10.875" style="483" customWidth="1"/>
    <col min="15113" max="15360" width="9" style="483"/>
    <col min="15361" max="15361" width="13.5" style="483" customWidth="1"/>
    <col min="15362" max="15362" width="6.5" style="483" customWidth="1"/>
    <col min="15363" max="15363" width="36.25" style="483" customWidth="1"/>
    <col min="15364" max="15364" width="9.875" style="483" customWidth="1"/>
    <col min="15365" max="15365" width="15.5" style="483" customWidth="1"/>
    <col min="15366" max="15367" width="9" style="483"/>
    <col min="15368" max="15368" width="10.875" style="483" customWidth="1"/>
    <col min="15369" max="15616" width="9" style="483"/>
    <col min="15617" max="15617" width="13.5" style="483" customWidth="1"/>
    <col min="15618" max="15618" width="6.5" style="483" customWidth="1"/>
    <col min="15619" max="15619" width="36.25" style="483" customWidth="1"/>
    <col min="15620" max="15620" width="9.875" style="483" customWidth="1"/>
    <col min="15621" max="15621" width="15.5" style="483" customWidth="1"/>
    <col min="15622" max="15623" width="9" style="483"/>
    <col min="15624" max="15624" width="10.875" style="483" customWidth="1"/>
    <col min="15625" max="15872" width="9" style="483"/>
    <col min="15873" max="15873" width="13.5" style="483" customWidth="1"/>
    <col min="15874" max="15874" width="6.5" style="483" customWidth="1"/>
    <col min="15875" max="15875" width="36.25" style="483" customWidth="1"/>
    <col min="15876" max="15876" width="9.875" style="483" customWidth="1"/>
    <col min="15877" max="15877" width="15.5" style="483" customWidth="1"/>
    <col min="15878" max="15879" width="9" style="483"/>
    <col min="15880" max="15880" width="10.875" style="483" customWidth="1"/>
    <col min="15881" max="16128" width="9" style="483"/>
    <col min="16129" max="16129" width="13.5" style="483" customWidth="1"/>
    <col min="16130" max="16130" width="6.5" style="483" customWidth="1"/>
    <col min="16131" max="16131" width="36.25" style="483" customWidth="1"/>
    <col min="16132" max="16132" width="9.875" style="483" customWidth="1"/>
    <col min="16133" max="16133" width="15.5" style="483" customWidth="1"/>
    <col min="16134" max="16135" width="9" style="483"/>
    <col min="16136" max="16136" width="10.875" style="483" customWidth="1"/>
    <col min="16137" max="16384" width="9" style="483"/>
  </cols>
  <sheetData>
    <row r="1" spans="1:5" ht="33" customHeight="1">
      <c r="A1" s="935" t="s">
        <v>623</v>
      </c>
      <c r="B1" s="936"/>
      <c r="C1" s="936"/>
      <c r="D1" s="936"/>
      <c r="E1" s="936"/>
    </row>
    <row r="2" spans="1:5" ht="18" customHeight="1">
      <c r="A2" s="717"/>
      <c r="B2" s="717"/>
      <c r="C2" s="717"/>
      <c r="D2" s="717"/>
      <c r="E2" s="717"/>
    </row>
    <row r="3" spans="1:5" ht="16.5" customHeight="1">
      <c r="A3" s="718" t="s">
        <v>624</v>
      </c>
      <c r="B3" s="937">
        <f>'QC Test Summary-Siemens'!C4</f>
        <v>0</v>
      </c>
      <c r="C3" s="937"/>
      <c r="D3" s="937"/>
      <c r="E3" s="937"/>
    </row>
    <row r="4" spans="1:5" ht="16.5" customHeight="1">
      <c r="A4" s="718" t="s">
        <v>625</v>
      </c>
      <c r="B4" s="938" t="str">
        <f>Sheet1!R17</f>
        <v/>
      </c>
      <c r="C4" s="938"/>
      <c r="D4" s="719" t="s">
        <v>41</v>
      </c>
      <c r="E4" s="720" t="str">
        <f>Sheet1!R18</f>
        <v/>
      </c>
    </row>
    <row r="5" spans="1:5" ht="16.5" customHeight="1">
      <c r="A5" s="718" t="s">
        <v>626</v>
      </c>
      <c r="B5" s="720" t="str">
        <f>Sheet1!V18</f>
        <v/>
      </c>
      <c r="C5" s="720"/>
      <c r="D5" s="719" t="s">
        <v>627</v>
      </c>
      <c r="E5" s="769" t="str">
        <f>Sheet1!V17</f>
        <v/>
      </c>
    </row>
    <row r="6" spans="1:5" ht="16.5" customHeight="1">
      <c r="A6" s="718" t="s">
        <v>628</v>
      </c>
      <c r="B6" s="938" t="str">
        <f>Sheet1!X7</f>
        <v>Eugene Mah</v>
      </c>
      <c r="C6" s="938"/>
      <c r="D6" s="719" t="s">
        <v>629</v>
      </c>
      <c r="E6" s="721" t="str">
        <f>Sheet1!R14</f>
        <v/>
      </c>
    </row>
    <row r="7" spans="1:5" ht="16.5" customHeight="1">
      <c r="A7" s="718" t="s">
        <v>630</v>
      </c>
      <c r="B7" s="938"/>
      <c r="C7" s="938"/>
      <c r="D7" s="719" t="s">
        <v>631</v>
      </c>
      <c r="E7" s="770">
        <f>Sheet1!P7</f>
        <v>0</v>
      </c>
    </row>
    <row r="8" spans="1:5" ht="21.75" customHeight="1" thickBot="1"/>
    <row r="9" spans="1:5" ht="35.25" customHeight="1" thickBot="1">
      <c r="A9" s="722" t="s">
        <v>632</v>
      </c>
      <c r="B9" s="723" t="s">
        <v>633</v>
      </c>
      <c r="C9" s="724" t="s">
        <v>634</v>
      </c>
      <c r="D9" s="723" t="s">
        <v>635</v>
      </c>
      <c r="E9" s="725" t="s">
        <v>752</v>
      </c>
    </row>
    <row r="10" spans="1:5" ht="33" customHeight="1" thickTop="1">
      <c r="A10" s="934" t="s">
        <v>636</v>
      </c>
      <c r="B10" s="726" t="s">
        <v>637</v>
      </c>
      <c r="C10" s="727" t="s">
        <v>638</v>
      </c>
      <c r="D10" s="728" t="s">
        <v>639</v>
      </c>
      <c r="E10" s="729"/>
    </row>
    <row r="11" spans="1:5" ht="25.5" customHeight="1" thickBot="1">
      <c r="A11" s="930"/>
      <c r="B11" s="730" t="s">
        <v>640</v>
      </c>
      <c r="C11" s="731" t="s">
        <v>641</v>
      </c>
      <c r="D11" s="732" t="s">
        <v>639</v>
      </c>
      <c r="E11" s="733"/>
    </row>
    <row r="12" spans="1:5" ht="33.75" customHeight="1">
      <c r="A12" s="925" t="s">
        <v>642</v>
      </c>
      <c r="B12" s="734" t="s">
        <v>643</v>
      </c>
      <c r="C12" s="735" t="s">
        <v>644</v>
      </c>
      <c r="D12" s="736" t="s">
        <v>645</v>
      </c>
      <c r="E12" s="737"/>
    </row>
    <row r="13" spans="1:5" ht="33.75" customHeight="1">
      <c r="A13" s="926"/>
      <c r="B13" s="738" t="s">
        <v>646</v>
      </c>
      <c r="C13" s="739" t="s">
        <v>647</v>
      </c>
      <c r="D13" s="740" t="s">
        <v>645</v>
      </c>
      <c r="E13" s="741"/>
    </row>
    <row r="14" spans="1:5" ht="34.5" customHeight="1" thickBot="1">
      <c r="A14" s="927"/>
      <c r="B14" s="742" t="s">
        <v>648</v>
      </c>
      <c r="C14" s="743" t="s">
        <v>649</v>
      </c>
      <c r="D14" s="732" t="s">
        <v>639</v>
      </c>
      <c r="E14" s="744"/>
    </row>
    <row r="15" spans="1:5" ht="56.25">
      <c r="A15" s="928" t="s">
        <v>650</v>
      </c>
      <c r="B15" s="745" t="s">
        <v>651</v>
      </c>
      <c r="C15" s="746" t="s">
        <v>652</v>
      </c>
      <c r="D15" s="736" t="s">
        <v>639</v>
      </c>
      <c r="E15" s="747"/>
    </row>
    <row r="16" spans="1:5" ht="54.75" customHeight="1" thickBot="1">
      <c r="A16" s="929"/>
      <c r="B16" s="730" t="s">
        <v>653</v>
      </c>
      <c r="C16" s="748" t="s">
        <v>702</v>
      </c>
      <c r="D16" s="732" t="s">
        <v>654</v>
      </c>
      <c r="E16" s="749"/>
    </row>
    <row r="17" spans="1:5" ht="33.75" customHeight="1">
      <c r="A17" s="920" t="s">
        <v>655</v>
      </c>
      <c r="B17" s="750" t="s">
        <v>656</v>
      </c>
      <c r="C17" s="735" t="s">
        <v>657</v>
      </c>
      <c r="D17" s="736" t="s">
        <v>639</v>
      </c>
      <c r="E17" s="751"/>
    </row>
    <row r="18" spans="1:5" ht="33.75" customHeight="1" thickBot="1">
      <c r="A18" s="930"/>
      <c r="B18" s="752" t="s">
        <v>658</v>
      </c>
      <c r="C18" s="753" t="s">
        <v>659</v>
      </c>
      <c r="D18" s="732" t="s">
        <v>639</v>
      </c>
      <c r="E18" s="733"/>
    </row>
    <row r="19" spans="1:5" ht="33.75">
      <c r="A19" s="931" t="s">
        <v>660</v>
      </c>
      <c r="B19" s="750" t="s">
        <v>661</v>
      </c>
      <c r="C19" s="735" t="s">
        <v>662</v>
      </c>
      <c r="D19" s="736" t="s">
        <v>639</v>
      </c>
      <c r="E19" s="751"/>
    </row>
    <row r="20" spans="1:5" ht="33.75" customHeight="1">
      <c r="A20" s="932"/>
      <c r="B20" s="754" t="s">
        <v>663</v>
      </c>
      <c r="C20" s="755" t="s">
        <v>664</v>
      </c>
      <c r="D20" s="728" t="s">
        <v>639</v>
      </c>
      <c r="E20" s="756"/>
    </row>
    <row r="21" spans="1:5" ht="54.75" customHeight="1" thickBot="1">
      <c r="A21" s="933"/>
      <c r="B21" s="752" t="s">
        <v>665</v>
      </c>
      <c r="C21" s="753" t="s">
        <v>666</v>
      </c>
      <c r="D21" s="732" t="s">
        <v>639</v>
      </c>
      <c r="E21" s="733"/>
    </row>
    <row r="22" spans="1:5" ht="33.75" customHeight="1">
      <c r="A22" s="920" t="s">
        <v>667</v>
      </c>
      <c r="B22" s="750" t="s">
        <v>668</v>
      </c>
      <c r="C22" s="735" t="s">
        <v>669</v>
      </c>
      <c r="D22" s="736" t="s">
        <v>639</v>
      </c>
      <c r="E22" s="751"/>
    </row>
    <row r="23" spans="1:5" ht="25.5" customHeight="1" thickBot="1">
      <c r="A23" s="930"/>
      <c r="B23" s="730" t="s">
        <v>670</v>
      </c>
      <c r="C23" s="743" t="s">
        <v>671</v>
      </c>
      <c r="D23" s="732" t="s">
        <v>639</v>
      </c>
      <c r="E23" s="749"/>
    </row>
    <row r="24" spans="1:5" ht="33.75">
      <c r="A24" s="931" t="s">
        <v>672</v>
      </c>
      <c r="B24" s="750" t="s">
        <v>673</v>
      </c>
      <c r="C24" s="735" t="s">
        <v>674</v>
      </c>
      <c r="D24" s="736" t="s">
        <v>639</v>
      </c>
      <c r="E24" s="751"/>
    </row>
    <row r="25" spans="1:5" ht="45.75" customHeight="1">
      <c r="A25" s="932"/>
      <c r="B25" s="754" t="s">
        <v>675</v>
      </c>
      <c r="C25" s="739" t="s">
        <v>676</v>
      </c>
      <c r="D25" s="728" t="s">
        <v>654</v>
      </c>
      <c r="E25" s="756"/>
    </row>
    <row r="26" spans="1:5" ht="46.5" customHeight="1">
      <c r="A26" s="932"/>
      <c r="B26" s="757" t="s">
        <v>677</v>
      </c>
      <c r="C26" s="739" t="s">
        <v>678</v>
      </c>
      <c r="D26" s="728" t="s">
        <v>639</v>
      </c>
      <c r="E26" s="756"/>
    </row>
    <row r="27" spans="1:5" ht="22.5">
      <c r="A27" s="932"/>
      <c r="B27" s="757" t="s">
        <v>679</v>
      </c>
      <c r="C27" s="739" t="s">
        <v>680</v>
      </c>
      <c r="D27" s="728" t="s">
        <v>639</v>
      </c>
      <c r="E27" s="756"/>
    </row>
    <row r="28" spans="1:5" ht="23.25" thickBot="1">
      <c r="A28" s="933"/>
      <c r="B28" s="758" t="s">
        <v>681</v>
      </c>
      <c r="C28" s="743" t="s">
        <v>682</v>
      </c>
      <c r="D28" s="732" t="s">
        <v>639</v>
      </c>
      <c r="E28" s="749"/>
    </row>
    <row r="29" spans="1:5" ht="22.5">
      <c r="A29" s="920" t="s">
        <v>683</v>
      </c>
      <c r="B29" s="759" t="s">
        <v>684</v>
      </c>
      <c r="C29" s="735" t="s">
        <v>685</v>
      </c>
      <c r="D29" s="736" t="s">
        <v>639</v>
      </c>
      <c r="E29" s="751"/>
    </row>
    <row r="30" spans="1:5" ht="54.75" customHeight="1">
      <c r="A30" s="921"/>
      <c r="B30" s="757" t="s">
        <v>686</v>
      </c>
      <c r="C30" s="739" t="s">
        <v>687</v>
      </c>
      <c r="D30" s="728" t="s">
        <v>639</v>
      </c>
      <c r="E30" s="756"/>
    </row>
    <row r="31" spans="1:5" ht="34.5" thickBot="1">
      <c r="A31" s="922"/>
      <c r="B31" s="758" t="s">
        <v>688</v>
      </c>
      <c r="C31" s="743" t="s">
        <v>689</v>
      </c>
      <c r="D31" s="732" t="s">
        <v>639</v>
      </c>
      <c r="E31" s="749"/>
    </row>
    <row r="32" spans="1:5" ht="46.5" customHeight="1">
      <c r="A32" s="920" t="s">
        <v>690</v>
      </c>
      <c r="B32" s="759" t="s">
        <v>691</v>
      </c>
      <c r="C32" s="735" t="s">
        <v>692</v>
      </c>
      <c r="D32" s="736" t="s">
        <v>645</v>
      </c>
      <c r="E32" s="751"/>
    </row>
    <row r="33" spans="1:5" ht="66.75" customHeight="1">
      <c r="A33" s="921"/>
      <c r="B33" s="757" t="s">
        <v>693</v>
      </c>
      <c r="C33" s="739" t="s">
        <v>753</v>
      </c>
      <c r="D33" s="740" t="s">
        <v>645</v>
      </c>
      <c r="E33" s="756"/>
    </row>
    <row r="34" spans="1:5" ht="34.5" thickBot="1">
      <c r="A34" s="922"/>
      <c r="B34" s="758" t="s">
        <v>694</v>
      </c>
      <c r="C34" s="743" t="s">
        <v>695</v>
      </c>
      <c r="D34" s="760" t="s">
        <v>645</v>
      </c>
      <c r="E34" s="749"/>
    </row>
    <row r="35" spans="1:5" ht="33.75" customHeight="1" thickBot="1">
      <c r="A35" s="761" t="s">
        <v>754</v>
      </c>
      <c r="B35" s="762">
        <v>11</v>
      </c>
      <c r="C35" s="763" t="s">
        <v>696</v>
      </c>
      <c r="D35" s="764" t="s">
        <v>645</v>
      </c>
      <c r="E35" s="765"/>
    </row>
    <row r="36" spans="1:5" ht="54.75" customHeight="1" thickBot="1">
      <c r="A36" s="761" t="s">
        <v>755</v>
      </c>
      <c r="B36" s="762">
        <v>12</v>
      </c>
      <c r="C36" s="763" t="s">
        <v>697</v>
      </c>
      <c r="D36" s="764" t="s">
        <v>645</v>
      </c>
      <c r="E36" s="765"/>
    </row>
    <row r="37" spans="1:5" ht="45.75" thickBot="1">
      <c r="A37" s="761" t="s">
        <v>756</v>
      </c>
      <c r="B37" s="762">
        <v>13</v>
      </c>
      <c r="C37" s="763" t="s">
        <v>698</v>
      </c>
      <c r="D37" s="764" t="s">
        <v>645</v>
      </c>
      <c r="E37" s="765"/>
    </row>
    <row r="38" spans="1:5" ht="46.5" customHeight="1" thickBot="1">
      <c r="A38" s="761" t="s">
        <v>757</v>
      </c>
      <c r="B38" s="762">
        <v>14</v>
      </c>
      <c r="C38" s="763" t="s">
        <v>699</v>
      </c>
      <c r="D38" s="764" t="s">
        <v>700</v>
      </c>
      <c r="E38" s="765"/>
    </row>
    <row r="39" spans="1:5" ht="46.5" customHeight="1" thickBot="1">
      <c r="A39" s="766" t="s">
        <v>758</v>
      </c>
      <c r="B39" s="767">
        <v>15</v>
      </c>
      <c r="C39" s="753" t="s">
        <v>701</v>
      </c>
      <c r="D39" s="732" t="s">
        <v>700</v>
      </c>
      <c r="E39" s="733"/>
    </row>
    <row r="40" spans="1:5">
      <c r="A40" s="923" t="s">
        <v>759</v>
      </c>
      <c r="B40" s="924"/>
      <c r="C40" s="924"/>
      <c r="D40" s="924"/>
      <c r="E40" s="924"/>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zoomScaleNormal="100" workbookViewId="0"/>
  </sheetViews>
  <sheetFormatPr defaultColWidth="9" defaultRowHeight="14.1" customHeight="1"/>
  <cols>
    <col min="1" max="1" width="2.375" style="535"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4"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773</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783</v>
      </c>
    </row>
    <row r="3" spans="1:44" ht="14.1" customHeight="1">
      <c r="A3" s="16">
        <v>3</v>
      </c>
      <c r="B3" s="25"/>
      <c r="C3" s="26"/>
      <c r="D3" s="26"/>
      <c r="E3" s="26"/>
      <c r="F3" s="26"/>
      <c r="G3" s="26"/>
      <c r="H3" s="27" t="s">
        <v>2</v>
      </c>
      <c r="I3" s="26"/>
      <c r="J3" s="26"/>
      <c r="K3" s="26"/>
      <c r="L3" s="26"/>
      <c r="M3" s="28"/>
      <c r="O3" s="29"/>
      <c r="T3" s="30" t="s">
        <v>2</v>
      </c>
      <c r="Y3" s="31"/>
      <c r="AA3" s="33" t="str">
        <f>IF(AB7="","",AB7)</f>
        <v>Page1,Page2,CollimArtifact,AECSNR,kVRepro,ExpLinHVL,Compg1</v>
      </c>
    </row>
    <row r="4" spans="1:44" ht="14.1" customHeight="1">
      <c r="A4" s="16">
        <v>4</v>
      </c>
      <c r="B4" s="25"/>
      <c r="C4" s="26"/>
      <c r="D4" s="26"/>
      <c r="E4" s="26"/>
      <c r="F4" s="26"/>
      <c r="G4" s="26"/>
      <c r="H4" s="26"/>
      <c r="I4" s="26"/>
      <c r="J4" s="26"/>
      <c r="K4" s="26"/>
      <c r="L4" s="26"/>
      <c r="M4" s="28"/>
      <c r="O4" s="29"/>
      <c r="T4" s="535"/>
      <c r="Y4" s="31"/>
      <c r="AA4" s="34" t="s">
        <v>3</v>
      </c>
      <c r="AB4" s="35" t="s">
        <v>783</v>
      </c>
    </row>
    <row r="5" spans="1:44" ht="14.1" customHeight="1">
      <c r="A5" s="16">
        <v>5</v>
      </c>
      <c r="B5" s="25"/>
      <c r="C5" s="26"/>
      <c r="D5" s="26"/>
      <c r="E5" s="26"/>
      <c r="F5" s="26"/>
      <c r="G5" s="26"/>
      <c r="H5" s="27" t="s">
        <v>4</v>
      </c>
      <c r="I5" s="26"/>
      <c r="J5" s="26"/>
      <c r="K5" s="26"/>
      <c r="L5" s="26"/>
      <c r="M5" s="28"/>
      <c r="O5" s="29"/>
      <c r="T5" s="30" t="s">
        <v>4</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5</v>
      </c>
      <c r="AB6" s="20" t="s">
        <v>6</v>
      </c>
      <c r="AD6" s="20" t="s">
        <v>7</v>
      </c>
    </row>
    <row r="7" spans="1:44" ht="14.1" customHeight="1" thickTop="1">
      <c r="A7" s="16">
        <v>7</v>
      </c>
      <c r="O7" s="20" t="s">
        <v>8</v>
      </c>
      <c r="P7" s="43"/>
      <c r="Q7" s="44"/>
      <c r="W7" s="20" t="s">
        <v>9</v>
      </c>
      <c r="X7" s="45" t="str">
        <f>IF(Y7&lt;&gt;"",Y7,IF(AB9="","",AB9))</f>
        <v>Eugene Mah</v>
      </c>
      <c r="Y7" s="46" t="s">
        <v>10</v>
      </c>
      <c r="AA7" s="34" t="s">
        <v>0</v>
      </c>
      <c r="AB7" s="47" t="s">
        <v>783</v>
      </c>
      <c r="AC7" s="48" t="str">
        <f t="shared" ref="AC7:AC19" si="0">IF(AB7&lt;&gt;AD7,"Change","")</f>
        <v/>
      </c>
      <c r="AD7" s="49" t="str">
        <f>IF(OR(AA2="",AA2=0),"",AA2)</f>
        <v>Page1,Page2,CollimArtifact,AECSNR,kVRepro,ExpLinHVL,Compg1</v>
      </c>
    </row>
    <row r="8" spans="1:44" ht="14.1" customHeight="1" thickBot="1">
      <c r="A8" s="16">
        <v>8</v>
      </c>
      <c r="G8" s="50"/>
      <c r="H8" s="50" t="s">
        <v>11</v>
      </c>
      <c r="O8" s="20" t="s">
        <v>12</v>
      </c>
      <c r="P8" s="51" t="str">
        <f>IF(AB8="","",AB8)</f>
        <v/>
      </c>
      <c r="Q8" s="52"/>
      <c r="T8" s="255" t="s">
        <v>11</v>
      </c>
      <c r="W8" s="53"/>
      <c r="X8" s="53"/>
      <c r="Y8" s="54"/>
      <c r="AA8" s="34" t="s">
        <v>13</v>
      </c>
      <c r="AB8" s="55"/>
      <c r="AC8" s="48" t="str">
        <f t="shared" si="0"/>
        <v/>
      </c>
      <c r="AD8" s="56" t="str">
        <f>IF(P7="","",P7)</f>
        <v/>
      </c>
    </row>
    <row r="9" spans="1:44" ht="14.1" customHeight="1" thickTop="1" thickBot="1">
      <c r="A9" s="16">
        <v>9</v>
      </c>
      <c r="B9" s="57"/>
      <c r="C9" s="58"/>
      <c r="D9" s="59" t="s">
        <v>14</v>
      </c>
      <c r="E9" s="58"/>
      <c r="F9" s="58"/>
      <c r="G9" s="58"/>
      <c r="H9" s="58"/>
      <c r="I9" s="58"/>
      <c r="J9" s="58"/>
      <c r="K9" s="58"/>
      <c r="L9" s="58"/>
      <c r="M9" s="60"/>
      <c r="O9" s="61"/>
      <c r="P9" s="62" t="s">
        <v>14</v>
      </c>
      <c r="Q9" s="22"/>
      <c r="R9" s="22"/>
      <c r="S9" s="63" t="s">
        <v>15</v>
      </c>
      <c r="T9" s="22"/>
      <c r="U9" s="22"/>
      <c r="V9" s="22"/>
      <c r="W9" s="63" t="s">
        <v>15</v>
      </c>
      <c r="X9" s="22"/>
      <c r="Y9" s="23"/>
      <c r="AA9" s="34" t="s">
        <v>16</v>
      </c>
      <c r="AB9" s="64" t="s">
        <v>10</v>
      </c>
      <c r="AC9" s="48" t="str">
        <f t="shared" si="0"/>
        <v/>
      </c>
      <c r="AD9" s="65" t="str">
        <f>IF(X7="","",X7)</f>
        <v>Eugene Mah</v>
      </c>
      <c r="AH9" s="535" t="s">
        <v>17</v>
      </c>
      <c r="AI9" s="535" t="s">
        <v>18</v>
      </c>
      <c r="AJ9" s="545" t="s">
        <v>19</v>
      </c>
      <c r="AK9" s="535" t="s">
        <v>20</v>
      </c>
      <c r="AL9" s="535" t="s">
        <v>21</v>
      </c>
      <c r="AM9" s="535" t="s">
        <v>22</v>
      </c>
      <c r="AN9" s="535" t="s">
        <v>23</v>
      </c>
      <c r="AO9" s="535" t="s">
        <v>24</v>
      </c>
      <c r="AP9" s="535" t="s">
        <v>25</v>
      </c>
      <c r="AQ9" s="771" t="s">
        <v>422</v>
      </c>
      <c r="AR9" s="535" t="s">
        <v>26</v>
      </c>
    </row>
    <row r="10" spans="1:44" ht="14.1" customHeight="1">
      <c r="A10" s="16">
        <v>10</v>
      </c>
      <c r="B10" s="66"/>
      <c r="C10" s="67"/>
      <c r="E10" s="34" t="s">
        <v>27</v>
      </c>
      <c r="F10" s="949" t="str">
        <f>IF(R10="","",R10)</f>
        <v/>
      </c>
      <c r="G10" s="949"/>
      <c r="J10" s="34" t="s">
        <v>28</v>
      </c>
      <c r="K10" s="942" t="str">
        <f>IF(V10="","",V10)</f>
        <v/>
      </c>
      <c r="L10" s="942"/>
      <c r="M10" s="68"/>
      <c r="O10" s="29"/>
      <c r="Q10" s="34" t="s">
        <v>27</v>
      </c>
      <c r="R10" s="45" t="str">
        <f>IF(S10&lt;&gt;"",S10,IF(AB10="","",AB10))</f>
        <v/>
      </c>
      <c r="S10" s="46"/>
      <c r="U10" s="34" t="s">
        <v>28</v>
      </c>
      <c r="V10" s="45" t="str">
        <f>IF(W10&lt;&gt;"",W10,IF(AB15="","",AB15))</f>
        <v/>
      </c>
      <c r="W10" s="46"/>
      <c r="Y10" s="31"/>
      <c r="AA10" s="34" t="s">
        <v>27</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30</v>
      </c>
      <c r="F11" s="950" t="str">
        <f>IF(R11="","",R11)</f>
        <v/>
      </c>
      <c r="G11" s="950"/>
      <c r="J11" s="34" t="s">
        <v>31</v>
      </c>
      <c r="K11" s="942" t="str">
        <f>IF(V11="","",V11)</f>
        <v/>
      </c>
      <c r="L11" s="942"/>
      <c r="M11" s="68"/>
      <c r="O11" s="29"/>
      <c r="Q11" s="34" t="s">
        <v>30</v>
      </c>
      <c r="R11" s="45" t="str">
        <f>IF(S11&lt;&gt;"",S11,IF(AB11="","",AB11))</f>
        <v/>
      </c>
      <c r="S11" s="46"/>
      <c r="U11" s="34" t="s">
        <v>31</v>
      </c>
      <c r="V11" s="45" t="str">
        <f>IF(W11&lt;&gt;"",W11,IF(AB16="","",AB16))</f>
        <v/>
      </c>
      <c r="W11" s="46"/>
      <c r="Y11" s="31"/>
      <c r="AA11" s="34" t="s">
        <v>30</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32</v>
      </c>
      <c r="F12" s="950" t="str">
        <f>IF(R12="","",R12)</f>
        <v/>
      </c>
      <c r="G12" s="950"/>
      <c r="J12" s="34" t="s">
        <v>33</v>
      </c>
      <c r="K12" s="948" t="str">
        <f>IF(V12="","",V12)</f>
        <v/>
      </c>
      <c r="L12" s="948"/>
      <c r="M12" s="68"/>
      <c r="O12" s="29"/>
      <c r="Q12" s="34" t="s">
        <v>32</v>
      </c>
      <c r="R12" s="45" t="str">
        <f>IF(S12&lt;&gt;"",S12,IF(AB12="","",AB12))</f>
        <v/>
      </c>
      <c r="S12" s="46"/>
      <c r="U12" s="34" t="s">
        <v>33</v>
      </c>
      <c r="V12" s="71" t="str">
        <f>IF(W12&lt;&gt;"",W12,IF(AB17="","",AB17))</f>
        <v/>
      </c>
      <c r="W12" s="72"/>
      <c r="Y12" s="31"/>
      <c r="AA12" s="34" t="s">
        <v>32</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34</v>
      </c>
      <c r="F13" s="950" t="str">
        <f>IF(R13="","",R13)</f>
        <v/>
      </c>
      <c r="G13" s="950"/>
      <c r="J13" s="34" t="s">
        <v>35</v>
      </c>
      <c r="K13" s="942" t="str">
        <f>IF(V13="","",V13)</f>
        <v/>
      </c>
      <c r="L13" s="942"/>
      <c r="M13" s="68"/>
      <c r="O13" s="29"/>
      <c r="Q13" s="34" t="s">
        <v>34</v>
      </c>
      <c r="R13" s="45" t="str">
        <f>IF(S13&lt;&gt;"",S13,IF(AB13="","",AB13))</f>
        <v/>
      </c>
      <c r="S13" s="46"/>
      <c r="U13" s="34" t="s">
        <v>35</v>
      </c>
      <c r="V13" s="45" t="str">
        <f>IF(W13&lt;&gt;"",W13,IF(AB18="","",AB18))</f>
        <v/>
      </c>
      <c r="W13" s="46"/>
      <c r="Y13" s="31"/>
      <c r="AA13" s="34" t="s">
        <v>34</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36</v>
      </c>
      <c r="R14" s="45" t="str">
        <f>IF(S14&lt;&gt;"",S14,IF(AB14="","",AB14))</f>
        <v/>
      </c>
      <c r="S14" s="46"/>
      <c r="U14" s="34" t="s">
        <v>37</v>
      </c>
      <c r="V14" s="45" t="str">
        <f>IF(W14&lt;&gt;"",W14,IF(AB19="","",AB19))</f>
        <v/>
      </c>
      <c r="W14" s="46"/>
      <c r="Y14" s="31"/>
      <c r="AA14" s="34" t="s">
        <v>36</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38</v>
      </c>
      <c r="M15" s="68"/>
      <c r="O15" s="29"/>
      <c r="Y15" s="31"/>
      <c r="AA15" s="34" t="s">
        <v>28</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39</v>
      </c>
      <c r="F16" s="942" t="str">
        <f>IF(R17="","",R17)</f>
        <v/>
      </c>
      <c r="G16" s="942"/>
      <c r="J16" s="34" t="s">
        <v>40</v>
      </c>
      <c r="K16" s="948" t="str">
        <f>IF(V17="","",V17)</f>
        <v/>
      </c>
      <c r="L16" s="948"/>
      <c r="M16" s="68"/>
      <c r="O16" s="29"/>
      <c r="P16" s="74" t="s">
        <v>38</v>
      </c>
      <c r="Y16" s="31"/>
      <c r="AA16" s="34" t="s">
        <v>31</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41</v>
      </c>
      <c r="F17" s="942" t="str">
        <f>IF(R18="","",R18)</f>
        <v/>
      </c>
      <c r="G17" s="942"/>
      <c r="J17" s="34" t="s">
        <v>42</v>
      </c>
      <c r="K17" s="951" t="str">
        <f>IF(V18="","",V18)</f>
        <v/>
      </c>
      <c r="L17" s="951"/>
      <c r="M17" s="68"/>
      <c r="O17" s="29"/>
      <c r="Q17" s="34" t="s">
        <v>39</v>
      </c>
      <c r="R17" s="45" t="str">
        <f>IF(S17&lt;&gt;"",S17,IF(AB21="","",AB21))</f>
        <v/>
      </c>
      <c r="S17" s="46"/>
      <c r="U17" s="34" t="s">
        <v>40</v>
      </c>
      <c r="V17" s="71" t="str">
        <f>IF(W17&lt;&gt;"",W17,IF(AB24="","",AB24))</f>
        <v/>
      </c>
      <c r="W17" s="75"/>
      <c r="Y17" s="31"/>
      <c r="AA17" s="34" t="s">
        <v>33</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43</v>
      </c>
      <c r="F18" s="942" t="str">
        <f>IF(R19="","",R19)</f>
        <v/>
      </c>
      <c r="G18" s="942"/>
      <c r="J18" s="34" t="s">
        <v>44</v>
      </c>
      <c r="K18" s="942" t="str">
        <f>IF(V19="","",V19)</f>
        <v/>
      </c>
      <c r="L18" s="942"/>
      <c r="M18" s="68"/>
      <c r="O18" s="29"/>
      <c r="Q18" s="34" t="s">
        <v>41</v>
      </c>
      <c r="R18" s="45" t="str">
        <f>IF(S18&lt;&gt;"",S18,IF(AB22="","",AB22))</f>
        <v/>
      </c>
      <c r="S18" s="46"/>
      <c r="U18" s="34" t="s">
        <v>42</v>
      </c>
      <c r="V18" s="45" t="str">
        <f>IF(W18&lt;&gt;"",W18,IF(AB25="","",AB25))</f>
        <v/>
      </c>
      <c r="W18" s="46"/>
      <c r="Y18" s="31"/>
      <c r="AA18" s="34" t="s">
        <v>35</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43</v>
      </c>
      <c r="R19" s="45" t="str">
        <f>IF(S19&lt;&gt;"",S19,IF(AB23="","",AB23))</f>
        <v/>
      </c>
      <c r="S19" s="46"/>
      <c r="U19" s="34" t="s">
        <v>44</v>
      </c>
      <c r="V19" s="45" t="str">
        <f>IF(W19&lt;&gt;"",W19,IF(AB26="","",AB26))</f>
        <v/>
      </c>
      <c r="W19" s="46"/>
      <c r="Y19" s="31"/>
      <c r="AA19" s="34" t="s">
        <v>45</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46</v>
      </c>
      <c r="J20" s="78"/>
      <c r="M20" s="68"/>
      <c r="O20" s="29"/>
      <c r="Y20" s="31"/>
      <c r="AA20" s="42" t="s">
        <v>38</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47</v>
      </c>
      <c r="F21" s="942" t="str">
        <f>IF(R22="","",R22)</f>
        <v/>
      </c>
      <c r="G21" s="942"/>
      <c r="J21" s="34" t="s">
        <v>48</v>
      </c>
      <c r="K21" s="942" t="str">
        <f>IF(V21="","",V21)</f>
        <v/>
      </c>
      <c r="L21" s="942"/>
      <c r="M21" s="68"/>
      <c r="O21" s="29"/>
      <c r="P21" s="74" t="s">
        <v>46</v>
      </c>
      <c r="U21" s="74" t="s">
        <v>48</v>
      </c>
      <c r="V21" s="45" t="str">
        <f>IF(W21&lt;&gt;"",W21,IF(AB38="","",AB38))</f>
        <v/>
      </c>
      <c r="W21" s="46"/>
      <c r="Y21" s="31"/>
      <c r="AA21" s="34" t="s">
        <v>39</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40</v>
      </c>
      <c r="F22" s="948" t="str">
        <f>IF(R23="","",R23)</f>
        <v/>
      </c>
      <c r="G22" s="948"/>
      <c r="J22" s="34"/>
      <c r="K22" s="942" t="str">
        <f>IF(V22="","",V22)</f>
        <v/>
      </c>
      <c r="L22" s="942"/>
      <c r="M22" s="68"/>
      <c r="O22" s="29"/>
      <c r="Q22" s="34" t="s">
        <v>47</v>
      </c>
      <c r="R22" s="45" t="str">
        <f>IF(S22&lt;&gt;"",S22,IF(AB28="","",AB28))</f>
        <v/>
      </c>
      <c r="S22" s="46"/>
      <c r="V22" s="45" t="str">
        <f>IF(W22&lt;&gt;"",W22,IF(AB39="","",AB39))</f>
        <v/>
      </c>
      <c r="W22" s="46"/>
      <c r="Y22" s="31"/>
      <c r="AA22" s="34" t="s">
        <v>41</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49</v>
      </c>
      <c r="J23" s="34" t="s">
        <v>50</v>
      </c>
      <c r="K23" s="942" t="str">
        <f>IF(V24="","",V24)</f>
        <v/>
      </c>
      <c r="L23" s="942"/>
      <c r="M23" s="68"/>
      <c r="O23" s="29"/>
      <c r="Q23" s="34" t="s">
        <v>40</v>
      </c>
      <c r="R23" s="71" t="str">
        <f>IF(S23&lt;&gt;"",S23,IF(AB29="","",AB29))</f>
        <v/>
      </c>
      <c r="S23" s="75"/>
      <c r="V23" s="4"/>
      <c r="W23" s="4"/>
      <c r="Y23" s="31"/>
      <c r="AA23" s="34" t="s">
        <v>43</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39</v>
      </c>
      <c r="F24" s="942" t="str">
        <f>IF(R25="","",R25)</f>
        <v/>
      </c>
      <c r="G24" s="942"/>
      <c r="K24" s="942" t="str">
        <f>IF(V25="","",V25)</f>
        <v/>
      </c>
      <c r="L24" s="942"/>
      <c r="M24" s="68"/>
      <c r="O24" s="29"/>
      <c r="P24" s="74" t="s">
        <v>49</v>
      </c>
      <c r="U24" s="74" t="s">
        <v>50</v>
      </c>
      <c r="V24" s="45" t="str">
        <f>IF(W24&lt;&gt;"",W24,IF(AB40="","",AB40))</f>
        <v/>
      </c>
      <c r="W24" s="46"/>
      <c r="Y24" s="31"/>
      <c r="AA24" s="34" t="s">
        <v>40</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41</v>
      </c>
      <c r="F25" s="942" t="str">
        <f>IF(R26="","",R26)</f>
        <v/>
      </c>
      <c r="G25" s="942"/>
      <c r="J25" s="4"/>
      <c r="K25" s="942" t="str">
        <f>IF(V26="","",V26)</f>
        <v/>
      </c>
      <c r="L25" s="942"/>
      <c r="M25" s="68"/>
      <c r="O25" s="29"/>
      <c r="Q25" s="34" t="s">
        <v>39</v>
      </c>
      <c r="R25" s="45" t="str">
        <f>IF(S25&lt;&gt;"",S25,IF(AB30="","",AB30))</f>
        <v/>
      </c>
      <c r="S25" s="46"/>
      <c r="V25" s="45" t="str">
        <f>IF(W25&lt;&gt;"",W25,IF(AB41="","",AB41))</f>
        <v/>
      </c>
      <c r="W25" s="46"/>
      <c r="Y25" s="31"/>
      <c r="AA25" s="34" t="s">
        <v>42</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42</v>
      </c>
      <c r="F26" s="942" t="str">
        <f>IF(R27="","",R27)</f>
        <v/>
      </c>
      <c r="G26" s="942"/>
      <c r="I26" s="74" t="s">
        <v>52</v>
      </c>
      <c r="J26" s="4"/>
      <c r="K26" s="4"/>
      <c r="L26" s="4"/>
      <c r="M26" s="68"/>
      <c r="O26" s="29"/>
      <c r="Q26" s="34" t="s">
        <v>41</v>
      </c>
      <c r="R26" s="45" t="str">
        <f>IF(S26&lt;&gt;"",S26,IF(AB31="","",AB31))</f>
        <v/>
      </c>
      <c r="S26" s="46"/>
      <c r="V26" s="4"/>
      <c r="W26" s="4"/>
      <c r="Y26" s="31"/>
      <c r="AA26" s="34" t="s">
        <v>44</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53</v>
      </c>
      <c r="J27" s="34" t="s">
        <v>54</v>
      </c>
      <c r="K27" s="942" t="str">
        <f>IF(V28="","",V28)</f>
        <v/>
      </c>
      <c r="L27" s="942"/>
      <c r="M27" s="68"/>
      <c r="O27" s="29"/>
      <c r="Q27" s="34" t="s">
        <v>42</v>
      </c>
      <c r="R27" s="45" t="str">
        <f>IF(S27&lt;&gt;"",S27,IF(AB32="","",AB32))</f>
        <v/>
      </c>
      <c r="S27" s="46"/>
      <c r="U27" s="78" t="s">
        <v>52</v>
      </c>
      <c r="Y27" s="31"/>
      <c r="AA27" s="74" t="s">
        <v>46</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39</v>
      </c>
      <c r="F28" s="942" t="str">
        <f>IF(R29="","",R29)</f>
        <v/>
      </c>
      <c r="G28" s="942"/>
      <c r="I28" s="4"/>
      <c r="J28" s="34" t="s">
        <v>55</v>
      </c>
      <c r="K28" s="942" t="str">
        <f>IF(V29="","",V29)</f>
        <v/>
      </c>
      <c r="L28" s="942"/>
      <c r="M28" s="68"/>
      <c r="O28" s="29"/>
      <c r="P28" s="74" t="s">
        <v>53</v>
      </c>
      <c r="U28" s="34" t="s">
        <v>54</v>
      </c>
      <c r="V28" s="45" t="str">
        <f>IF(W28&lt;&gt;"",W28,IF(AB36="","",AB36))</f>
        <v/>
      </c>
      <c r="W28" s="46"/>
      <c r="Y28" s="31"/>
      <c r="AA28" s="34" t="s">
        <v>47</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41</v>
      </c>
      <c r="F29" s="942" t="str">
        <f>IF(R30="","",R30)</f>
        <v/>
      </c>
      <c r="G29" s="942"/>
      <c r="I29" s="74" t="s">
        <v>56</v>
      </c>
      <c r="J29" s="34" t="s">
        <v>57</v>
      </c>
      <c r="K29" s="942" t="str">
        <f>IF(V32="","",V32)</f>
        <v/>
      </c>
      <c r="L29" s="942"/>
      <c r="M29" s="68"/>
      <c r="O29" s="29"/>
      <c r="Q29" s="34" t="s">
        <v>39</v>
      </c>
      <c r="R29" s="45" t="str">
        <f>IF(S29&lt;&gt;"",S29,IF(AB33="","",AB33))</f>
        <v/>
      </c>
      <c r="S29" s="46"/>
      <c r="U29" s="34" t="s">
        <v>55</v>
      </c>
      <c r="V29" s="45" t="str">
        <f>IF(W29&lt;&gt;"",W29,IF(AB37="","",AB37))</f>
        <v/>
      </c>
      <c r="W29" s="46"/>
      <c r="Y29" s="31"/>
      <c r="AA29" s="34" t="s">
        <v>40</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42</v>
      </c>
      <c r="F30" s="942" t="str">
        <f>IF(R31="","",R31)</f>
        <v/>
      </c>
      <c r="G30" s="942"/>
      <c r="J30" s="34" t="s">
        <v>58</v>
      </c>
      <c r="K30" s="942" t="str">
        <f>IF(V33="","",V33)</f>
        <v/>
      </c>
      <c r="L30" s="942"/>
      <c r="M30" s="68"/>
      <c r="O30" s="29"/>
      <c r="Q30" s="34" t="s">
        <v>41</v>
      </c>
      <c r="R30" s="45" t="str">
        <f>IF(S30&lt;&gt;"",S30,IF(AB34="","",AB34))</f>
        <v/>
      </c>
      <c r="S30" s="46"/>
      <c r="Y30" s="31"/>
      <c r="AA30" s="34" t="s">
        <v>39</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42</v>
      </c>
      <c r="R31" s="45" t="str">
        <f>IF(S31&lt;&gt;"",S31,IF(AB35="","",AB35))</f>
        <v/>
      </c>
      <c r="S31" s="46"/>
      <c r="U31" s="74" t="s">
        <v>56</v>
      </c>
      <c r="Y31" s="31"/>
      <c r="AA31" s="34" t="s">
        <v>41</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57</v>
      </c>
      <c r="V32" s="45" t="str">
        <f>IF(W32&lt;&gt;"",W32,IF(AB42="","",AB42))</f>
        <v/>
      </c>
      <c r="W32" s="46"/>
      <c r="Y32" s="31"/>
      <c r="AA32" s="34" t="s">
        <v>42</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59</v>
      </c>
      <c r="O33" s="95">
        <v>1</v>
      </c>
      <c r="P33" s="20" t="s">
        <v>622</v>
      </c>
      <c r="U33" s="34" t="s">
        <v>58</v>
      </c>
      <c r="V33" s="45" t="str">
        <f>IF(W33&lt;&gt;"",W33,IF(AB43="","",AB43))</f>
        <v/>
      </c>
      <c r="W33" s="46"/>
      <c r="Y33" s="31"/>
      <c r="AA33" s="34" t="s">
        <v>39</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873"/>
      <c r="P34" s="67" t="s">
        <v>764</v>
      </c>
      <c r="U34" s="4"/>
      <c r="V34" s="4"/>
      <c r="W34" s="4"/>
      <c r="Y34" s="31"/>
      <c r="AA34" s="34" t="s">
        <v>41</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60</v>
      </c>
      <c r="D35" s="952" t="s">
        <v>61</v>
      </c>
      <c r="E35" s="952"/>
      <c r="F35" s="952"/>
      <c r="G35" s="952" t="s">
        <v>62</v>
      </c>
      <c r="H35" s="952"/>
      <c r="I35" s="952"/>
      <c r="J35" s="952" t="s">
        <v>63</v>
      </c>
      <c r="K35" s="952"/>
      <c r="L35" s="952"/>
      <c r="M35" s="68"/>
      <c r="O35" s="869"/>
      <c r="P35" s="870" t="s">
        <v>781</v>
      </c>
      <c r="Q35" s="40"/>
      <c r="R35" s="40"/>
      <c r="S35" s="40"/>
      <c r="T35" s="40"/>
      <c r="U35" s="40"/>
      <c r="V35" s="40"/>
      <c r="W35" s="40"/>
      <c r="X35" s="40"/>
      <c r="Y35" s="41"/>
      <c r="AA35" s="34" t="s">
        <v>42</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64</v>
      </c>
      <c r="D36" s="530"/>
      <c r="E36" s="531"/>
      <c r="F36" s="536"/>
      <c r="G36" s="953" t="s">
        <v>65</v>
      </c>
      <c r="H36" s="953"/>
      <c r="I36" s="953"/>
      <c r="J36" s="530"/>
      <c r="K36" s="531"/>
      <c r="L36" s="536"/>
      <c r="M36" s="68"/>
      <c r="AA36" s="34" t="s">
        <v>54</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66</v>
      </c>
      <c r="D37" s="84" t="s">
        <v>67</v>
      </c>
      <c r="E37" s="85" t="s">
        <v>22</v>
      </c>
      <c r="F37" s="86" t="s">
        <v>68</v>
      </c>
      <c r="G37" s="84" t="s">
        <v>67</v>
      </c>
      <c r="H37" s="85" t="s">
        <v>22</v>
      </c>
      <c r="I37" s="86" t="s">
        <v>68</v>
      </c>
      <c r="J37" s="84" t="s">
        <v>67</v>
      </c>
      <c r="K37" s="85" t="s">
        <v>22</v>
      </c>
      <c r="L37" s="86" t="s">
        <v>68</v>
      </c>
      <c r="M37" s="68"/>
      <c r="T37" s="255" t="s">
        <v>69</v>
      </c>
      <c r="AA37" s="34" t="s">
        <v>55</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70</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71</v>
      </c>
      <c r="P38" s="22"/>
      <c r="Q38" s="22"/>
      <c r="R38" s="22"/>
      <c r="S38" s="22"/>
      <c r="T38" s="22"/>
      <c r="U38" s="22"/>
      <c r="V38" s="22"/>
      <c r="W38" s="22"/>
      <c r="X38" s="22"/>
      <c r="Y38" s="23"/>
      <c r="AA38" s="34" t="s">
        <v>72</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73</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74</v>
      </c>
      <c r="Y39" s="31"/>
      <c r="AA39" s="34" t="s">
        <v>75</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76</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782</v>
      </c>
      <c r="Y40" s="31"/>
      <c r="AA40" s="34" t="s">
        <v>78</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79</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80</v>
      </c>
      <c r="Y41" s="31"/>
      <c r="AA41" s="34" t="s">
        <v>81</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82</v>
      </c>
      <c r="Y42" s="31"/>
      <c r="AA42" s="34" t="s">
        <v>57</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69</v>
      </c>
      <c r="M43" s="68"/>
      <c r="O43" s="95"/>
      <c r="P43" s="35" t="s">
        <v>83</v>
      </c>
      <c r="Y43" s="31"/>
      <c r="AA43" s="34" t="s">
        <v>84</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85</v>
      </c>
      <c r="L44" s="954" t="s">
        <v>86</v>
      </c>
      <c r="M44" s="954"/>
      <c r="O44" s="871"/>
      <c r="P44" s="872" t="str">
        <f>IF(OR(O35="",O35=1),"Unit installed as shown on shielding plan","")</f>
        <v>Unit installed as shown on shielding plan</v>
      </c>
      <c r="Y44" s="31"/>
      <c r="AA44" s="74" t="s">
        <v>59</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87</v>
      </c>
      <c r="E45" s="35" t="s">
        <v>74</v>
      </c>
      <c r="L45" s="102" t="str">
        <f>IF(O39="","TBD",IF(O39=1,"YES",IF(O39=3,"NA","")))</f>
        <v>TBD</v>
      </c>
      <c r="M45" s="103" t="str">
        <f t="shared" ref="M45:M50" si="10">IF(O39=2,"NO","")</f>
        <v/>
      </c>
      <c r="O45" s="29"/>
      <c r="T45" s="255" t="s">
        <v>767</v>
      </c>
      <c r="Y45" s="31"/>
      <c r="AA45" s="42" t="s">
        <v>61</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89</v>
      </c>
      <c r="E46" s="35" t="s">
        <v>77</v>
      </c>
      <c r="L46" s="102" t="str">
        <f>IF(O40="","TBD",IF(O40=1,"YES",IF(O40=3,"NA","")))</f>
        <v>TBD</v>
      </c>
      <c r="M46" s="103" t="str">
        <f t="shared" si="10"/>
        <v/>
      </c>
      <c r="O46" s="95">
        <v>3</v>
      </c>
      <c r="P46" s="20" t="s">
        <v>491</v>
      </c>
      <c r="Y46" s="31"/>
      <c r="AA46" s="34" t="s">
        <v>91</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92</v>
      </c>
      <c r="E47" s="35" t="s">
        <v>80</v>
      </c>
      <c r="L47" s="102" t="str">
        <f>IF(O41="","TBD",IF(O41=1,"YES",IF(O41=3,"NA","")))</f>
        <v>TBD</v>
      </c>
      <c r="M47" s="103" t="str">
        <f t="shared" si="10"/>
        <v/>
      </c>
      <c r="O47" s="95"/>
      <c r="P47" s="20" t="s">
        <v>492</v>
      </c>
      <c r="Y47" s="31"/>
      <c r="AA47" s="34" t="s">
        <v>94</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82</v>
      </c>
      <c r="L48" s="102" t="str">
        <f>IF(O42="","TBD",IF(O42=1,"YES",IF(O42=3,"NA","")))</f>
        <v>TBD</v>
      </c>
      <c r="M48" s="103" t="str">
        <f t="shared" si="10"/>
        <v/>
      </c>
      <c r="O48" s="95"/>
      <c r="P48" s="20" t="s">
        <v>493</v>
      </c>
      <c r="Y48" s="31"/>
      <c r="AA48" s="34" t="s">
        <v>96</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83</v>
      </c>
      <c r="L49" s="102" t="str">
        <f>IF(O43="","TBD",IF(O43=1,"YES",IF(O43=3,"NA","")))</f>
        <v>TBD</v>
      </c>
      <c r="M49" s="103" t="str">
        <f t="shared" si="10"/>
        <v/>
      </c>
      <c r="O49" s="95"/>
      <c r="P49" s="20" t="s">
        <v>494</v>
      </c>
      <c r="Y49" s="31"/>
      <c r="AA49" s="34" t="s">
        <v>91</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495</v>
      </c>
      <c r="Y50" s="31"/>
      <c r="AA50" s="34" t="s">
        <v>94</v>
      </c>
      <c r="AB50" s="64"/>
      <c r="AD50" s="65" t="str">
        <f>IF(Q125="","",Q125)</f>
        <v/>
      </c>
    </row>
    <row r="51" spans="1:44" ht="14.1" customHeight="1">
      <c r="A51" s="16">
        <v>51</v>
      </c>
      <c r="B51" s="66"/>
      <c r="H51" s="255" t="s">
        <v>88</v>
      </c>
      <c r="M51" s="68"/>
      <c r="O51" s="95"/>
      <c r="P51" s="20" t="s">
        <v>496</v>
      </c>
      <c r="Y51" s="31"/>
      <c r="AA51" s="34" t="s">
        <v>96</v>
      </c>
      <c r="AB51" s="64"/>
      <c r="AD51" s="65" t="str">
        <f>IF(R125="","",R125)</f>
        <v/>
      </c>
    </row>
    <row r="52" spans="1:44" ht="14.1" customHeight="1">
      <c r="A52" s="16">
        <v>52</v>
      </c>
      <c r="B52" s="66"/>
      <c r="E52" s="67" t="s">
        <v>90</v>
      </c>
      <c r="L52" s="102" t="str">
        <f t="shared" ref="L52:L64" si="11">IF(O64="","TBD",IF(O64=1,"YES",IF(O64=3,"NA","")))</f>
        <v>TBD</v>
      </c>
      <c r="M52" s="103" t="str">
        <f t="shared" ref="M52:M64" si="12">IF(O64=2,"NO","")</f>
        <v/>
      </c>
      <c r="O52" s="95"/>
      <c r="P52" s="20" t="s">
        <v>497</v>
      </c>
      <c r="Y52" s="31"/>
      <c r="AA52" s="34" t="s">
        <v>91</v>
      </c>
      <c r="AB52" s="64"/>
      <c r="AD52" s="65" t="str">
        <f>IF(P126="","",P126)</f>
        <v/>
      </c>
    </row>
    <row r="53" spans="1:44" ht="14.1" customHeight="1">
      <c r="A53" s="16">
        <v>53</v>
      </c>
      <c r="B53" s="66"/>
      <c r="E53" s="67" t="s">
        <v>93</v>
      </c>
      <c r="L53" s="102" t="str">
        <f t="shared" si="11"/>
        <v>TBD</v>
      </c>
      <c r="M53" s="103" t="str">
        <f t="shared" si="12"/>
        <v/>
      </c>
      <c r="O53" s="95"/>
      <c r="P53" s="20" t="s">
        <v>498</v>
      </c>
      <c r="Y53" s="31"/>
      <c r="AA53" s="34" t="s">
        <v>94</v>
      </c>
      <c r="AB53" s="64"/>
      <c r="AD53" s="65" t="str">
        <f>IF(Q126="","",Q126)</f>
        <v/>
      </c>
    </row>
    <row r="54" spans="1:44" ht="14.1" customHeight="1">
      <c r="A54" s="16">
        <v>54</v>
      </c>
      <c r="B54" s="66"/>
      <c r="E54" s="67" t="s">
        <v>95</v>
      </c>
      <c r="L54" s="102" t="str">
        <f t="shared" si="11"/>
        <v>TBD</v>
      </c>
      <c r="M54" s="103" t="str">
        <f t="shared" si="12"/>
        <v/>
      </c>
      <c r="O54" s="95"/>
      <c r="P54" s="20" t="s">
        <v>499</v>
      </c>
      <c r="Y54" s="31"/>
      <c r="AA54" s="34" t="s">
        <v>96</v>
      </c>
      <c r="AB54" s="64"/>
      <c r="AD54" s="65" t="str">
        <f>IF(R126="","",R126)</f>
        <v/>
      </c>
    </row>
    <row r="55" spans="1:44" ht="14.1" customHeight="1">
      <c r="A55" s="16">
        <v>55</v>
      </c>
      <c r="B55" s="66"/>
      <c r="E55" s="67" t="s">
        <v>97</v>
      </c>
      <c r="L55" s="102" t="str">
        <f t="shared" si="11"/>
        <v>TBD</v>
      </c>
      <c r="M55" s="103" t="str">
        <f t="shared" si="12"/>
        <v/>
      </c>
      <c r="O55" s="95"/>
      <c r="P55" s="20" t="s">
        <v>500</v>
      </c>
      <c r="Y55" s="31"/>
      <c r="AA55" s="34" t="s">
        <v>91</v>
      </c>
      <c r="AB55" s="64"/>
      <c r="AD55" s="65" t="str">
        <f>IF(P127="","",P127)</f>
        <v/>
      </c>
      <c r="AH55"/>
      <c r="AI55"/>
      <c r="AJ55"/>
      <c r="AK55"/>
      <c r="AL55"/>
      <c r="AM55"/>
      <c r="AN55"/>
      <c r="AO55"/>
      <c r="AP55"/>
      <c r="AQ55"/>
      <c r="AR55"/>
    </row>
    <row r="56" spans="1:44" ht="14.1" customHeight="1">
      <c r="A56" s="16">
        <v>56</v>
      </c>
      <c r="B56" s="66"/>
      <c r="E56" s="67" t="s">
        <v>98</v>
      </c>
      <c r="L56" s="102" t="str">
        <f t="shared" si="11"/>
        <v>TBD</v>
      </c>
      <c r="M56" s="103" t="str">
        <f t="shared" si="12"/>
        <v/>
      </c>
      <c r="O56" s="95"/>
      <c r="P56" s="20" t="s">
        <v>501</v>
      </c>
      <c r="Y56" s="31"/>
      <c r="AA56" s="34" t="s">
        <v>94</v>
      </c>
      <c r="AB56" s="64"/>
      <c r="AD56" s="65"/>
      <c r="AH56"/>
      <c r="AI56"/>
      <c r="AJ56"/>
      <c r="AK56"/>
      <c r="AL56"/>
      <c r="AM56"/>
      <c r="AN56"/>
      <c r="AO56"/>
      <c r="AP56"/>
      <c r="AQ56"/>
      <c r="AR56"/>
    </row>
    <row r="57" spans="1:44" ht="14.1" customHeight="1">
      <c r="A57" s="16">
        <v>57</v>
      </c>
      <c r="B57" s="66"/>
      <c r="E57" s="67" t="s">
        <v>99</v>
      </c>
      <c r="L57" s="102" t="str">
        <f t="shared" si="11"/>
        <v>TBD</v>
      </c>
      <c r="M57" s="103" t="str">
        <f t="shared" si="12"/>
        <v/>
      </c>
      <c r="O57" s="95"/>
      <c r="P57" s="20" t="s">
        <v>502</v>
      </c>
      <c r="Y57" s="31"/>
      <c r="AA57" s="34" t="s">
        <v>96</v>
      </c>
      <c r="AB57" s="64"/>
      <c r="AD57" s="65"/>
      <c r="AH57"/>
      <c r="AI57"/>
      <c r="AJ57"/>
      <c r="AK57"/>
      <c r="AL57"/>
      <c r="AM57"/>
      <c r="AN57"/>
      <c r="AO57"/>
      <c r="AP57"/>
      <c r="AQ57"/>
      <c r="AR57"/>
    </row>
    <row r="58" spans="1:44" ht="14.1" customHeight="1">
      <c r="A58" s="16">
        <v>58</v>
      </c>
      <c r="B58" s="66"/>
      <c r="E58" s="67" t="s">
        <v>105</v>
      </c>
      <c r="L58" s="102" t="str">
        <f t="shared" si="11"/>
        <v>TBD</v>
      </c>
      <c r="M58" s="103" t="str">
        <f t="shared" si="12"/>
        <v/>
      </c>
      <c r="O58" s="95"/>
      <c r="P58" s="20" t="s">
        <v>503</v>
      </c>
      <c r="Y58" s="31"/>
      <c r="AA58" s="42" t="s">
        <v>108</v>
      </c>
      <c r="AH58"/>
      <c r="AI58"/>
      <c r="AJ58"/>
      <c r="AK58"/>
      <c r="AL58"/>
      <c r="AM58"/>
      <c r="AN58"/>
      <c r="AO58"/>
      <c r="AP58"/>
      <c r="AQ58"/>
      <c r="AR58"/>
    </row>
    <row r="59" spans="1:44" ht="14.1" customHeight="1">
      <c r="A59" s="16">
        <v>59</v>
      </c>
      <c r="B59" s="66"/>
      <c r="E59" s="67" t="s">
        <v>101</v>
      </c>
      <c r="L59" s="102" t="str">
        <f t="shared" si="11"/>
        <v>TBD</v>
      </c>
      <c r="M59" s="103" t="str">
        <f t="shared" si="12"/>
        <v/>
      </c>
      <c r="O59" s="95"/>
      <c r="P59" s="20" t="s">
        <v>504</v>
      </c>
      <c r="Y59" s="31"/>
      <c r="AA59" s="34" t="s">
        <v>91</v>
      </c>
      <c r="AB59" s="64"/>
      <c r="AD59" s="65" t="str">
        <f>IF(S124="","",S124)</f>
        <v/>
      </c>
      <c r="AH59"/>
      <c r="AI59"/>
      <c r="AJ59"/>
      <c r="AK59"/>
      <c r="AL59"/>
      <c r="AM59"/>
      <c r="AN59"/>
      <c r="AO59"/>
      <c r="AP59"/>
      <c r="AQ59"/>
      <c r="AR59"/>
    </row>
    <row r="60" spans="1:44" ht="14.1" customHeight="1">
      <c r="A60" s="16">
        <v>60</v>
      </c>
      <c r="B60" s="66"/>
      <c r="E60" s="67" t="s">
        <v>102</v>
      </c>
      <c r="L60" s="102" t="str">
        <f t="shared" si="11"/>
        <v>TBD</v>
      </c>
      <c r="M60" s="103" t="str">
        <f t="shared" si="12"/>
        <v/>
      </c>
      <c r="O60" s="95"/>
      <c r="P60" s="20" t="s">
        <v>505</v>
      </c>
      <c r="Y60" s="31"/>
      <c r="AA60" s="34" t="s">
        <v>94</v>
      </c>
      <c r="AB60" s="64"/>
      <c r="AD60" s="65" t="str">
        <f>IF(T124="","",T124)</f>
        <v/>
      </c>
      <c r="AH60"/>
      <c r="AI60"/>
      <c r="AJ60"/>
      <c r="AK60"/>
      <c r="AL60"/>
      <c r="AM60"/>
      <c r="AN60"/>
      <c r="AO60"/>
      <c r="AP60"/>
      <c r="AQ60"/>
      <c r="AR60"/>
    </row>
    <row r="61" spans="1:44" ht="14.1" customHeight="1">
      <c r="A61" s="16">
        <v>61</v>
      </c>
      <c r="B61" s="66"/>
      <c r="E61" s="67" t="s">
        <v>103</v>
      </c>
      <c r="L61" s="102" t="str">
        <f t="shared" si="11"/>
        <v>TBD</v>
      </c>
      <c r="M61" s="103" t="str">
        <f t="shared" si="12"/>
        <v/>
      </c>
      <c r="O61" s="95"/>
      <c r="P61" s="20" t="s">
        <v>506</v>
      </c>
      <c r="Y61" s="31"/>
      <c r="AA61" s="34" t="s">
        <v>96</v>
      </c>
      <c r="AB61" s="64"/>
      <c r="AD61" s="65" t="str">
        <f>IF(U124="","",U124)</f>
        <v/>
      </c>
      <c r="AH61"/>
      <c r="AI61"/>
      <c r="AJ61"/>
      <c r="AK61"/>
      <c r="AL61"/>
      <c r="AM61"/>
      <c r="AN61"/>
      <c r="AO61"/>
      <c r="AP61"/>
      <c r="AQ61"/>
      <c r="AR61"/>
    </row>
    <row r="62" spans="1:44" ht="14.1" customHeight="1">
      <c r="A62" s="16">
        <v>62</v>
      </c>
      <c r="B62" s="66"/>
      <c r="E62" s="67" t="s">
        <v>104</v>
      </c>
      <c r="L62" s="102" t="str">
        <f t="shared" si="11"/>
        <v>TBD</v>
      </c>
      <c r="M62" s="103" t="str">
        <f t="shared" si="12"/>
        <v/>
      </c>
      <c r="O62" s="95"/>
      <c r="P62" s="20" t="s">
        <v>605</v>
      </c>
      <c r="Y62" s="31"/>
      <c r="AA62" s="34" t="s">
        <v>91</v>
      </c>
      <c r="AB62" s="64"/>
      <c r="AD62" s="65" t="str">
        <f>IF(S125="","",S125)</f>
        <v/>
      </c>
      <c r="AH62"/>
      <c r="AI62"/>
      <c r="AJ62"/>
      <c r="AK62"/>
      <c r="AL62"/>
      <c r="AM62"/>
      <c r="AN62"/>
      <c r="AO62"/>
      <c r="AP62"/>
      <c r="AQ62"/>
      <c r="AR62"/>
    </row>
    <row r="63" spans="1:44" ht="14.1" customHeight="1">
      <c r="A63" s="16">
        <v>63</v>
      </c>
      <c r="B63" s="66"/>
      <c r="E63" s="67" t="s">
        <v>111</v>
      </c>
      <c r="L63" s="102" t="str">
        <f t="shared" si="11"/>
        <v>TBD</v>
      </c>
      <c r="M63" s="103" t="str">
        <f t="shared" si="12"/>
        <v/>
      </c>
      <c r="O63" s="29"/>
      <c r="T63" s="255" t="s">
        <v>88</v>
      </c>
      <c r="Y63" s="31"/>
      <c r="AA63" s="34" t="s">
        <v>94</v>
      </c>
      <c r="AB63" s="64"/>
      <c r="AD63" s="65" t="str">
        <f>IF(T125="","",T125)</f>
        <v/>
      </c>
      <c r="AH63"/>
      <c r="AI63"/>
      <c r="AJ63"/>
      <c r="AK63"/>
      <c r="AL63"/>
      <c r="AM63"/>
      <c r="AN63"/>
      <c r="AO63"/>
      <c r="AP63"/>
      <c r="AQ63"/>
      <c r="AR63"/>
    </row>
    <row r="64" spans="1:44" ht="14.1" customHeight="1">
      <c r="A64" s="16">
        <v>64</v>
      </c>
      <c r="B64" s="66"/>
      <c r="C64" s="67"/>
      <c r="D64" s="67"/>
      <c r="E64" s="20" t="s">
        <v>113</v>
      </c>
      <c r="L64" s="102" t="str">
        <f t="shared" si="11"/>
        <v>TBD</v>
      </c>
      <c r="M64" s="103" t="str">
        <f t="shared" si="12"/>
        <v/>
      </c>
      <c r="O64" s="95"/>
      <c r="P64" s="67" t="s">
        <v>90</v>
      </c>
      <c r="Y64" s="31"/>
      <c r="AA64" s="34" t="s">
        <v>96</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93</v>
      </c>
      <c r="Y65" s="31"/>
      <c r="AA65" s="34" t="s">
        <v>91</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95</v>
      </c>
      <c r="Y66" s="31"/>
      <c r="AA66" s="34" t="s">
        <v>94</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97</v>
      </c>
      <c r="Y67" s="31"/>
      <c r="AA67" s="34" t="s">
        <v>96</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98</v>
      </c>
      <c r="Y68" s="31"/>
      <c r="AA68" s="34" t="s">
        <v>91</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99</v>
      </c>
      <c r="Y69" s="31"/>
      <c r="AA69" s="34" t="s">
        <v>94</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100</v>
      </c>
      <c r="Y70" s="31"/>
      <c r="AA70" s="34" t="s">
        <v>96</v>
      </c>
      <c r="AB70" s="64"/>
      <c r="AD70" s="65" t="str">
        <f>IF(U127="","",U127)</f>
        <v/>
      </c>
      <c r="AH70"/>
      <c r="AI70"/>
      <c r="AJ70"/>
      <c r="AK70"/>
      <c r="AL70"/>
      <c r="AM70"/>
      <c r="AN70"/>
      <c r="AO70"/>
      <c r="AP70"/>
      <c r="AQ70"/>
      <c r="AR70"/>
    </row>
    <row r="71" spans="1:44" ht="14.1" customHeight="1" thickTop="1">
      <c r="A71" s="16">
        <v>71</v>
      </c>
      <c r="C71" s="108" t="s">
        <v>8</v>
      </c>
      <c r="D71" s="367" t="str">
        <f>IF($P$7="","",$P$7)</f>
        <v/>
      </c>
      <c r="E71" s="26"/>
      <c r="F71" s="26"/>
      <c r="G71" s="26"/>
      <c r="H71" s="26"/>
      <c r="I71" s="26"/>
      <c r="J71" s="26"/>
      <c r="K71" s="26"/>
      <c r="L71" s="108" t="s">
        <v>9</v>
      </c>
      <c r="M71" s="368" t="str">
        <f>IF($X$7="","",$X$7)</f>
        <v>Eugene Mah</v>
      </c>
      <c r="O71" s="95"/>
      <c r="P71" s="67" t="s">
        <v>101</v>
      </c>
      <c r="Y71" s="31"/>
      <c r="AA71" s="42" t="s">
        <v>63</v>
      </c>
      <c r="AH71"/>
      <c r="AI71"/>
      <c r="AJ71"/>
      <c r="AK71"/>
      <c r="AL71"/>
      <c r="AM71"/>
      <c r="AN71"/>
      <c r="AO71"/>
      <c r="AP71"/>
      <c r="AQ71"/>
      <c r="AR71"/>
    </row>
    <row r="72" spans="1:44" ht="14.1" customHeight="1">
      <c r="A72" s="16">
        <v>72</v>
      </c>
      <c r="C72" s="108" t="s">
        <v>117</v>
      </c>
      <c r="D72" s="368" t="str">
        <f>IF($R$14="","",$R$14)</f>
        <v/>
      </c>
      <c r="E72" s="26"/>
      <c r="F72" s="26"/>
      <c r="G72" s="26"/>
      <c r="H72" s="26"/>
      <c r="I72" s="26"/>
      <c r="J72" s="26"/>
      <c r="K72" s="26"/>
      <c r="L72" s="108" t="s">
        <v>34</v>
      </c>
      <c r="M72" s="368" t="str">
        <f>IF($R$13="","",$R$13)</f>
        <v/>
      </c>
      <c r="O72" s="95"/>
      <c r="P72" s="67" t="s">
        <v>102</v>
      </c>
      <c r="Y72" s="31"/>
      <c r="AA72" s="34" t="s">
        <v>91</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103</v>
      </c>
      <c r="Y73" s="31"/>
      <c r="AA73" s="34" t="s">
        <v>94</v>
      </c>
      <c r="AB73" s="64"/>
      <c r="AD73" s="65" t="str">
        <f>IF(W124="","",W124)</f>
        <v/>
      </c>
      <c r="AH73"/>
      <c r="AI73"/>
      <c r="AJ73"/>
      <c r="AK73"/>
      <c r="AL73"/>
      <c r="AM73"/>
      <c r="AN73"/>
      <c r="AO73"/>
      <c r="AP73"/>
      <c r="AQ73"/>
      <c r="AR73"/>
    </row>
    <row r="74" spans="1:44" ht="14.1" customHeight="1" thickBot="1">
      <c r="A74" s="16">
        <v>2</v>
      </c>
      <c r="H74" s="50" t="s">
        <v>69</v>
      </c>
      <c r="M74" s="112" t="str">
        <f>$H$5</f>
        <v>Mammography System Compliance Inspection</v>
      </c>
      <c r="O74" s="95"/>
      <c r="P74" s="67" t="s">
        <v>104</v>
      </c>
      <c r="Y74" s="31"/>
      <c r="AA74" s="34" t="s">
        <v>96</v>
      </c>
      <c r="AB74" s="64"/>
      <c r="AD74" s="65" t="str">
        <f>IF(X124="","",X124)</f>
        <v/>
      </c>
      <c r="AH74"/>
      <c r="AI74"/>
      <c r="AJ74"/>
      <c r="AK74"/>
      <c r="AL74"/>
      <c r="AM74"/>
      <c r="AN74"/>
      <c r="AO74"/>
      <c r="AP74"/>
      <c r="AQ74"/>
      <c r="AR74"/>
    </row>
    <row r="75" spans="1:44" ht="14.1" customHeight="1" thickTop="1">
      <c r="A75" s="16">
        <v>3</v>
      </c>
      <c r="B75" s="57"/>
      <c r="C75" s="113" t="s">
        <v>85</v>
      </c>
      <c r="D75" s="58"/>
      <c r="E75" s="58"/>
      <c r="F75" s="58"/>
      <c r="G75" s="58"/>
      <c r="H75" s="114" t="s">
        <v>109</v>
      </c>
      <c r="I75" s="58"/>
      <c r="J75" s="58"/>
      <c r="K75" s="58"/>
      <c r="L75" s="58"/>
      <c r="M75" s="60"/>
      <c r="O75" s="95"/>
      <c r="P75" s="67" t="s">
        <v>106</v>
      </c>
      <c r="Y75" s="31"/>
      <c r="AA75" s="34" t="s">
        <v>91</v>
      </c>
      <c r="AB75" s="64"/>
      <c r="AD75" s="65" t="str">
        <f>IF(V125="","",V125)</f>
        <v/>
      </c>
      <c r="AH75"/>
      <c r="AI75"/>
      <c r="AJ75"/>
      <c r="AK75"/>
      <c r="AL75"/>
      <c r="AM75"/>
      <c r="AN75"/>
      <c r="AO75"/>
      <c r="AP75"/>
      <c r="AQ75"/>
      <c r="AR75"/>
    </row>
    <row r="76" spans="1:44" ht="14.1" customHeight="1">
      <c r="A76" s="16">
        <v>4</v>
      </c>
      <c r="B76" s="66"/>
      <c r="C76" s="67" t="s">
        <v>122</v>
      </c>
      <c r="D76" s="67"/>
      <c r="E76" s="67" t="s">
        <v>123</v>
      </c>
      <c r="F76" s="67"/>
      <c r="G76" s="67"/>
      <c r="H76" s="67"/>
      <c r="I76" s="67"/>
      <c r="J76" s="67"/>
      <c r="K76" s="67"/>
      <c r="L76" s="146" t="str">
        <f t="shared" ref="L76:L107" si="13">IF(O79="","TBD",IF(O79=1,"YES",IF(O79=3,"NA","")))</f>
        <v>TBD</v>
      </c>
      <c r="M76" s="103" t="str">
        <f t="shared" ref="M76:M107" si="14">IF(O79=2,"NO","")</f>
        <v/>
      </c>
      <c r="O76" s="95"/>
      <c r="P76" s="20" t="s">
        <v>107</v>
      </c>
      <c r="Y76" s="31"/>
      <c r="AA76" s="34" t="s">
        <v>94</v>
      </c>
      <c r="AB76" s="64"/>
      <c r="AD76" s="65" t="str">
        <f>IF(W125="","",W125)</f>
        <v/>
      </c>
      <c r="AH76"/>
      <c r="AI76"/>
      <c r="AJ76"/>
      <c r="AK76"/>
      <c r="AL76"/>
      <c r="AM76"/>
      <c r="AN76"/>
      <c r="AO76"/>
      <c r="AP76"/>
      <c r="AQ76"/>
      <c r="AR76"/>
    </row>
    <row r="77" spans="1:44" ht="14.1" customHeight="1">
      <c r="A77" s="16">
        <v>5</v>
      </c>
      <c r="B77" s="66"/>
      <c r="C77" s="67" t="s">
        <v>125</v>
      </c>
      <c r="D77" s="67"/>
      <c r="E77" s="67" t="s">
        <v>126</v>
      </c>
      <c r="F77" s="67"/>
      <c r="G77" s="67"/>
      <c r="H77" s="67"/>
      <c r="I77" s="67"/>
      <c r="J77" s="67"/>
      <c r="K77" s="67"/>
      <c r="L77" s="146" t="str">
        <f t="shared" si="13"/>
        <v>TBD</v>
      </c>
      <c r="M77" s="103" t="str">
        <f t="shared" si="14"/>
        <v/>
      </c>
      <c r="O77" s="29"/>
      <c r="Y77" s="31"/>
      <c r="AA77" s="34" t="s">
        <v>96</v>
      </c>
      <c r="AB77" s="64"/>
      <c r="AD77" s="65" t="str">
        <f>IF(X125="","",X125)</f>
        <v/>
      </c>
      <c r="AH77"/>
      <c r="AI77"/>
      <c r="AJ77"/>
      <c r="AK77"/>
      <c r="AL77"/>
      <c r="AM77"/>
      <c r="AN77"/>
      <c r="AO77"/>
      <c r="AP77"/>
      <c r="AQ77"/>
      <c r="AR77"/>
    </row>
    <row r="78" spans="1:44" ht="14.1" customHeight="1">
      <c r="A78" s="16">
        <v>6</v>
      </c>
      <c r="B78" s="66"/>
      <c r="C78" s="67" t="s">
        <v>128</v>
      </c>
      <c r="D78" s="67"/>
      <c r="E78" s="67" t="s">
        <v>114</v>
      </c>
      <c r="F78" s="67"/>
      <c r="G78" s="67"/>
      <c r="H78" s="67"/>
      <c r="I78" s="67"/>
      <c r="J78" s="67"/>
      <c r="K78" s="67"/>
      <c r="L78" s="146" t="str">
        <f t="shared" si="13"/>
        <v>TBD</v>
      </c>
      <c r="M78" s="103" t="str">
        <f t="shared" si="14"/>
        <v/>
      </c>
      <c r="O78" s="29"/>
      <c r="T78" s="255" t="s">
        <v>109</v>
      </c>
      <c r="Y78" s="31"/>
      <c r="AA78" s="34" t="s">
        <v>91</v>
      </c>
      <c r="AB78" s="64"/>
      <c r="AD78" s="65" t="str">
        <f>IF(V126="","",V126)</f>
        <v/>
      </c>
      <c r="AH78"/>
      <c r="AI78"/>
      <c r="AJ78"/>
      <c r="AK78"/>
      <c r="AL78"/>
      <c r="AM78"/>
      <c r="AN78"/>
      <c r="AO78"/>
      <c r="AP78"/>
      <c r="AQ78"/>
      <c r="AR78"/>
    </row>
    <row r="79" spans="1:44" ht="14.1" customHeight="1">
      <c r="A79" s="16">
        <v>7</v>
      </c>
      <c r="B79" s="66"/>
      <c r="C79" s="67" t="s">
        <v>130</v>
      </c>
      <c r="D79" s="67"/>
      <c r="E79" s="67" t="s">
        <v>131</v>
      </c>
      <c r="F79" s="67"/>
      <c r="G79" s="67"/>
      <c r="H79" s="67"/>
      <c r="I79" s="67"/>
      <c r="J79" s="67"/>
      <c r="K79" s="67"/>
      <c r="L79" s="146" t="str">
        <f t="shared" si="13"/>
        <v>TBD</v>
      </c>
      <c r="M79" s="103" t="str">
        <f t="shared" si="14"/>
        <v/>
      </c>
      <c r="O79" s="95"/>
      <c r="P79" s="20" t="s">
        <v>110</v>
      </c>
      <c r="Y79" s="31"/>
      <c r="AA79" s="34" t="s">
        <v>94</v>
      </c>
      <c r="AB79" s="64"/>
      <c r="AD79" s="65" t="str">
        <f>IF(W126="","",W126)</f>
        <v/>
      </c>
      <c r="AH79"/>
      <c r="AI79"/>
      <c r="AJ79"/>
      <c r="AK79"/>
      <c r="AL79"/>
      <c r="AM79"/>
      <c r="AN79"/>
      <c r="AO79"/>
      <c r="AP79"/>
      <c r="AQ79"/>
      <c r="AR79"/>
    </row>
    <row r="80" spans="1:44" ht="14.1" customHeight="1">
      <c r="A80" s="16">
        <v>8</v>
      </c>
      <c r="B80" s="66"/>
      <c r="C80" s="67" t="s">
        <v>133</v>
      </c>
      <c r="D80" s="67"/>
      <c r="E80" s="67" t="s">
        <v>116</v>
      </c>
      <c r="F80" s="67"/>
      <c r="G80" s="67"/>
      <c r="H80" s="67"/>
      <c r="I80" s="67"/>
      <c r="J80" s="67"/>
      <c r="K80" s="67"/>
      <c r="L80" s="146" t="str">
        <f t="shared" si="13"/>
        <v>TBD</v>
      </c>
      <c r="M80" s="103" t="str">
        <f t="shared" si="14"/>
        <v/>
      </c>
      <c r="O80" s="95"/>
      <c r="P80" s="20" t="s">
        <v>112</v>
      </c>
      <c r="Y80" s="31"/>
      <c r="AA80" s="34" t="s">
        <v>96</v>
      </c>
      <c r="AB80" s="64"/>
      <c r="AD80" s="65" t="str">
        <f>IF(X126="","",X126)</f>
        <v/>
      </c>
      <c r="AH80"/>
      <c r="AI80"/>
      <c r="AJ80"/>
      <c r="AK80"/>
      <c r="AL80"/>
      <c r="AM80"/>
      <c r="AN80"/>
      <c r="AO80"/>
      <c r="AP80"/>
      <c r="AQ80"/>
      <c r="AR80"/>
    </row>
    <row r="81" spans="1:44" ht="14.1" customHeight="1">
      <c r="A81" s="16">
        <v>9</v>
      </c>
      <c r="B81" s="66"/>
      <c r="C81" s="67" t="s">
        <v>135</v>
      </c>
      <c r="D81" s="67"/>
      <c r="E81" s="67" t="s">
        <v>136</v>
      </c>
      <c r="F81" s="67"/>
      <c r="G81" s="67"/>
      <c r="H81" s="67"/>
      <c r="I81" s="67"/>
      <c r="J81" s="67"/>
      <c r="K81" s="67"/>
      <c r="L81" s="146" t="str">
        <f t="shared" si="13"/>
        <v>TBD</v>
      </c>
      <c r="M81" s="103" t="str">
        <f t="shared" si="14"/>
        <v/>
      </c>
      <c r="O81" s="95"/>
      <c r="P81" s="20" t="s">
        <v>114</v>
      </c>
      <c r="Y81" s="31"/>
      <c r="AA81" s="34" t="s">
        <v>91</v>
      </c>
      <c r="AB81" s="64"/>
      <c r="AD81" s="65" t="str">
        <f>IF(V127="","",V127)</f>
        <v/>
      </c>
      <c r="AH81"/>
      <c r="AI81"/>
      <c r="AJ81"/>
      <c r="AK81"/>
      <c r="AL81"/>
      <c r="AM81"/>
      <c r="AN81"/>
      <c r="AO81"/>
      <c r="AP81"/>
      <c r="AQ81"/>
      <c r="AR81"/>
    </row>
    <row r="82" spans="1:44" ht="14.1" customHeight="1">
      <c r="A82" s="16">
        <v>10</v>
      </c>
      <c r="B82" s="66"/>
      <c r="C82" s="67" t="s">
        <v>138</v>
      </c>
      <c r="D82" s="67"/>
      <c r="E82" s="67" t="s">
        <v>119</v>
      </c>
      <c r="F82" s="67"/>
      <c r="G82" s="67"/>
      <c r="H82" s="67"/>
      <c r="I82" s="67"/>
      <c r="J82" s="67"/>
      <c r="K82" s="67"/>
      <c r="L82" s="146" t="str">
        <f t="shared" si="13"/>
        <v>YES</v>
      </c>
      <c r="M82" s="103" t="str">
        <f t="shared" si="14"/>
        <v/>
      </c>
      <c r="O82" s="95"/>
      <c r="P82" s="20" t="s">
        <v>115</v>
      </c>
      <c r="Y82" s="31"/>
      <c r="AA82" s="34" t="s">
        <v>94</v>
      </c>
      <c r="AB82" s="64"/>
      <c r="AD82" s="65" t="str">
        <f>IF(W127="","",W127)</f>
        <v/>
      </c>
      <c r="AH82"/>
      <c r="AI82"/>
      <c r="AJ82"/>
      <c r="AK82"/>
      <c r="AL82"/>
      <c r="AM82"/>
      <c r="AN82"/>
      <c r="AO82"/>
      <c r="AP82"/>
      <c r="AQ82"/>
      <c r="AR82"/>
    </row>
    <row r="83" spans="1:44" ht="14.1" customHeight="1">
      <c r="A83" s="16">
        <v>11</v>
      </c>
      <c r="B83" s="66"/>
      <c r="C83" s="67" t="s">
        <v>140</v>
      </c>
      <c r="D83" s="67"/>
      <c r="E83" s="67" t="s">
        <v>141</v>
      </c>
      <c r="F83" s="67"/>
      <c r="G83" s="67"/>
      <c r="H83" s="67"/>
      <c r="I83" s="67"/>
      <c r="J83" s="67"/>
      <c r="K83" s="67"/>
      <c r="L83" s="146" t="str">
        <f t="shared" si="13"/>
        <v>TBD</v>
      </c>
      <c r="M83" s="103" t="str">
        <f t="shared" si="14"/>
        <v/>
      </c>
      <c r="O83" s="95"/>
      <c r="P83" s="20" t="s">
        <v>116</v>
      </c>
      <c r="Y83" s="31"/>
      <c r="AA83" s="34" t="s">
        <v>96</v>
      </c>
      <c r="AB83" s="64"/>
      <c r="AD83" s="65" t="str">
        <f>IF(X127="","",X127)</f>
        <v/>
      </c>
      <c r="AH83"/>
      <c r="AI83"/>
      <c r="AJ83"/>
      <c r="AK83"/>
      <c r="AL83"/>
      <c r="AM83"/>
      <c r="AN83"/>
      <c r="AO83"/>
      <c r="AP83"/>
      <c r="AQ83"/>
      <c r="AR83"/>
    </row>
    <row r="84" spans="1:44" ht="14.1" customHeight="1">
      <c r="A84" s="16">
        <v>12</v>
      </c>
      <c r="B84" s="66"/>
      <c r="C84" s="67" t="s">
        <v>143</v>
      </c>
      <c r="D84" s="67"/>
      <c r="E84" s="67" t="s">
        <v>121</v>
      </c>
      <c r="F84" s="67"/>
      <c r="G84" s="67"/>
      <c r="H84" s="67"/>
      <c r="I84" s="67"/>
      <c r="J84" s="67"/>
      <c r="K84" s="67"/>
      <c r="L84" s="146" t="str">
        <f t="shared" si="13"/>
        <v>TBD</v>
      </c>
      <c r="M84" s="103" t="str">
        <f t="shared" si="14"/>
        <v/>
      </c>
      <c r="O84" s="95"/>
      <c r="P84" s="20" t="s">
        <v>118</v>
      </c>
      <c r="Y84" s="31"/>
      <c r="AH84"/>
      <c r="AI84"/>
      <c r="AJ84"/>
      <c r="AK84"/>
      <c r="AL84"/>
      <c r="AM84"/>
      <c r="AN84"/>
      <c r="AO84"/>
      <c r="AP84"/>
      <c r="AQ84"/>
      <c r="AR84"/>
    </row>
    <row r="85" spans="1:44" ht="14.1" customHeight="1">
      <c r="A85" s="16">
        <v>13</v>
      </c>
      <c r="B85" s="66"/>
      <c r="C85" s="67" t="s">
        <v>145</v>
      </c>
      <c r="D85" s="67"/>
      <c r="E85" s="67" t="s">
        <v>124</v>
      </c>
      <c r="F85" s="67"/>
      <c r="G85" s="67"/>
      <c r="H85" s="67"/>
      <c r="I85" s="67"/>
      <c r="J85" s="67"/>
      <c r="K85" s="67"/>
      <c r="L85" s="146" t="str">
        <f t="shared" si="13"/>
        <v>TBD</v>
      </c>
      <c r="M85" s="103" t="str">
        <f t="shared" si="14"/>
        <v/>
      </c>
      <c r="O85" s="268">
        <f>IF(OR(R172="",R172=1),IF(U175&gt;=160,1,2),3)</f>
        <v>1</v>
      </c>
      <c r="P85" s="20" t="s">
        <v>119</v>
      </c>
      <c r="Y85" s="31"/>
      <c r="AA85" s="34" t="s">
        <v>157</v>
      </c>
      <c r="AB85" s="64"/>
      <c r="AD85" s="115" t="e">
        <f>IF(X265="","",X265)</f>
        <v>#N/A</v>
      </c>
      <c r="AH85"/>
      <c r="AI85"/>
      <c r="AJ85"/>
      <c r="AK85"/>
      <c r="AL85"/>
      <c r="AM85"/>
      <c r="AN85"/>
      <c r="AO85"/>
      <c r="AP85"/>
      <c r="AQ85"/>
      <c r="AR85"/>
    </row>
    <row r="86" spans="1:44" ht="14.1" customHeight="1">
      <c r="A86" s="16">
        <v>14</v>
      </c>
      <c r="B86" s="66"/>
      <c r="C86" s="67" t="s">
        <v>145</v>
      </c>
      <c r="D86" s="67"/>
      <c r="E86" s="67" t="s">
        <v>127</v>
      </c>
      <c r="F86" s="67"/>
      <c r="G86" s="67"/>
      <c r="H86" s="67"/>
      <c r="I86" s="67"/>
      <c r="J86" s="67"/>
      <c r="K86" s="67"/>
      <c r="L86" s="146" t="str">
        <f t="shared" si="13"/>
        <v>TBD</v>
      </c>
      <c r="M86" s="103" t="str">
        <f t="shared" si="14"/>
        <v/>
      </c>
      <c r="O86" s="95"/>
      <c r="P86" s="20" t="s">
        <v>120</v>
      </c>
      <c r="Y86" s="31"/>
      <c r="AA86" s="34" t="s">
        <v>618</v>
      </c>
      <c r="AB86" s="64"/>
      <c r="AD86" s="115" t="str">
        <f>IF(X284="","",X284)</f>
        <v/>
      </c>
      <c r="AH86"/>
      <c r="AI86"/>
      <c r="AJ86"/>
      <c r="AK86"/>
      <c r="AL86"/>
      <c r="AM86"/>
      <c r="AN86"/>
      <c r="AO86"/>
      <c r="AP86"/>
      <c r="AQ86"/>
      <c r="AR86"/>
    </row>
    <row r="87" spans="1:44" ht="14.1" customHeight="1">
      <c r="A87" s="16">
        <v>15</v>
      </c>
      <c r="B87" s="66"/>
      <c r="C87" s="67" t="s">
        <v>148</v>
      </c>
      <c r="D87" s="67"/>
      <c r="E87" s="67" t="s">
        <v>129</v>
      </c>
      <c r="F87" s="67"/>
      <c r="G87" s="67"/>
      <c r="H87" s="67"/>
      <c r="I87" s="67"/>
      <c r="J87" s="67"/>
      <c r="K87" s="67"/>
      <c r="L87" s="146" t="str">
        <f t="shared" si="13"/>
        <v>TBD</v>
      </c>
      <c r="M87" s="103" t="str">
        <f t="shared" si="14"/>
        <v/>
      </c>
      <c r="O87" s="95"/>
      <c r="P87" s="20" t="s">
        <v>121</v>
      </c>
      <c r="Y87" s="31"/>
      <c r="AA87" s="34" t="s">
        <v>619</v>
      </c>
      <c r="AB87" s="64"/>
      <c r="AD87" s="115" t="str">
        <f>IF(X295="","",X295)</f>
        <v/>
      </c>
      <c r="AH87"/>
      <c r="AI87"/>
      <c r="AJ87"/>
      <c r="AK87"/>
      <c r="AL87"/>
      <c r="AM87"/>
      <c r="AN87"/>
      <c r="AO87"/>
      <c r="AP87"/>
      <c r="AQ87"/>
      <c r="AR87"/>
    </row>
    <row r="88" spans="1:44" ht="14.1" customHeight="1">
      <c r="A88" s="16">
        <v>16</v>
      </c>
      <c r="B88" s="66"/>
      <c r="C88" s="67" t="s">
        <v>150</v>
      </c>
      <c r="D88" s="67"/>
      <c r="E88" s="67" t="s">
        <v>132</v>
      </c>
      <c r="F88" s="67"/>
      <c r="G88" s="67"/>
      <c r="H88" s="67"/>
      <c r="I88" s="67"/>
      <c r="J88" s="67"/>
      <c r="K88" s="67"/>
      <c r="L88" s="146" t="str">
        <f t="shared" si="13"/>
        <v>TBD</v>
      </c>
      <c r="M88" s="103" t="str">
        <f t="shared" si="14"/>
        <v/>
      </c>
      <c r="O88" s="95"/>
      <c r="P88" s="20" t="s">
        <v>124</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134</v>
      </c>
      <c r="F89" s="67"/>
      <c r="G89" s="67"/>
      <c r="H89" s="67"/>
      <c r="I89" s="67"/>
      <c r="J89" s="67"/>
      <c r="K89" s="67"/>
      <c r="L89" s="146" t="str">
        <f t="shared" si="13"/>
        <v>TBD</v>
      </c>
      <c r="M89" s="103" t="str">
        <f t="shared" si="14"/>
        <v/>
      </c>
      <c r="O89" s="95"/>
      <c r="P89" s="20" t="s">
        <v>127</v>
      </c>
      <c r="Y89" s="31"/>
      <c r="AA89" s="34" t="str">
        <f>Q392&amp;" mGy/s:"</f>
        <v>/ mGy/s:</v>
      </c>
      <c r="AB89" s="64"/>
      <c r="AD89" s="115" t="str">
        <f>IF(T399="","",T399)</f>
        <v/>
      </c>
      <c r="AH89"/>
      <c r="AI89"/>
      <c r="AJ89"/>
      <c r="AK89"/>
      <c r="AL89"/>
      <c r="AM89"/>
      <c r="AN89"/>
      <c r="AO89"/>
      <c r="AP89"/>
      <c r="AQ89"/>
      <c r="AR89"/>
    </row>
    <row r="90" spans="1:44" ht="14.1" customHeight="1">
      <c r="A90" s="16">
        <v>18</v>
      </c>
      <c r="B90" s="66"/>
      <c r="C90" s="67" t="s">
        <v>153</v>
      </c>
      <c r="D90" s="67"/>
      <c r="E90" s="67" t="s">
        <v>137</v>
      </c>
      <c r="F90" s="67"/>
      <c r="G90" s="67"/>
      <c r="H90" s="67"/>
      <c r="I90" s="67"/>
      <c r="J90" s="67"/>
      <c r="K90" s="67"/>
      <c r="L90" s="146" t="str">
        <f t="shared" si="13"/>
        <v>TBD</v>
      </c>
      <c r="M90" s="103" t="str">
        <f t="shared" si="14"/>
        <v/>
      </c>
      <c r="O90" s="95"/>
      <c r="P90" s="20" t="s">
        <v>129</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155</v>
      </c>
      <c r="D91" s="67"/>
      <c r="E91" s="67" t="s">
        <v>139</v>
      </c>
      <c r="F91" s="67"/>
      <c r="G91" s="67"/>
      <c r="H91" s="67"/>
      <c r="I91" s="67"/>
      <c r="J91" s="67"/>
      <c r="K91" s="67"/>
      <c r="L91" s="146" t="str">
        <f t="shared" si="13"/>
        <v>TBD</v>
      </c>
      <c r="M91" s="103" t="str">
        <f t="shared" si="14"/>
        <v/>
      </c>
      <c r="O91" s="95"/>
      <c r="P91" s="20" t="s">
        <v>132</v>
      </c>
      <c r="Y91" s="31"/>
      <c r="AA91" s="34" t="str">
        <f>V392&amp;" mGy/s:"</f>
        <v>/ mGy/s:</v>
      </c>
      <c r="AB91" s="64"/>
      <c r="AD91" s="115" t="str">
        <f>IF(Y399="","",Y399)</f>
        <v/>
      </c>
      <c r="AH91"/>
      <c r="AI91"/>
      <c r="AJ91"/>
      <c r="AK91"/>
      <c r="AL91"/>
      <c r="AM91"/>
      <c r="AN91"/>
      <c r="AO91"/>
      <c r="AP91"/>
      <c r="AQ91"/>
      <c r="AR91"/>
    </row>
    <row r="92" spans="1:44" ht="14.1" customHeight="1">
      <c r="A92" s="16">
        <v>20</v>
      </c>
      <c r="B92" s="66"/>
      <c r="C92" s="67" t="s">
        <v>158</v>
      </c>
      <c r="D92" s="67"/>
      <c r="E92" s="67" t="s">
        <v>142</v>
      </c>
      <c r="F92" s="67"/>
      <c r="G92" s="67"/>
      <c r="H92" s="67"/>
      <c r="I92" s="67"/>
      <c r="J92" s="67"/>
      <c r="K92" s="67"/>
      <c r="L92" s="146" t="str">
        <f t="shared" si="13"/>
        <v>TBD</v>
      </c>
      <c r="M92" s="103" t="str">
        <f t="shared" si="14"/>
        <v/>
      </c>
      <c r="O92" s="95"/>
      <c r="P92" s="20" t="s">
        <v>134</v>
      </c>
      <c r="Y92" s="31"/>
      <c r="AA92" s="74" t="s">
        <v>166</v>
      </c>
      <c r="AH92"/>
      <c r="AI92"/>
      <c r="AJ92"/>
      <c r="AK92"/>
      <c r="AL92"/>
      <c r="AM92"/>
      <c r="AN92"/>
      <c r="AO92"/>
      <c r="AP92"/>
      <c r="AQ92"/>
      <c r="AR92"/>
    </row>
    <row r="93" spans="1:44" ht="14.1" customHeight="1">
      <c r="A93" s="16">
        <v>21</v>
      </c>
      <c r="B93" s="66"/>
      <c r="C93" s="67" t="s">
        <v>160</v>
      </c>
      <c r="D93" s="67"/>
      <c r="E93" s="67" t="s">
        <v>161</v>
      </c>
      <c r="F93" s="67"/>
      <c r="G93" s="67"/>
      <c r="H93" s="67"/>
      <c r="I93" s="67"/>
      <c r="J93" s="67"/>
      <c r="K93" s="67"/>
      <c r="L93" s="146" t="str">
        <f t="shared" si="13"/>
        <v>TBD</v>
      </c>
      <c r="M93" s="103" t="str">
        <f t="shared" si="14"/>
        <v/>
      </c>
      <c r="O93" s="95"/>
      <c r="P93" s="20" t="s">
        <v>137</v>
      </c>
      <c r="Y93" s="31"/>
      <c r="AA93" s="34" t="s">
        <v>169</v>
      </c>
      <c r="AB93" s="64"/>
      <c r="AD93" s="65" t="str">
        <f t="shared" ref="AD93:AD98" si="15">IF(Q432="","",Q432)</f>
        <v/>
      </c>
      <c r="AH93"/>
      <c r="AI93"/>
      <c r="AJ93"/>
      <c r="AK93"/>
      <c r="AL93"/>
      <c r="AM93"/>
      <c r="AN93"/>
      <c r="AO93"/>
      <c r="AP93"/>
      <c r="AQ93"/>
      <c r="AR93"/>
    </row>
    <row r="94" spans="1:44" ht="14.1" customHeight="1">
      <c r="A94" s="16">
        <v>22</v>
      </c>
      <c r="B94" s="66"/>
      <c r="C94" s="67" t="s">
        <v>163</v>
      </c>
      <c r="D94" s="67"/>
      <c r="E94" s="67" t="s">
        <v>164</v>
      </c>
      <c r="F94" s="67"/>
      <c r="G94" s="67"/>
      <c r="H94" s="67"/>
      <c r="I94" s="67"/>
      <c r="J94" s="67"/>
      <c r="K94" s="67"/>
      <c r="L94" s="146" t="str">
        <f t="shared" si="13"/>
        <v>TBD</v>
      </c>
      <c r="M94" s="103" t="str">
        <f t="shared" si="14"/>
        <v/>
      </c>
      <c r="O94" s="95"/>
      <c r="P94" s="20" t="s">
        <v>139</v>
      </c>
      <c r="Y94" s="31"/>
      <c r="AA94" s="34" t="s">
        <v>172</v>
      </c>
      <c r="AB94" s="64"/>
      <c r="AD94" s="65" t="str">
        <f t="shared" si="15"/>
        <v/>
      </c>
      <c r="AH94"/>
      <c r="AI94"/>
      <c r="AJ94"/>
      <c r="AK94"/>
      <c r="AL94"/>
      <c r="AM94"/>
      <c r="AN94"/>
      <c r="AO94"/>
      <c r="AP94"/>
      <c r="AQ94"/>
      <c r="AR94"/>
    </row>
    <row r="95" spans="1:44" ht="14.1" customHeight="1">
      <c r="A95" s="16">
        <v>23</v>
      </c>
      <c r="B95" s="66"/>
      <c r="C95" s="67" t="s">
        <v>167</v>
      </c>
      <c r="D95" s="67"/>
      <c r="E95" s="67" t="s">
        <v>147</v>
      </c>
      <c r="F95" s="67"/>
      <c r="G95" s="67"/>
      <c r="H95" s="67"/>
      <c r="I95" s="67"/>
      <c r="J95" s="67"/>
      <c r="K95" s="67"/>
      <c r="L95" s="146" t="str">
        <f t="shared" si="13"/>
        <v>TBD</v>
      </c>
      <c r="M95" s="103" t="str">
        <f t="shared" si="14"/>
        <v/>
      </c>
      <c r="O95" s="95"/>
      <c r="P95" s="20" t="s">
        <v>142</v>
      </c>
      <c r="Y95" s="31"/>
      <c r="AA95" s="34" t="s">
        <v>175</v>
      </c>
      <c r="AB95" s="64"/>
      <c r="AD95" s="65" t="str">
        <f t="shared" si="15"/>
        <v/>
      </c>
      <c r="AH95"/>
      <c r="AI95"/>
      <c r="AJ95"/>
      <c r="AK95"/>
      <c r="AL95"/>
      <c r="AM95"/>
      <c r="AN95"/>
      <c r="AO95"/>
      <c r="AP95"/>
      <c r="AQ95"/>
      <c r="AR95"/>
    </row>
    <row r="96" spans="1:44" ht="14.1" customHeight="1">
      <c r="A96" s="16">
        <v>24</v>
      </c>
      <c r="B96" s="66"/>
      <c r="C96" s="67" t="s">
        <v>170</v>
      </c>
      <c r="D96" s="67"/>
      <c r="E96" s="67" t="s">
        <v>149</v>
      </c>
      <c r="F96" s="67"/>
      <c r="G96" s="67"/>
      <c r="H96" s="67"/>
      <c r="I96" s="67"/>
      <c r="J96" s="67"/>
      <c r="K96" s="67"/>
      <c r="L96" s="146" t="str">
        <f t="shared" si="13"/>
        <v>TBD</v>
      </c>
      <c r="M96" s="103" t="str">
        <f t="shared" si="14"/>
        <v/>
      </c>
      <c r="O96" s="95"/>
      <c r="P96" s="20" t="s">
        <v>144</v>
      </c>
      <c r="Y96" s="31"/>
      <c r="AA96" s="34" t="s">
        <v>178</v>
      </c>
      <c r="AB96" s="64"/>
      <c r="AD96" s="65" t="str">
        <f t="shared" si="15"/>
        <v/>
      </c>
      <c r="AH96"/>
      <c r="AI96"/>
      <c r="AJ96"/>
      <c r="AK96"/>
      <c r="AL96"/>
      <c r="AM96"/>
      <c r="AN96"/>
      <c r="AO96"/>
      <c r="AP96"/>
      <c r="AQ96"/>
      <c r="AR96"/>
    </row>
    <row r="97" spans="1:44" ht="14.1" customHeight="1">
      <c r="A97" s="16">
        <v>25</v>
      </c>
      <c r="B97" s="66"/>
      <c r="C97" s="67" t="s">
        <v>173</v>
      </c>
      <c r="D97" s="67"/>
      <c r="E97" s="67" t="s">
        <v>151</v>
      </c>
      <c r="F97" s="67"/>
      <c r="G97" s="67"/>
      <c r="H97" s="67"/>
      <c r="I97" s="67"/>
      <c r="J97" s="67"/>
      <c r="K97" s="67"/>
      <c r="L97" s="146" t="str">
        <f t="shared" si="13"/>
        <v>TBD</v>
      </c>
      <c r="M97" s="103" t="str">
        <f t="shared" si="14"/>
        <v/>
      </c>
      <c r="O97" s="95"/>
      <c r="P97" s="20" t="s">
        <v>146</v>
      </c>
      <c r="Y97" s="31"/>
      <c r="AA97" s="34" t="s">
        <v>180</v>
      </c>
      <c r="AB97" s="64"/>
      <c r="AD97" s="65" t="str">
        <f t="shared" si="15"/>
        <v/>
      </c>
      <c r="AH97"/>
      <c r="AI97"/>
      <c r="AJ97"/>
      <c r="AK97"/>
      <c r="AL97"/>
      <c r="AM97"/>
      <c r="AN97"/>
      <c r="AO97"/>
      <c r="AP97"/>
      <c r="AQ97"/>
      <c r="AR97"/>
    </row>
    <row r="98" spans="1:44" ht="14.1" customHeight="1">
      <c r="A98" s="16">
        <v>26</v>
      </c>
      <c r="B98" s="66"/>
      <c r="C98" s="67" t="s">
        <v>176</v>
      </c>
      <c r="D98" s="67"/>
      <c r="E98" s="67" t="s">
        <v>152</v>
      </c>
      <c r="F98" s="67"/>
      <c r="G98" s="67"/>
      <c r="H98" s="67"/>
      <c r="I98" s="67"/>
      <c r="J98" s="67"/>
      <c r="K98" s="67"/>
      <c r="L98" s="146" t="str">
        <f t="shared" si="13"/>
        <v>TBD</v>
      </c>
      <c r="M98" s="103" t="str">
        <f t="shared" si="14"/>
        <v/>
      </c>
      <c r="O98" s="95"/>
      <c r="P98" s="20" t="s">
        <v>147</v>
      </c>
      <c r="Y98" s="31"/>
      <c r="AA98" s="34" t="s">
        <v>181</v>
      </c>
      <c r="AB98" s="64"/>
      <c r="AD98" s="65" t="str">
        <f t="shared" si="15"/>
        <v/>
      </c>
      <c r="AH98"/>
      <c r="AI98"/>
      <c r="AJ98"/>
      <c r="AK98"/>
      <c r="AL98"/>
      <c r="AM98"/>
      <c r="AN98"/>
      <c r="AO98"/>
      <c r="AP98"/>
      <c r="AQ98"/>
      <c r="AR98"/>
    </row>
    <row r="99" spans="1:44" ht="14.1" customHeight="1">
      <c r="A99" s="16">
        <v>27</v>
      </c>
      <c r="B99" s="66"/>
      <c r="C99" s="67" t="s">
        <v>179</v>
      </c>
      <c r="D99" s="67"/>
      <c r="E99" s="67" t="s">
        <v>154</v>
      </c>
      <c r="F99" s="67"/>
      <c r="G99" s="67"/>
      <c r="H99" s="67"/>
      <c r="I99" s="67"/>
      <c r="J99" s="67"/>
      <c r="K99" s="67"/>
      <c r="L99" s="146" t="str">
        <f t="shared" si="13"/>
        <v>NA</v>
      </c>
      <c r="M99" s="103" t="str">
        <f t="shared" si="14"/>
        <v/>
      </c>
      <c r="O99" s="95"/>
      <c r="P99" s="20" t="s">
        <v>149</v>
      </c>
      <c r="Y99" s="31"/>
      <c r="AA99" s="34" t="s">
        <v>183</v>
      </c>
      <c r="AB99" s="64"/>
      <c r="AD99" s="65" t="str">
        <f>IF(U432="","",U432)</f>
        <v/>
      </c>
      <c r="AH99"/>
      <c r="AI99"/>
      <c r="AJ99"/>
      <c r="AK99"/>
      <c r="AL99"/>
      <c r="AM99"/>
      <c r="AN99"/>
      <c r="AO99"/>
      <c r="AP99"/>
      <c r="AQ99"/>
      <c r="AR99"/>
    </row>
    <row r="100" spans="1:44" ht="14.1" customHeight="1">
      <c r="A100" s="16">
        <v>28</v>
      </c>
      <c r="B100" s="66"/>
      <c r="C100" s="325"/>
      <c r="D100" s="67"/>
      <c r="E100" s="67" t="s">
        <v>156</v>
      </c>
      <c r="F100" s="67"/>
      <c r="G100" s="67"/>
      <c r="H100" s="67"/>
      <c r="I100" s="67"/>
      <c r="J100" s="67"/>
      <c r="K100" s="67"/>
      <c r="L100" s="146" t="str">
        <f t="shared" si="13"/>
        <v>NA</v>
      </c>
      <c r="M100" s="103" t="str">
        <f t="shared" si="14"/>
        <v/>
      </c>
      <c r="O100" s="95"/>
      <c r="P100" s="20" t="s">
        <v>151</v>
      </c>
      <c r="Y100" s="31"/>
      <c r="AA100" s="34" t="s">
        <v>185</v>
      </c>
      <c r="AB100" s="64"/>
      <c r="AD100" s="65" t="str">
        <f>IF(U433="","",U433)</f>
        <v/>
      </c>
      <c r="AH100"/>
      <c r="AI100"/>
      <c r="AJ100"/>
      <c r="AK100"/>
      <c r="AL100"/>
      <c r="AM100"/>
      <c r="AN100"/>
      <c r="AO100"/>
      <c r="AP100"/>
      <c r="AQ100"/>
      <c r="AR100"/>
    </row>
    <row r="101" spans="1:44" ht="14.1" customHeight="1">
      <c r="A101" s="16">
        <v>29</v>
      </c>
      <c r="B101" s="66"/>
      <c r="C101" s="67"/>
      <c r="D101" s="67"/>
      <c r="E101" s="67" t="s">
        <v>159</v>
      </c>
      <c r="F101" s="67"/>
      <c r="G101" s="67"/>
      <c r="H101" s="67"/>
      <c r="I101" s="67"/>
      <c r="J101" s="67"/>
      <c r="K101" s="67"/>
      <c r="L101" s="146" t="str">
        <f t="shared" si="13"/>
        <v>NA</v>
      </c>
      <c r="M101" s="103" t="str">
        <f t="shared" si="14"/>
        <v/>
      </c>
      <c r="O101" s="95"/>
      <c r="P101" s="20" t="s">
        <v>152</v>
      </c>
      <c r="Y101" s="31"/>
      <c r="AA101" s="34" t="s">
        <v>187</v>
      </c>
      <c r="AB101" s="64"/>
      <c r="AD101" s="65" t="str">
        <f>IF(U434="","",U434)</f>
        <v/>
      </c>
      <c r="AH101"/>
      <c r="AI101"/>
      <c r="AJ101"/>
      <c r="AK101"/>
      <c r="AL101"/>
      <c r="AM101"/>
      <c r="AN101"/>
      <c r="AO101"/>
      <c r="AP101"/>
      <c r="AQ101"/>
      <c r="AR101"/>
    </row>
    <row r="102" spans="1:44" ht="14.1" customHeight="1">
      <c r="A102" s="16">
        <v>30</v>
      </c>
      <c r="B102" s="66"/>
      <c r="C102" s="67" t="s">
        <v>184</v>
      </c>
      <c r="D102" s="67"/>
      <c r="E102" s="67" t="s">
        <v>162</v>
      </c>
      <c r="F102" s="67"/>
      <c r="G102" s="67"/>
      <c r="H102" s="67"/>
      <c r="I102" s="67"/>
      <c r="J102" s="67"/>
      <c r="K102" s="67"/>
      <c r="L102" s="146" t="str">
        <f t="shared" si="13"/>
        <v>NA</v>
      </c>
      <c r="M102" s="103" t="str">
        <f t="shared" si="14"/>
        <v/>
      </c>
      <c r="O102" s="95">
        <v>3</v>
      </c>
      <c r="P102" s="20" t="s">
        <v>154</v>
      </c>
      <c r="Y102" s="31"/>
      <c r="AA102" s="74" t="s">
        <v>190</v>
      </c>
      <c r="AH102"/>
      <c r="AI102"/>
      <c r="AJ102"/>
      <c r="AK102"/>
      <c r="AL102"/>
      <c r="AM102"/>
      <c r="AN102"/>
      <c r="AO102"/>
      <c r="AP102"/>
      <c r="AQ102"/>
      <c r="AR102"/>
    </row>
    <row r="103" spans="1:44" ht="14.1" customHeight="1">
      <c r="A103" s="16">
        <v>31</v>
      </c>
      <c r="B103" s="66"/>
      <c r="C103" s="67" t="s">
        <v>186</v>
      </c>
      <c r="D103" s="67"/>
      <c r="E103" s="67" t="s">
        <v>165</v>
      </c>
      <c r="F103" s="67"/>
      <c r="G103" s="67"/>
      <c r="H103" s="67"/>
      <c r="I103" s="67"/>
      <c r="J103" s="67"/>
      <c r="K103" s="67"/>
      <c r="L103" s="146" t="str">
        <f t="shared" si="13"/>
        <v>NA</v>
      </c>
      <c r="M103" s="103" t="str">
        <f t="shared" si="14"/>
        <v/>
      </c>
      <c r="O103" s="95">
        <v>3</v>
      </c>
      <c r="P103" s="20" t="s">
        <v>156</v>
      </c>
      <c r="Y103" s="31"/>
      <c r="AA103" s="34" t="s">
        <v>91</v>
      </c>
      <c r="AB103" s="64"/>
      <c r="AD103" s="65" t="str">
        <f t="shared" ref="AD103:AD108" si="16">IF(Q448="","",Q448)</f>
        <v/>
      </c>
      <c r="AH103"/>
      <c r="AI103"/>
      <c r="AJ103"/>
      <c r="AK103"/>
      <c r="AL103"/>
      <c r="AM103"/>
      <c r="AN103"/>
      <c r="AO103"/>
      <c r="AP103"/>
      <c r="AQ103"/>
      <c r="AR103"/>
    </row>
    <row r="104" spans="1:44" ht="14.1" customHeight="1">
      <c r="A104" s="16">
        <v>32</v>
      </c>
      <c r="B104" s="66"/>
      <c r="C104" s="67" t="s">
        <v>188</v>
      </c>
      <c r="D104" s="67"/>
      <c r="E104" s="67" t="s">
        <v>189</v>
      </c>
      <c r="F104" s="67"/>
      <c r="G104" s="67"/>
      <c r="H104" s="67"/>
      <c r="I104" s="67"/>
      <c r="J104" s="67"/>
      <c r="K104" s="67"/>
      <c r="L104" s="146" t="str">
        <f t="shared" si="13"/>
        <v>NA</v>
      </c>
      <c r="M104" s="103" t="str">
        <f t="shared" si="14"/>
        <v/>
      </c>
      <c r="O104" s="95">
        <v>3</v>
      </c>
      <c r="P104" s="20" t="s">
        <v>159</v>
      </c>
      <c r="Y104" s="31"/>
      <c r="AA104" s="34" t="s">
        <v>169</v>
      </c>
      <c r="AB104" s="64"/>
      <c r="AD104" s="65" t="str">
        <f t="shared" si="16"/>
        <v/>
      </c>
      <c r="AH104"/>
      <c r="AI104"/>
      <c r="AJ104"/>
      <c r="AK104"/>
      <c r="AL104"/>
      <c r="AM104"/>
      <c r="AN104"/>
      <c r="AO104"/>
      <c r="AP104"/>
      <c r="AQ104"/>
      <c r="AR104"/>
    </row>
    <row r="105" spans="1:44" ht="14.1" customHeight="1">
      <c r="A105" s="16">
        <v>33</v>
      </c>
      <c r="B105" s="66"/>
      <c r="C105" s="67" t="s">
        <v>191</v>
      </c>
      <c r="D105" s="67"/>
      <c r="E105" s="67" t="s">
        <v>171</v>
      </c>
      <c r="F105" s="67"/>
      <c r="G105" s="67"/>
      <c r="H105" s="67"/>
      <c r="I105" s="67"/>
      <c r="J105" s="67"/>
      <c r="K105" s="67"/>
      <c r="L105" s="146" t="str">
        <f t="shared" si="13"/>
        <v>NA</v>
      </c>
      <c r="M105" s="103" t="str">
        <f t="shared" si="14"/>
        <v/>
      </c>
      <c r="O105" s="95">
        <v>3</v>
      </c>
      <c r="P105" s="20" t="s">
        <v>162</v>
      </c>
      <c r="Y105" s="31"/>
      <c r="AA105" s="34" t="s">
        <v>172</v>
      </c>
      <c r="AB105" s="64"/>
      <c r="AD105" s="65" t="str">
        <f t="shared" si="16"/>
        <v/>
      </c>
      <c r="AH105"/>
      <c r="AI105"/>
      <c r="AJ105"/>
      <c r="AK105"/>
      <c r="AL105"/>
      <c r="AM105"/>
      <c r="AN105"/>
      <c r="AO105"/>
      <c r="AP105"/>
      <c r="AQ105"/>
      <c r="AR105"/>
    </row>
    <row r="106" spans="1:44" ht="14.1" customHeight="1">
      <c r="A106" s="16">
        <v>34</v>
      </c>
      <c r="B106" s="66"/>
      <c r="C106" s="67" t="s">
        <v>192</v>
      </c>
      <c r="D106" s="67"/>
      <c r="E106" s="67" t="s">
        <v>174</v>
      </c>
      <c r="F106" s="67"/>
      <c r="G106" s="67"/>
      <c r="H106" s="67"/>
      <c r="I106" s="67"/>
      <c r="J106" s="67"/>
      <c r="K106" s="67"/>
      <c r="L106" s="146" t="str">
        <f t="shared" si="13"/>
        <v>TBD</v>
      </c>
      <c r="M106" s="103" t="str">
        <f t="shared" si="14"/>
        <v/>
      </c>
      <c r="O106" s="95">
        <v>3</v>
      </c>
      <c r="P106" s="20" t="s">
        <v>165</v>
      </c>
      <c r="Y106" s="31"/>
      <c r="AA106" s="34" t="s">
        <v>183</v>
      </c>
      <c r="AB106" s="64"/>
      <c r="AD106" s="65" t="str">
        <f t="shared" si="16"/>
        <v/>
      </c>
      <c r="AH106"/>
      <c r="AI106"/>
      <c r="AJ106"/>
      <c r="AK106"/>
      <c r="AL106"/>
      <c r="AM106"/>
      <c r="AN106"/>
      <c r="AO106"/>
      <c r="AP106"/>
      <c r="AQ106"/>
      <c r="AR106"/>
    </row>
    <row r="107" spans="1:44" ht="14.1" customHeight="1">
      <c r="A107" s="16">
        <v>35</v>
      </c>
      <c r="B107" s="66"/>
      <c r="C107" s="67" t="s">
        <v>193</v>
      </c>
      <c r="D107" s="67"/>
      <c r="E107" s="67" t="s">
        <v>177</v>
      </c>
      <c r="F107" s="67"/>
      <c r="G107" s="67"/>
      <c r="H107" s="67"/>
      <c r="I107" s="67"/>
      <c r="J107" s="67"/>
      <c r="K107" s="67"/>
      <c r="L107" s="146" t="str">
        <f t="shared" si="13"/>
        <v>TBD</v>
      </c>
      <c r="M107" s="103" t="str">
        <f t="shared" si="14"/>
        <v/>
      </c>
      <c r="O107" s="95">
        <v>3</v>
      </c>
      <c r="P107" s="20" t="s">
        <v>168</v>
      </c>
      <c r="Y107" s="31"/>
      <c r="AA107" s="34" t="s">
        <v>185</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171</v>
      </c>
      <c r="Y108" s="31"/>
      <c r="AA108" s="34" t="s">
        <v>187</v>
      </c>
      <c r="AB108" s="64"/>
      <c r="AD108" s="65" t="str">
        <f t="shared" si="16"/>
        <v/>
      </c>
      <c r="AH108"/>
      <c r="AI108"/>
      <c r="AJ108"/>
      <c r="AK108"/>
      <c r="AL108"/>
      <c r="AM108"/>
      <c r="AN108"/>
      <c r="AO108"/>
      <c r="AP108"/>
      <c r="AQ108"/>
      <c r="AR108"/>
    </row>
    <row r="109" spans="1:44" ht="14.1" customHeight="1">
      <c r="A109" s="16">
        <v>37</v>
      </c>
      <c r="B109" s="66"/>
      <c r="C109" s="67"/>
      <c r="D109" s="67"/>
      <c r="E109" s="67" t="s">
        <v>491</v>
      </c>
      <c r="F109" s="67"/>
      <c r="G109" s="67"/>
      <c r="H109" s="67"/>
      <c r="I109" s="67"/>
      <c r="J109" s="67"/>
      <c r="K109" s="67"/>
      <c r="L109" s="146" t="str">
        <f t="shared" ref="L109:L125" si="17">IF(O46="","TBD",IF(O46=1,"YES",IF(O46=3,"NA","")))</f>
        <v>NA</v>
      </c>
      <c r="M109" s="103" t="str">
        <f t="shared" ref="M109:M125" si="18">IF(O46=2,"NO","")</f>
        <v/>
      </c>
      <c r="O109" s="95"/>
      <c r="P109" s="20" t="s">
        <v>174</v>
      </c>
      <c r="Y109" s="31"/>
      <c r="AA109" s="34" t="s">
        <v>91</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492</v>
      </c>
      <c r="F110" s="67"/>
      <c r="G110" s="67"/>
      <c r="H110" s="67"/>
      <c r="I110" s="67"/>
      <c r="J110" s="67"/>
      <c r="K110" s="67"/>
      <c r="L110" s="146" t="str">
        <f t="shared" si="17"/>
        <v>TBD</v>
      </c>
      <c r="M110" s="103" t="str">
        <f t="shared" si="18"/>
        <v/>
      </c>
      <c r="O110" s="95"/>
      <c r="P110" s="20" t="s">
        <v>177</v>
      </c>
      <c r="Y110" s="31"/>
      <c r="AA110" s="34" t="s">
        <v>169</v>
      </c>
      <c r="AB110" s="64"/>
      <c r="AD110" s="65" t="str">
        <f t="shared" si="19"/>
        <v/>
      </c>
      <c r="AH110"/>
      <c r="AI110"/>
      <c r="AJ110"/>
      <c r="AK110"/>
      <c r="AL110"/>
      <c r="AM110"/>
      <c r="AN110"/>
      <c r="AO110"/>
      <c r="AP110"/>
      <c r="AQ110"/>
      <c r="AR110"/>
    </row>
    <row r="111" spans="1:44" ht="14.1" customHeight="1">
      <c r="A111" s="16">
        <v>39</v>
      </c>
      <c r="B111" s="66"/>
      <c r="C111" s="67"/>
      <c r="D111" s="67"/>
      <c r="E111" s="67" t="s">
        <v>493</v>
      </c>
      <c r="F111" s="67"/>
      <c r="G111" s="67"/>
      <c r="H111" s="67"/>
      <c r="I111" s="67"/>
      <c r="J111" s="67"/>
      <c r="K111" s="67"/>
      <c r="L111" s="146" t="str">
        <f t="shared" si="17"/>
        <v>TBD</v>
      </c>
      <c r="M111" s="103" t="str">
        <f t="shared" si="18"/>
        <v/>
      </c>
      <c r="O111" s="473"/>
      <c r="T111" s="74" t="s">
        <v>515</v>
      </c>
      <c r="Y111" s="31"/>
      <c r="AA111" s="34" t="s">
        <v>172</v>
      </c>
      <c r="AB111" s="64"/>
      <c r="AD111" s="65" t="str">
        <f t="shared" si="19"/>
        <v/>
      </c>
      <c r="AH111"/>
      <c r="AI111"/>
      <c r="AJ111"/>
      <c r="AK111"/>
      <c r="AL111"/>
      <c r="AM111"/>
      <c r="AN111"/>
      <c r="AO111"/>
      <c r="AP111"/>
      <c r="AQ111"/>
      <c r="AR111"/>
    </row>
    <row r="112" spans="1:44" ht="14.1" customHeight="1">
      <c r="A112" s="16">
        <v>40</v>
      </c>
      <c r="B112" s="66"/>
      <c r="C112" s="67"/>
      <c r="D112" s="67"/>
      <c r="E112" s="67" t="s">
        <v>494</v>
      </c>
      <c r="F112" s="67"/>
      <c r="G112" s="67"/>
      <c r="H112" s="67"/>
      <c r="I112" s="67"/>
      <c r="J112" s="67"/>
      <c r="K112" s="67"/>
      <c r="L112" s="146" t="str">
        <f t="shared" si="17"/>
        <v>TBD</v>
      </c>
      <c r="M112" s="103" t="str">
        <f t="shared" si="18"/>
        <v/>
      </c>
      <c r="O112" s="95"/>
      <c r="P112" s="67" t="s">
        <v>516</v>
      </c>
      <c r="Y112" s="31"/>
      <c r="AA112" s="34" t="s">
        <v>183</v>
      </c>
      <c r="AB112" s="64"/>
      <c r="AD112" s="65" t="str">
        <f t="shared" si="19"/>
        <v/>
      </c>
      <c r="AH112"/>
      <c r="AI112"/>
      <c r="AJ112"/>
      <c r="AK112"/>
      <c r="AL112"/>
      <c r="AM112"/>
      <c r="AN112"/>
      <c r="AO112"/>
      <c r="AP112"/>
      <c r="AQ112"/>
      <c r="AR112"/>
    </row>
    <row r="113" spans="1:44" ht="14.1" customHeight="1">
      <c r="A113" s="16">
        <v>41</v>
      </c>
      <c r="B113" s="66"/>
      <c r="C113" s="67"/>
      <c r="D113" s="67"/>
      <c r="E113" s="67" t="s">
        <v>495</v>
      </c>
      <c r="F113" s="67"/>
      <c r="G113" s="67"/>
      <c r="H113" s="67"/>
      <c r="I113" s="67"/>
      <c r="J113" s="67"/>
      <c r="K113" s="67"/>
      <c r="L113" s="146" t="str">
        <f t="shared" si="17"/>
        <v>TBD</v>
      </c>
      <c r="M113" s="103" t="str">
        <f t="shared" si="18"/>
        <v/>
      </c>
      <c r="O113" s="95"/>
      <c r="P113" s="67" t="s">
        <v>517</v>
      </c>
      <c r="Y113" s="31"/>
      <c r="AA113" s="34" t="s">
        <v>185</v>
      </c>
      <c r="AB113" s="64"/>
      <c r="AD113" s="65" t="str">
        <f t="shared" si="19"/>
        <v/>
      </c>
      <c r="AH113"/>
      <c r="AI113"/>
      <c r="AJ113"/>
      <c r="AK113"/>
      <c r="AL113"/>
      <c r="AM113"/>
      <c r="AN113"/>
      <c r="AO113"/>
      <c r="AP113"/>
      <c r="AQ113"/>
      <c r="AR113"/>
    </row>
    <row r="114" spans="1:44" ht="14.1" customHeight="1">
      <c r="A114" s="16">
        <v>42</v>
      </c>
      <c r="B114" s="66"/>
      <c r="C114" s="67"/>
      <c r="D114" s="67"/>
      <c r="E114" s="67" t="s">
        <v>496</v>
      </c>
      <c r="F114" s="67"/>
      <c r="G114" s="67"/>
      <c r="H114" s="67"/>
      <c r="I114" s="67"/>
      <c r="J114" s="67"/>
      <c r="K114" s="67"/>
      <c r="L114" s="146" t="str">
        <f t="shared" si="17"/>
        <v>TBD</v>
      </c>
      <c r="M114" s="103" t="str">
        <f t="shared" si="18"/>
        <v/>
      </c>
      <c r="O114" s="95"/>
      <c r="P114" s="67" t="s">
        <v>518</v>
      </c>
      <c r="Y114" s="31"/>
      <c r="AA114" s="34" t="s">
        <v>187</v>
      </c>
      <c r="AB114" s="64"/>
      <c r="AD114" s="65" t="str">
        <f t="shared" si="19"/>
        <v/>
      </c>
      <c r="AH114"/>
      <c r="AI114"/>
      <c r="AJ114"/>
      <c r="AK114"/>
      <c r="AL114"/>
      <c r="AM114"/>
      <c r="AN114"/>
      <c r="AO114"/>
      <c r="AP114"/>
      <c r="AQ114"/>
      <c r="AR114"/>
    </row>
    <row r="115" spans="1:44" ht="14.1" customHeight="1">
      <c r="A115" s="16">
        <v>43</v>
      </c>
      <c r="B115" s="66"/>
      <c r="C115" s="67"/>
      <c r="D115" s="67"/>
      <c r="E115" s="67" t="s">
        <v>497</v>
      </c>
      <c r="F115" s="67"/>
      <c r="G115" s="67"/>
      <c r="H115" s="67"/>
      <c r="I115" s="67"/>
      <c r="J115" s="67"/>
      <c r="K115" s="67"/>
      <c r="L115" s="146" t="str">
        <f t="shared" si="17"/>
        <v>TBD</v>
      </c>
      <c r="M115" s="103" t="str">
        <f t="shared" si="18"/>
        <v/>
      </c>
      <c r="O115" s="95"/>
      <c r="P115" s="67" t="s">
        <v>519</v>
      </c>
      <c r="Y115" s="31"/>
      <c r="AA115" s="34" t="s">
        <v>91</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498</v>
      </c>
      <c r="F116" s="67"/>
      <c r="G116" s="67"/>
      <c r="H116" s="67"/>
      <c r="I116" s="67"/>
      <c r="J116" s="67"/>
      <c r="K116" s="67"/>
      <c r="L116" s="146" t="str">
        <f t="shared" si="17"/>
        <v>TBD</v>
      </c>
      <c r="M116" s="103" t="str">
        <f t="shared" si="18"/>
        <v/>
      </c>
      <c r="O116" s="95"/>
      <c r="P116" s="67" t="s">
        <v>520</v>
      </c>
      <c r="Y116" s="31"/>
      <c r="AA116" s="34" t="s">
        <v>169</v>
      </c>
      <c r="AB116" s="64"/>
      <c r="AD116" s="65" t="str">
        <f t="shared" si="20"/>
        <v/>
      </c>
      <c r="AH116"/>
      <c r="AI116"/>
      <c r="AJ116"/>
      <c r="AK116"/>
      <c r="AL116"/>
      <c r="AM116"/>
      <c r="AN116"/>
      <c r="AO116"/>
      <c r="AP116"/>
      <c r="AQ116"/>
      <c r="AR116"/>
    </row>
    <row r="117" spans="1:44" ht="14.1" customHeight="1" thickBot="1">
      <c r="A117" s="16">
        <v>45</v>
      </c>
      <c r="B117" s="66"/>
      <c r="C117" s="67"/>
      <c r="D117" s="67"/>
      <c r="E117" s="67" t="s">
        <v>499</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172</v>
      </c>
      <c r="AB117" s="64"/>
      <c r="AD117" s="65" t="str">
        <f t="shared" si="20"/>
        <v/>
      </c>
      <c r="AH117"/>
      <c r="AI117"/>
      <c r="AJ117"/>
      <c r="AK117"/>
      <c r="AL117"/>
      <c r="AM117"/>
      <c r="AN117"/>
      <c r="AO117"/>
      <c r="AP117"/>
      <c r="AQ117"/>
      <c r="AR117"/>
    </row>
    <row r="118" spans="1:44" ht="14.1" customHeight="1">
      <c r="A118" s="16">
        <v>46</v>
      </c>
      <c r="B118" s="66"/>
      <c r="C118" s="67"/>
      <c r="D118" s="67"/>
      <c r="E118" s="67" t="s">
        <v>500</v>
      </c>
      <c r="F118" s="67"/>
      <c r="G118" s="67"/>
      <c r="H118" s="67"/>
      <c r="I118" s="67"/>
      <c r="J118" s="67"/>
      <c r="K118" s="67"/>
      <c r="L118" s="146" t="str">
        <f t="shared" si="17"/>
        <v>TBD</v>
      </c>
      <c r="M118" s="103" t="str">
        <f t="shared" si="18"/>
        <v/>
      </c>
      <c r="AA118" s="34" t="s">
        <v>183</v>
      </c>
      <c r="AB118" s="64"/>
      <c r="AD118" s="65" t="str">
        <f t="shared" si="20"/>
        <v/>
      </c>
      <c r="AH118"/>
      <c r="AI118"/>
      <c r="AJ118"/>
      <c r="AK118"/>
      <c r="AL118"/>
      <c r="AM118"/>
      <c r="AN118"/>
      <c r="AO118"/>
      <c r="AP118"/>
      <c r="AQ118"/>
      <c r="AR118"/>
    </row>
    <row r="119" spans="1:44" ht="14.1" customHeight="1" thickBot="1">
      <c r="A119" s="16">
        <v>47</v>
      </c>
      <c r="B119" s="66"/>
      <c r="C119" s="67"/>
      <c r="D119" s="67"/>
      <c r="E119" s="67" t="s">
        <v>501</v>
      </c>
      <c r="F119" s="67"/>
      <c r="G119" s="67"/>
      <c r="H119" s="67"/>
      <c r="I119" s="67"/>
      <c r="J119" s="67"/>
      <c r="K119" s="67"/>
      <c r="L119" s="146" t="str">
        <f t="shared" si="17"/>
        <v>TBD</v>
      </c>
      <c r="M119" s="103" t="str">
        <f t="shared" si="18"/>
        <v/>
      </c>
      <c r="T119" s="255" t="s">
        <v>182</v>
      </c>
      <c r="AA119" s="34" t="s">
        <v>185</v>
      </c>
      <c r="AB119" s="64"/>
      <c r="AD119" s="65" t="str">
        <f t="shared" si="20"/>
        <v/>
      </c>
      <c r="AH119"/>
      <c r="AI119"/>
      <c r="AJ119"/>
      <c r="AK119"/>
      <c r="AL119"/>
      <c r="AM119"/>
      <c r="AN119"/>
      <c r="AO119"/>
      <c r="AP119"/>
      <c r="AQ119"/>
      <c r="AR119"/>
    </row>
    <row r="120" spans="1:44" ht="14.1" customHeight="1" thickBot="1">
      <c r="A120" s="16">
        <v>48</v>
      </c>
      <c r="B120" s="66"/>
      <c r="C120" s="67"/>
      <c r="D120" s="67"/>
      <c r="E120" s="67" t="s">
        <v>502</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187</v>
      </c>
      <c r="AB120" s="64"/>
      <c r="AD120" s="65" t="str">
        <f t="shared" si="20"/>
        <v/>
      </c>
      <c r="AH120"/>
      <c r="AI120"/>
      <c r="AJ120"/>
      <c r="AK120"/>
      <c r="AL120"/>
      <c r="AM120"/>
      <c r="AN120"/>
      <c r="AO120"/>
      <c r="AP120"/>
      <c r="AQ120"/>
      <c r="AR120"/>
    </row>
    <row r="121" spans="1:44" ht="14.1" customHeight="1">
      <c r="A121" s="16">
        <v>49</v>
      </c>
      <c r="B121" s="66"/>
      <c r="C121" s="67"/>
      <c r="D121" s="67"/>
      <c r="E121" s="67" t="s">
        <v>503</v>
      </c>
      <c r="F121" s="67"/>
      <c r="G121" s="67"/>
      <c r="H121" s="67"/>
      <c r="I121" s="67"/>
      <c r="J121" s="67"/>
      <c r="K121" s="67"/>
      <c r="L121" s="146" t="str">
        <f t="shared" si="17"/>
        <v>TBD</v>
      </c>
      <c r="M121" s="103" t="str">
        <f t="shared" si="18"/>
        <v/>
      </c>
      <c r="O121" s="82" t="s">
        <v>60</v>
      </c>
      <c r="P121" s="955" t="s">
        <v>61</v>
      </c>
      <c r="Q121" s="956"/>
      <c r="R121" s="957"/>
      <c r="S121" s="955" t="s">
        <v>508</v>
      </c>
      <c r="T121" s="956"/>
      <c r="U121" s="957"/>
      <c r="V121" s="955" t="s">
        <v>63</v>
      </c>
      <c r="W121" s="956"/>
      <c r="X121" s="961"/>
      <c r="Y121" s="31"/>
      <c r="AA121" s="34" t="s">
        <v>194</v>
      </c>
      <c r="AB121" s="64"/>
      <c r="AD121" s="65" t="str">
        <f>IF(T463="","",T463)</f>
        <v/>
      </c>
      <c r="AH121"/>
      <c r="AI121"/>
      <c r="AJ121"/>
      <c r="AK121"/>
      <c r="AL121"/>
      <c r="AM121"/>
      <c r="AN121"/>
      <c r="AO121"/>
      <c r="AP121"/>
      <c r="AQ121"/>
      <c r="AR121"/>
    </row>
    <row r="122" spans="1:44" ht="14.1" customHeight="1">
      <c r="A122" s="16">
        <v>50</v>
      </c>
      <c r="B122" s="66"/>
      <c r="C122" s="67"/>
      <c r="D122" s="67"/>
      <c r="E122" s="67" t="s">
        <v>504</v>
      </c>
      <c r="F122" s="67"/>
      <c r="G122" s="67"/>
      <c r="H122" s="67"/>
      <c r="I122" s="67"/>
      <c r="J122" s="67"/>
      <c r="K122" s="67"/>
      <c r="L122" s="146" t="str">
        <f t="shared" si="17"/>
        <v>TBD</v>
      </c>
      <c r="M122" s="103" t="str">
        <f t="shared" si="18"/>
        <v/>
      </c>
      <c r="O122" s="83" t="s">
        <v>64</v>
      </c>
      <c r="P122" s="958"/>
      <c r="Q122" s="959"/>
      <c r="R122" s="960"/>
      <c r="S122" s="958"/>
      <c r="T122" s="959"/>
      <c r="U122" s="960"/>
      <c r="V122" s="958"/>
      <c r="W122" s="959"/>
      <c r="X122" s="962"/>
      <c r="Y122" s="31"/>
      <c r="AA122" s="34" t="s">
        <v>195</v>
      </c>
      <c r="AB122" s="64"/>
      <c r="AD122" s="65" t="str">
        <f>IF(T464="","",T464)</f>
        <v/>
      </c>
      <c r="AH122"/>
      <c r="AI122"/>
      <c r="AJ122"/>
      <c r="AK122"/>
      <c r="AL122"/>
      <c r="AM122"/>
      <c r="AN122"/>
      <c r="AO122"/>
      <c r="AP122"/>
      <c r="AQ122"/>
      <c r="AR122"/>
    </row>
    <row r="123" spans="1:44" ht="14.1" customHeight="1" thickBot="1">
      <c r="A123" s="16">
        <v>51</v>
      </c>
      <c r="B123" s="66"/>
      <c r="C123" s="67"/>
      <c r="D123" s="67"/>
      <c r="E123" s="67" t="s">
        <v>505</v>
      </c>
      <c r="F123" s="67"/>
      <c r="G123" s="67"/>
      <c r="H123" s="67"/>
      <c r="I123" s="67"/>
      <c r="J123" s="67"/>
      <c r="K123" s="67"/>
      <c r="L123" s="146" t="str">
        <f t="shared" si="17"/>
        <v>TBD</v>
      </c>
      <c r="M123" s="103" t="str">
        <f t="shared" si="18"/>
        <v/>
      </c>
      <c r="O123" s="83" t="s">
        <v>66</v>
      </c>
      <c r="P123" s="84" t="s">
        <v>67</v>
      </c>
      <c r="Q123" s="85" t="s">
        <v>22</v>
      </c>
      <c r="R123" s="86" t="s">
        <v>68</v>
      </c>
      <c r="S123" s="84" t="s">
        <v>67</v>
      </c>
      <c r="T123" s="85" t="s">
        <v>22</v>
      </c>
      <c r="U123" s="86" t="s">
        <v>68</v>
      </c>
      <c r="V123" s="84" t="s">
        <v>67</v>
      </c>
      <c r="W123" s="85" t="s">
        <v>22</v>
      </c>
      <c r="X123" s="86" t="s">
        <v>68</v>
      </c>
      <c r="Y123" s="31"/>
      <c r="AA123" s="74" t="s">
        <v>580</v>
      </c>
      <c r="AH123"/>
      <c r="AI123"/>
      <c r="AJ123"/>
      <c r="AK123"/>
      <c r="AL123"/>
      <c r="AM123"/>
      <c r="AN123"/>
      <c r="AO123"/>
      <c r="AP123"/>
      <c r="AQ123"/>
      <c r="AR123"/>
    </row>
    <row r="124" spans="1:44" ht="14.1" customHeight="1" thickTop="1">
      <c r="A124" s="16">
        <v>52</v>
      </c>
      <c r="B124" s="66"/>
      <c r="C124" s="67"/>
      <c r="D124" s="67"/>
      <c r="E124" s="67" t="s">
        <v>506</v>
      </c>
      <c r="F124" s="67"/>
      <c r="G124" s="67"/>
      <c r="H124" s="67"/>
      <c r="I124" s="67"/>
      <c r="J124" s="67"/>
      <c r="K124" s="67"/>
      <c r="L124" s="146" t="str">
        <f t="shared" si="17"/>
        <v>TBD</v>
      </c>
      <c r="M124" s="103" t="str">
        <f t="shared" si="18"/>
        <v/>
      </c>
      <c r="O124" s="87" t="s">
        <v>70</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582</v>
      </c>
      <c r="AB124" s="64"/>
      <c r="AD124" s="65" t="str">
        <f>IF(S274="","",S274)</f>
        <v/>
      </c>
      <c r="AH124"/>
      <c r="AI124"/>
      <c r="AJ124"/>
      <c r="AK124"/>
      <c r="AL124"/>
      <c r="AM124"/>
      <c r="AN124"/>
      <c r="AO124"/>
      <c r="AP124"/>
      <c r="AQ124"/>
      <c r="AR124"/>
    </row>
    <row r="125" spans="1:44" ht="14.1" customHeight="1">
      <c r="A125" s="16">
        <v>53</v>
      </c>
      <c r="B125" s="66"/>
      <c r="C125" s="67"/>
      <c r="D125" s="67"/>
      <c r="E125" s="67" t="s">
        <v>507</v>
      </c>
      <c r="F125" s="67"/>
      <c r="G125" s="67"/>
      <c r="H125" s="67"/>
      <c r="I125" s="67"/>
      <c r="J125" s="67"/>
      <c r="K125" s="67"/>
      <c r="L125" s="146" t="str">
        <f t="shared" si="17"/>
        <v>TBD</v>
      </c>
      <c r="M125" s="103" t="str">
        <f t="shared" si="18"/>
        <v/>
      </c>
      <c r="O125" s="92" t="s">
        <v>73</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583</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76</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584</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515</v>
      </c>
      <c r="I127" s="67"/>
      <c r="J127" s="67"/>
      <c r="K127" s="67"/>
      <c r="L127" s="67"/>
      <c r="M127" s="68"/>
      <c r="O127" s="96" t="s">
        <v>79</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585</v>
      </c>
      <c r="AB127" s="64"/>
      <c r="AD127" s="65" t="str">
        <f>IF(P313="","",P313)</f>
        <v/>
      </c>
      <c r="AH127"/>
      <c r="AI127"/>
      <c r="AJ127"/>
      <c r="AK127"/>
      <c r="AL127"/>
      <c r="AM127"/>
      <c r="AN127"/>
      <c r="AO127"/>
      <c r="AP127"/>
      <c r="AQ127"/>
      <c r="AR127"/>
    </row>
    <row r="128" spans="1:44" ht="14.1" customHeight="1" thickBot="1">
      <c r="A128" s="16">
        <v>56</v>
      </c>
      <c r="B128" s="66"/>
      <c r="C128" s="67"/>
      <c r="D128" s="67"/>
      <c r="E128" s="67" t="s">
        <v>516</v>
      </c>
      <c r="F128" s="67"/>
      <c r="G128" s="67"/>
      <c r="H128" s="67"/>
      <c r="I128" s="67"/>
      <c r="J128" s="67"/>
      <c r="K128" s="67"/>
      <c r="L128" s="146" t="str">
        <f>IF(O112="","TBD",IF(O112=1,"YES",IF(O112=3,"NA","")))</f>
        <v>TBD</v>
      </c>
      <c r="M128" s="103" t="str">
        <f>IF(O112=2,"NO","")</f>
        <v/>
      </c>
      <c r="O128" s="29"/>
      <c r="Y128" s="31"/>
      <c r="AA128" s="34" t="s">
        <v>586</v>
      </c>
      <c r="AB128" s="64"/>
      <c r="AD128" s="65" t="str">
        <f>IF(Q313="","",Q313)</f>
        <v/>
      </c>
      <c r="AH128"/>
      <c r="AI128"/>
      <c r="AJ128"/>
      <c r="AK128"/>
      <c r="AL128"/>
      <c r="AM128"/>
      <c r="AN128"/>
      <c r="AO128"/>
      <c r="AP128"/>
      <c r="AQ128"/>
      <c r="AR128"/>
    </row>
    <row r="129" spans="1:44" ht="14.1" customHeight="1">
      <c r="A129" s="16">
        <v>57</v>
      </c>
      <c r="B129" s="66"/>
      <c r="C129" s="67"/>
      <c r="D129" s="67"/>
      <c r="E129" s="67" t="s">
        <v>517</v>
      </c>
      <c r="F129" s="67"/>
      <c r="G129" s="67"/>
      <c r="H129" s="67"/>
      <c r="I129" s="67"/>
      <c r="J129" s="67"/>
      <c r="K129" s="67"/>
      <c r="L129" s="146" t="str">
        <f>IF(O113="","TBD",IF(O113=1,"YES",IF(O113=3,"NA","")))</f>
        <v>TBD</v>
      </c>
      <c r="M129" s="103" t="str">
        <f>IF(O113=2,"NO","")</f>
        <v/>
      </c>
      <c r="O129" s="82" t="s">
        <v>60</v>
      </c>
      <c r="P129" s="955" t="s">
        <v>61</v>
      </c>
      <c r="Q129" s="956"/>
      <c r="R129" s="957"/>
      <c r="S129" s="955" t="s">
        <v>508</v>
      </c>
      <c r="T129" s="956"/>
      <c r="U129" s="957"/>
      <c r="V129" s="963" t="s">
        <v>63</v>
      </c>
      <c r="W129" s="964"/>
      <c r="X129" s="965"/>
      <c r="Y129" s="31"/>
      <c r="AA129" s="34" t="s">
        <v>587</v>
      </c>
      <c r="AB129" s="64"/>
      <c r="AD129" s="65" t="str">
        <f>IF(P314="","",P314)</f>
        <v/>
      </c>
      <c r="AH129"/>
      <c r="AI129"/>
      <c r="AJ129"/>
      <c r="AK129"/>
      <c r="AL129"/>
      <c r="AM129"/>
      <c r="AN129"/>
      <c r="AO129"/>
      <c r="AP129"/>
      <c r="AQ129"/>
      <c r="AR129"/>
    </row>
    <row r="130" spans="1:44" ht="14.1" customHeight="1">
      <c r="A130" s="16">
        <v>58</v>
      </c>
      <c r="B130" s="66"/>
      <c r="C130" s="67"/>
      <c r="D130" s="67"/>
      <c r="E130" s="67" t="s">
        <v>518</v>
      </c>
      <c r="F130" s="67"/>
      <c r="G130" s="67"/>
      <c r="H130" s="67"/>
      <c r="I130" s="67"/>
      <c r="J130" s="67"/>
      <c r="K130" s="67"/>
      <c r="L130" s="146" t="str">
        <f>IF(O114="","TBD",IF(O114=1,"YES",IF(O114=3,"NA","")))</f>
        <v>TBD</v>
      </c>
      <c r="M130" s="103" t="str">
        <f>IF(O114=2,"NO","")</f>
        <v/>
      </c>
      <c r="O130" s="83" t="s">
        <v>64</v>
      </c>
      <c r="P130" s="958"/>
      <c r="Q130" s="959"/>
      <c r="R130" s="960"/>
      <c r="S130" s="958"/>
      <c r="T130" s="959"/>
      <c r="U130" s="960"/>
      <c r="V130" s="966"/>
      <c r="W130" s="942"/>
      <c r="X130" s="967"/>
      <c r="Y130" s="31"/>
      <c r="AA130" s="34" t="s">
        <v>588</v>
      </c>
      <c r="AB130" s="64"/>
      <c r="AD130" s="65" t="str">
        <f>IF(Q314="","",Q314)</f>
        <v/>
      </c>
      <c r="AH130"/>
      <c r="AI130"/>
      <c r="AJ130"/>
      <c r="AK130"/>
      <c r="AL130"/>
      <c r="AM130"/>
      <c r="AN130"/>
      <c r="AO130"/>
      <c r="AP130"/>
      <c r="AQ130"/>
      <c r="AR130"/>
    </row>
    <row r="131" spans="1:44" ht="14.1" customHeight="1" thickBot="1">
      <c r="A131" s="16">
        <v>59</v>
      </c>
      <c r="B131" s="66"/>
      <c r="C131" s="67"/>
      <c r="D131" s="67"/>
      <c r="E131" s="67" t="s">
        <v>519</v>
      </c>
      <c r="F131" s="67"/>
      <c r="G131" s="67"/>
      <c r="H131" s="67"/>
      <c r="I131" s="67"/>
      <c r="J131" s="67"/>
      <c r="K131" s="67"/>
      <c r="L131" s="146" t="str">
        <f>IF(O115="","TBD",IF(O115=1,"YES",IF(O115=3,"NA","")))</f>
        <v>TBD</v>
      </c>
      <c r="M131" s="103" t="str">
        <f>IF(O115=2,"NO","")</f>
        <v/>
      </c>
      <c r="O131" s="83" t="s">
        <v>66</v>
      </c>
      <c r="P131" s="84" t="s">
        <v>67</v>
      </c>
      <c r="Q131" s="85" t="s">
        <v>22</v>
      </c>
      <c r="R131" s="86" t="s">
        <v>68</v>
      </c>
      <c r="S131" s="84" t="s">
        <v>67</v>
      </c>
      <c r="T131" s="85" t="s">
        <v>22</v>
      </c>
      <c r="U131" s="86" t="s">
        <v>68</v>
      </c>
      <c r="V131" s="84" t="s">
        <v>67</v>
      </c>
      <c r="W131" s="85" t="s">
        <v>22</v>
      </c>
      <c r="X131" s="86" t="s">
        <v>68</v>
      </c>
      <c r="Y131" s="31"/>
      <c r="AA131" s="34" t="s">
        <v>589</v>
      </c>
      <c r="AB131" s="64"/>
      <c r="AD131" s="65" t="str">
        <f>IF(P315="","",P315)</f>
        <v/>
      </c>
      <c r="AH131"/>
      <c r="AI131"/>
      <c r="AJ131"/>
      <c r="AK131"/>
      <c r="AL131"/>
      <c r="AM131"/>
      <c r="AN131"/>
      <c r="AO131"/>
      <c r="AP131"/>
      <c r="AQ131"/>
      <c r="AR131"/>
    </row>
    <row r="132" spans="1:44" ht="14.1" customHeight="1" thickTop="1">
      <c r="A132" s="16">
        <v>60</v>
      </c>
      <c r="B132" s="66"/>
      <c r="C132" s="67"/>
      <c r="D132" s="67"/>
      <c r="E132" s="67" t="s">
        <v>520</v>
      </c>
      <c r="F132" s="67"/>
      <c r="G132" s="67"/>
      <c r="H132" s="67"/>
      <c r="I132" s="67"/>
      <c r="J132" s="67"/>
      <c r="K132" s="67"/>
      <c r="L132" s="146" t="str">
        <f>IF(O116="","TBD",IF(O116=1,"YES",IF(O116=3,"NA","")))</f>
        <v>TBD</v>
      </c>
      <c r="M132" s="103" t="str">
        <f>IF(O116=2,"NO","")</f>
        <v/>
      </c>
      <c r="O132" s="87" t="s">
        <v>70</v>
      </c>
      <c r="P132" s="126"/>
      <c r="Q132" s="127"/>
      <c r="R132" s="128"/>
      <c r="S132" s="126"/>
      <c r="T132" s="127"/>
      <c r="U132" s="128"/>
      <c r="V132" s="126"/>
      <c r="W132" s="127"/>
      <c r="X132" s="128"/>
      <c r="Y132" s="31"/>
      <c r="AA132" s="34" t="s">
        <v>590</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73</v>
      </c>
      <c r="P133" s="129"/>
      <c r="Q133" s="130"/>
      <c r="R133" s="131"/>
      <c r="S133" s="129"/>
      <c r="T133" s="130"/>
      <c r="U133" s="131"/>
      <c r="V133" s="129"/>
      <c r="W133" s="130"/>
      <c r="X133" s="131"/>
      <c r="Y133" s="31"/>
      <c r="AA133" s="20" t="s">
        <v>591</v>
      </c>
      <c r="AB133" s="64"/>
      <c r="AD133" s="65" t="str">
        <f>IF(Q349="","",Q349)</f>
        <v/>
      </c>
    </row>
    <row r="134" spans="1:44" ht="14.1" customHeight="1">
      <c r="A134" s="16">
        <v>62</v>
      </c>
      <c r="B134" s="66"/>
      <c r="C134" s="67"/>
      <c r="D134" s="67"/>
      <c r="E134" s="67"/>
      <c r="F134" s="67"/>
      <c r="G134" s="67"/>
      <c r="H134" s="474" t="s">
        <v>598</v>
      </c>
      <c r="I134" s="67"/>
      <c r="J134" s="67"/>
      <c r="K134" s="67"/>
      <c r="L134" s="67"/>
      <c r="M134" s="68"/>
      <c r="O134" s="92" t="s">
        <v>76</v>
      </c>
      <c r="P134" s="129"/>
      <c r="Q134" s="130"/>
      <c r="R134" s="131"/>
      <c r="S134" s="129"/>
      <c r="T134" s="130"/>
      <c r="U134" s="131"/>
      <c r="V134" s="129"/>
      <c r="W134" s="130"/>
      <c r="X134" s="131"/>
      <c r="Y134" s="31"/>
      <c r="AA134" s="20" t="s">
        <v>592</v>
      </c>
      <c r="AB134" s="64"/>
      <c r="AD134" s="65" t="str">
        <f>IF(Q350="","",Q350)</f>
        <v/>
      </c>
    </row>
    <row r="135" spans="1:44" ht="14.1" customHeight="1" thickBot="1">
      <c r="A135" s="16">
        <v>63</v>
      </c>
      <c r="B135" s="66"/>
      <c r="C135" s="67"/>
      <c r="D135" s="67"/>
      <c r="E135" s="67" t="s">
        <v>611</v>
      </c>
      <c r="F135" s="67"/>
      <c r="G135" s="67"/>
      <c r="H135" s="67"/>
      <c r="I135" s="67"/>
      <c r="J135" s="67"/>
      <c r="K135" s="67"/>
      <c r="L135" s="146" t="str">
        <f>IF(O33=2,"NA",IF(V274="","TBD",IF(AND(V274="Pass",V275="Pass",V276="Pass"),"YES","")))</f>
        <v>TBD</v>
      </c>
      <c r="M135" s="103" t="str">
        <f>IF(OR(V274="Fail",V275="Fail",V276="Fail"),"NO","")</f>
        <v/>
      </c>
      <c r="O135" s="96" t="s">
        <v>79</v>
      </c>
      <c r="P135" s="132"/>
      <c r="Q135" s="133"/>
      <c r="R135" s="134"/>
      <c r="S135" s="132"/>
      <c r="T135" s="133"/>
      <c r="U135" s="134"/>
      <c r="V135" s="132"/>
      <c r="W135" s="133"/>
      <c r="X135" s="134"/>
      <c r="Y135" s="41"/>
      <c r="AA135" s="20" t="s">
        <v>593</v>
      </c>
      <c r="AB135" s="64"/>
      <c r="AD135" s="65" t="str">
        <f>IF(T349="","",T349)</f>
        <v/>
      </c>
    </row>
    <row r="136" spans="1:44" ht="14.1" customHeight="1">
      <c r="A136" s="16">
        <v>64</v>
      </c>
      <c r="B136" s="66"/>
      <c r="C136" s="67"/>
      <c r="D136" s="67"/>
      <c r="E136" s="20" t="s">
        <v>612</v>
      </c>
      <c r="L136" s="146" t="str">
        <f>IF(O33=2,"NA",IF(V304="","TBD",IF(V304="Pass","YES","")))</f>
        <v>TBD</v>
      </c>
      <c r="M136" s="103" t="str">
        <f>IF(V304="Fail","NO","")</f>
        <v/>
      </c>
      <c r="O136" s="4"/>
      <c r="P136" s="4"/>
      <c r="Q136" s="4"/>
      <c r="R136" s="4"/>
      <c r="S136" s="4"/>
      <c r="T136" s="4"/>
      <c r="U136" s="4"/>
      <c r="V136" s="4"/>
      <c r="W136" s="4"/>
      <c r="X136" s="4"/>
      <c r="AA136" s="20" t="s">
        <v>594</v>
      </c>
      <c r="AB136" s="64"/>
      <c r="AD136" s="65" t="str">
        <f>IF(T350="","",T350)</f>
        <v/>
      </c>
    </row>
    <row r="137" spans="1:44" ht="14.1" customHeight="1" thickBot="1">
      <c r="A137" s="16">
        <v>65</v>
      </c>
      <c r="B137" s="66"/>
      <c r="C137" s="67"/>
      <c r="D137" s="67"/>
      <c r="E137" s="67" t="s">
        <v>599</v>
      </c>
      <c r="F137" s="67"/>
      <c r="G137" s="67"/>
      <c r="H137" s="67"/>
      <c r="I137" s="67"/>
      <c r="J137" s="67"/>
      <c r="K137" s="67"/>
      <c r="L137" s="146" t="str">
        <f>IF(O33=2,"NA",IF(R313="","TBD",IF(AND(R313="Pass",R314="Pass",R315="Pass"),"YES","")))</f>
        <v>TBD</v>
      </c>
      <c r="M137" s="103" t="str">
        <f>IF(OR(R313="Fail",R314="Fail",R315="Fail"),"NO","")</f>
        <v/>
      </c>
      <c r="T137" s="255" t="s">
        <v>69</v>
      </c>
      <c r="AA137" s="20" t="s">
        <v>595</v>
      </c>
      <c r="AB137" s="64"/>
      <c r="AD137" s="65" t="str">
        <f>IF(W349="","",W349)</f>
        <v/>
      </c>
    </row>
    <row r="138" spans="1:44" ht="14.1" customHeight="1">
      <c r="A138" s="16">
        <v>66</v>
      </c>
      <c r="B138" s="66"/>
      <c r="C138" s="67"/>
      <c r="D138" s="67"/>
      <c r="E138" s="67" t="s">
        <v>600</v>
      </c>
      <c r="F138" s="67"/>
      <c r="G138" s="67"/>
      <c r="H138" s="67"/>
      <c r="I138" s="67"/>
      <c r="J138" s="67"/>
      <c r="K138" s="67"/>
      <c r="L138" s="146" t="str">
        <f>IF(O33=2,"NA",IF(G414="","TBD",IF(AND(G414="Pass",G415="Pass",G416="Pass"),"YES","")))</f>
        <v>TBD</v>
      </c>
      <c r="M138" s="103" t="str">
        <f>IF(OR(G414="Fail",G415="Fail",G416="Fail"),"NO","")</f>
        <v/>
      </c>
      <c r="O138" s="135" t="s">
        <v>196</v>
      </c>
      <c r="P138" s="22"/>
      <c r="Q138" s="22"/>
      <c r="R138" s="22" t="s">
        <v>203</v>
      </c>
      <c r="S138" s="22" t="s">
        <v>706</v>
      </c>
      <c r="T138" s="22"/>
      <c r="U138" s="22"/>
      <c r="V138" s="22"/>
      <c r="W138" s="22"/>
      <c r="X138" s="22"/>
      <c r="Y138" s="23"/>
      <c r="AA138" s="20" t="s">
        <v>596</v>
      </c>
      <c r="AB138" s="64"/>
      <c r="AD138" s="65" t="str">
        <f>IF(W350="","",W350)</f>
        <v/>
      </c>
    </row>
    <row r="139" spans="1:44" ht="14.1" customHeight="1">
      <c r="A139" s="16">
        <v>67</v>
      </c>
      <c r="B139" s="66"/>
      <c r="C139" s="67"/>
      <c r="D139" s="67"/>
      <c r="E139" s="67" t="s">
        <v>601</v>
      </c>
      <c r="F139" s="67"/>
      <c r="G139" s="67"/>
      <c r="H139" s="67"/>
      <c r="I139" s="67"/>
      <c r="J139" s="67"/>
      <c r="K139" s="67"/>
      <c r="L139" s="146" t="str">
        <f>IF(O362="","TBD",IF(O362=1,"YES",IF(O362=3,"NA","")))</f>
        <v>TBD</v>
      </c>
      <c r="M139" s="103" t="str">
        <f>IF(O362=2,"NO","")</f>
        <v/>
      </c>
      <c r="O139" s="29"/>
      <c r="P139" s="4"/>
      <c r="Q139" s="34" t="s">
        <v>197</v>
      </c>
      <c r="R139" s="136"/>
      <c r="S139" s="789"/>
      <c r="T139" s="4"/>
      <c r="Y139" s="31"/>
      <c r="AA139" s="34" t="s">
        <v>575</v>
      </c>
    </row>
    <row r="140" spans="1:44" ht="14.1" customHeight="1">
      <c r="A140" s="16">
        <v>68</v>
      </c>
      <c r="B140" s="66"/>
      <c r="C140" s="67"/>
      <c r="D140" s="67"/>
      <c r="E140" s="67" t="s">
        <v>573</v>
      </c>
      <c r="F140" s="67"/>
      <c r="G140" s="67"/>
      <c r="H140" s="67"/>
      <c r="I140" s="67"/>
      <c r="J140" s="67"/>
      <c r="K140" s="67"/>
      <c r="L140" s="146" t="str">
        <f>IF(O363="","TBD",IF(O363=1,"YES",IF(O363=3,"NA","")))</f>
        <v>TBD</v>
      </c>
      <c r="M140" s="103" t="str">
        <f>IF(O363=2,"NO","")</f>
        <v/>
      </c>
      <c r="O140" s="29"/>
      <c r="P140" s="4"/>
      <c r="Q140" s="34" t="s">
        <v>198</v>
      </c>
      <c r="R140" s="136"/>
      <c r="S140" s="4" t="s">
        <v>71</v>
      </c>
      <c r="T140" s="4"/>
      <c r="Y140" s="31"/>
      <c r="AA140" s="34" t="s">
        <v>183</v>
      </c>
      <c r="AB140" s="64"/>
      <c r="AD140" s="65" t="str">
        <f>IF(P357="","",P357)</f>
        <v/>
      </c>
    </row>
    <row r="141" spans="1:44" ht="14.1" customHeight="1">
      <c r="A141" s="16">
        <v>69</v>
      </c>
      <c r="B141" s="66"/>
      <c r="C141" s="67"/>
      <c r="D141" s="67"/>
      <c r="E141" s="67" t="s">
        <v>579</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185</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199</v>
      </c>
      <c r="Q142" s="26" t="s">
        <v>200</v>
      </c>
      <c r="Y142" s="31"/>
      <c r="AA142" s="34" t="s">
        <v>187</v>
      </c>
      <c r="AB142" s="64"/>
      <c r="AD142" s="65" t="str">
        <f>IF(P359="","",P359)</f>
        <v/>
      </c>
    </row>
    <row r="143" spans="1:44" ht="14.1" customHeight="1" thickTop="1">
      <c r="A143" s="16">
        <v>71</v>
      </c>
      <c r="C143" s="108" t="s">
        <v>8</v>
      </c>
      <c r="D143" s="367" t="str">
        <f>IF($P$7="","",$P$7)</f>
        <v/>
      </c>
      <c r="E143" s="26"/>
      <c r="F143" s="26"/>
      <c r="G143" s="26"/>
      <c r="H143" s="26"/>
      <c r="I143" s="26"/>
      <c r="J143" s="26"/>
      <c r="K143" s="26"/>
      <c r="L143" s="108" t="s">
        <v>9</v>
      </c>
      <c r="M143" s="368" t="str">
        <f>IF($X$7="","",$X$7)</f>
        <v>Eugene Mah</v>
      </c>
      <c r="O143" s="29"/>
      <c r="Q143" s="26" t="s">
        <v>765</v>
      </c>
      <c r="Y143" s="31"/>
      <c r="AA143" s="34" t="s">
        <v>576</v>
      </c>
    </row>
    <row r="144" spans="1:44" ht="14.1" customHeight="1">
      <c r="A144" s="16">
        <v>72</v>
      </c>
      <c r="C144" s="108" t="s">
        <v>117</v>
      </c>
      <c r="D144" s="368" t="str">
        <f>IF($R$14="","",$R$14)</f>
        <v/>
      </c>
      <c r="E144" s="26"/>
      <c r="F144" s="26"/>
      <c r="G144" s="26"/>
      <c r="H144" s="26"/>
      <c r="I144" s="26"/>
      <c r="J144" s="26"/>
      <c r="K144" s="26"/>
      <c r="L144" s="108" t="s">
        <v>34</v>
      </c>
      <c r="M144" s="368" t="str">
        <f>IF($R$13="","",$R$13)</f>
        <v/>
      </c>
      <c r="O144" s="29"/>
      <c r="Y144" s="31"/>
      <c r="AA144" s="34" t="s">
        <v>183</v>
      </c>
      <c r="AB144" s="64"/>
      <c r="AD144" s="65" t="str">
        <f>IF(Q357="","",Q357)</f>
        <v/>
      </c>
    </row>
    <row r="145" spans="1:30" ht="14.1" customHeight="1">
      <c r="A145" s="16">
        <v>1</v>
      </c>
      <c r="M145" s="111" t="str">
        <f>$H$2</f>
        <v>Medical University of South Carolina</v>
      </c>
      <c r="O145" s="137" t="s">
        <v>201</v>
      </c>
      <c r="Y145" s="31"/>
      <c r="AA145" s="34" t="s">
        <v>185</v>
      </c>
      <c r="AB145" s="64"/>
      <c r="AD145" s="65" t="str">
        <f>IF(Q358="","",Q358)</f>
        <v/>
      </c>
    </row>
    <row r="146" spans="1:30" ht="14.1" customHeight="1" thickBot="1">
      <c r="A146" s="16">
        <v>2</v>
      </c>
      <c r="H146" s="50" t="s">
        <v>69</v>
      </c>
      <c r="M146" s="112" t="str">
        <f>$H$5</f>
        <v>Mammography System Compliance Inspection</v>
      </c>
      <c r="O146" s="29"/>
      <c r="P146" s="20" t="s">
        <v>202</v>
      </c>
      <c r="Q146" s="535" t="s">
        <v>203</v>
      </c>
      <c r="R146" s="535" t="s">
        <v>204</v>
      </c>
      <c r="Y146" s="31"/>
      <c r="AA146" s="34" t="s">
        <v>187</v>
      </c>
      <c r="AB146" s="64"/>
      <c r="AD146" s="65" t="str">
        <f>IF(Q359="","",Q359)</f>
        <v/>
      </c>
    </row>
    <row r="147" spans="1:30" ht="14.1" customHeight="1" thickTop="1" thickBot="1">
      <c r="A147" s="16">
        <v>3</v>
      </c>
      <c r="B147" s="57"/>
      <c r="C147" s="59" t="s">
        <v>196</v>
      </c>
      <c r="D147" s="58"/>
      <c r="E147" s="58"/>
      <c r="F147" s="58"/>
      <c r="G147" s="58"/>
      <c r="H147" s="58"/>
      <c r="I147" s="58"/>
      <c r="J147" s="58"/>
      <c r="K147" s="58"/>
      <c r="L147" s="58"/>
      <c r="M147" s="60"/>
      <c r="O147" s="29"/>
      <c r="P147" s="535">
        <v>1</v>
      </c>
      <c r="Q147" s="136"/>
      <c r="R147" s="138" t="str">
        <f t="shared" ref="R147:R154" si="21">IF(Q147="","",ABS(Q147-P147))</f>
        <v/>
      </c>
      <c r="Y147" s="31"/>
    </row>
    <row r="148" spans="1:30" ht="14.1" customHeight="1" thickBot="1">
      <c r="A148" s="16">
        <v>4</v>
      </c>
      <c r="B148" s="66"/>
      <c r="C148" s="67"/>
      <c r="D148" s="67"/>
      <c r="E148" s="160" t="s">
        <v>197</v>
      </c>
      <c r="F148" s="864" t="str">
        <f>IF(R139="","",R139)</f>
        <v/>
      </c>
      <c r="G148" s="67"/>
      <c r="H148" s="160" t="s">
        <v>213</v>
      </c>
      <c r="I148" s="142" t="str">
        <f>IF(R141="","",R141)</f>
        <v/>
      </c>
      <c r="J148" s="67"/>
      <c r="K148" s="67"/>
      <c r="L148" s="67"/>
      <c r="M148" s="68"/>
      <c r="O148" s="29"/>
      <c r="P148" s="535">
        <v>2</v>
      </c>
      <c r="Q148" s="136"/>
      <c r="R148" s="138" t="str">
        <f t="shared" si="21"/>
        <v/>
      </c>
      <c r="Y148" s="31"/>
    </row>
    <row r="149" spans="1:30" ht="14.1" customHeight="1" thickBot="1">
      <c r="A149" s="16">
        <v>5</v>
      </c>
      <c r="B149" s="66"/>
      <c r="C149" s="67"/>
      <c r="D149" s="67"/>
      <c r="E149" s="160" t="s">
        <v>198</v>
      </c>
      <c r="F149" s="425" t="str">
        <f>IF(R140="","",IF(R140=1,"Pass","Fail"))</f>
        <v/>
      </c>
      <c r="G149" s="534"/>
      <c r="H149" s="534"/>
      <c r="I149" s="67"/>
      <c r="J149" s="67"/>
      <c r="K149" s="67"/>
      <c r="L149" s="67"/>
      <c r="M149" s="68"/>
      <c r="O149" s="29"/>
      <c r="P149" s="535">
        <v>4</v>
      </c>
      <c r="Q149" s="136"/>
      <c r="R149" s="138" t="str">
        <f t="shared" si="21"/>
        <v/>
      </c>
      <c r="S149" s="34" t="s">
        <v>205</v>
      </c>
      <c r="T149" s="139" t="str">
        <f>IF(OR(Q149="",Q150="",Q151="",Q152=""),"",AVERAGE(Q149:Q152))</f>
        <v/>
      </c>
      <c r="Y149" s="31"/>
    </row>
    <row r="150" spans="1:30" ht="14.1" customHeight="1">
      <c r="A150" s="16">
        <v>6</v>
      </c>
      <c r="B150" s="66"/>
      <c r="C150" s="67"/>
      <c r="D150" s="3" t="s">
        <v>199</v>
      </c>
      <c r="E150" s="190" t="s">
        <v>200</v>
      </c>
      <c r="F150" s="67"/>
      <c r="G150" s="534"/>
      <c r="H150" s="67"/>
      <c r="I150" s="67"/>
      <c r="J150" s="67"/>
      <c r="K150" s="67"/>
      <c r="L150" s="67"/>
      <c r="M150" s="68"/>
      <c r="O150" s="29"/>
      <c r="P150" s="535">
        <v>4</v>
      </c>
      <c r="Q150" s="136"/>
      <c r="R150" s="138" t="str">
        <f t="shared" si="21"/>
        <v/>
      </c>
      <c r="S150" s="34" t="s">
        <v>206</v>
      </c>
      <c r="T150" s="140" t="str">
        <f>IF(OR(Q149="",Q150="",Q151="",Q152=""),"",_xlfn.STDEV.S(Q149:Q152))</f>
        <v/>
      </c>
      <c r="Y150" s="31"/>
    </row>
    <row r="151" spans="1:30" ht="14.1" customHeight="1">
      <c r="A151" s="16">
        <v>7</v>
      </c>
      <c r="B151" s="66"/>
      <c r="C151" s="67"/>
      <c r="E151" s="26" t="s">
        <v>765</v>
      </c>
      <c r="G151" s="67"/>
      <c r="H151" s="67"/>
      <c r="I151" s="67"/>
      <c r="J151" s="67"/>
      <c r="K151" s="67"/>
      <c r="L151" s="67"/>
      <c r="M151" s="68"/>
      <c r="O151" s="29"/>
      <c r="P151" s="535">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1"/>
        <v/>
      </c>
      <c r="T152" s="112" t="s">
        <v>199</v>
      </c>
      <c r="U152" s="26" t="s">
        <v>207</v>
      </c>
      <c r="Y152" s="31"/>
      <c r="AA152"/>
      <c r="AB152"/>
      <c r="AC152"/>
      <c r="AD152"/>
    </row>
    <row r="153" spans="1:30" ht="14.1" customHeight="1" thickBot="1">
      <c r="A153" s="16">
        <v>9</v>
      </c>
      <c r="B153" s="66"/>
      <c r="C153" s="144" t="s">
        <v>201</v>
      </c>
      <c r="D153" s="67"/>
      <c r="E153" s="67"/>
      <c r="F153" s="67"/>
      <c r="G153" s="67"/>
      <c r="H153" s="67"/>
      <c r="I153" s="67"/>
      <c r="J153" s="67"/>
      <c r="K153" s="67"/>
      <c r="L153" s="67"/>
      <c r="M153" s="68"/>
      <c r="O153" s="29"/>
      <c r="P153" s="535">
        <v>6</v>
      </c>
      <c r="Q153" s="136"/>
      <c r="R153" s="138" t="str">
        <f t="shared" si="21"/>
        <v/>
      </c>
      <c r="U153" s="26" t="s">
        <v>208</v>
      </c>
      <c r="Y153" s="31"/>
      <c r="AA153"/>
      <c r="AB153"/>
      <c r="AC153"/>
      <c r="AD153"/>
    </row>
    <row r="154" spans="1:30" ht="14.1" customHeight="1">
      <c r="A154" s="16">
        <v>10</v>
      </c>
      <c r="B154" s="66"/>
      <c r="C154" s="378" t="s">
        <v>202</v>
      </c>
      <c r="D154" s="410" t="s">
        <v>203</v>
      </c>
      <c r="E154" s="411" t="s">
        <v>204</v>
      </c>
      <c r="F154" s="67"/>
      <c r="G154" s="67"/>
      <c r="H154" s="325"/>
      <c r="I154" s="160" t="s">
        <v>217</v>
      </c>
      <c r="J154" s="146" t="str">
        <f>IF(O156="","TBD",IF(O156=1,"YES",IF(O156=3,"NA","")))</f>
        <v>YES</v>
      </c>
      <c r="K154" s="146" t="str">
        <f>IF(O156=2,"NO","")</f>
        <v/>
      </c>
      <c r="M154" s="68"/>
      <c r="O154" s="29"/>
      <c r="P154" s="535">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218</v>
      </c>
      <c r="J155" s="146" t="str">
        <f>IF(O157="","TBD",IF(O157=1,"YES",IF(O157=3,"NA","")))</f>
        <v>YES</v>
      </c>
      <c r="K155" s="146" t="str">
        <f>IF(O157=2,"NO","")</f>
        <v/>
      </c>
      <c r="M155" s="68"/>
      <c r="O155" s="29" t="s">
        <v>71</v>
      </c>
      <c r="Y155" s="31"/>
    </row>
    <row r="156" spans="1:30" ht="14.1" customHeight="1">
      <c r="A156" s="16">
        <v>12</v>
      </c>
      <c r="B156" s="66"/>
      <c r="C156" s="330">
        <v>2</v>
      </c>
      <c r="D156" s="303" t="str">
        <f t="shared" si="22"/>
        <v/>
      </c>
      <c r="E156" s="331" t="str">
        <f t="shared" si="22"/>
        <v/>
      </c>
      <c r="F156" s="67"/>
      <c r="G156" s="67"/>
      <c r="H156" s="67"/>
      <c r="I156" s="160" t="s">
        <v>210</v>
      </c>
      <c r="J156" s="146" t="str">
        <f>IF(S156="","TBD",S156)</f>
        <v>TBD</v>
      </c>
      <c r="K156" s="67"/>
      <c r="L156" s="67"/>
      <c r="M156" s="68"/>
      <c r="O156" s="95">
        <v>1</v>
      </c>
      <c r="P156" s="20" t="s">
        <v>209</v>
      </c>
      <c r="S156" s="138" t="str">
        <f>IF(R147="","",IF(OR(R147&gt;0.5,R148&gt;0.5,R149&gt;0.5,R150&gt;0.5,R151&gt;0.5,R152&gt;0.5,R153&gt;0.5,R154&gt;0.5),"Fail","Pass"))</f>
        <v/>
      </c>
      <c r="T156" s="35" t="s">
        <v>210</v>
      </c>
      <c r="Y156" s="31"/>
    </row>
    <row r="157" spans="1:30" ht="14.1" customHeight="1">
      <c r="A157" s="16">
        <v>13</v>
      </c>
      <c r="B157" s="66"/>
      <c r="C157" s="330">
        <v>4</v>
      </c>
      <c r="D157" s="303" t="str">
        <f t="shared" si="22"/>
        <v/>
      </c>
      <c r="E157" s="331" t="str">
        <f t="shared" si="22"/>
        <v/>
      </c>
      <c r="F157" s="67"/>
      <c r="G157" s="67"/>
      <c r="H157" s="67"/>
      <c r="I157" s="160" t="s">
        <v>205</v>
      </c>
      <c r="J157" s="139" t="str">
        <f>IF(T149="","",T149)</f>
        <v/>
      </c>
      <c r="K157" s="67"/>
      <c r="L157" s="67"/>
      <c r="M157" s="68"/>
      <c r="O157" s="95">
        <v>1</v>
      </c>
      <c r="P157" s="20" t="s">
        <v>211</v>
      </c>
      <c r="Y157" s="31"/>
    </row>
    <row r="158" spans="1:30" ht="14.1" customHeight="1">
      <c r="A158" s="16">
        <v>14</v>
      </c>
      <c r="B158" s="66"/>
      <c r="C158" s="330">
        <v>4</v>
      </c>
      <c r="D158" s="303" t="str">
        <f t="shared" si="22"/>
        <v/>
      </c>
      <c r="E158" s="331" t="str">
        <f t="shared" si="22"/>
        <v/>
      </c>
      <c r="F158" s="67"/>
      <c r="G158" s="67"/>
      <c r="H158" s="67"/>
      <c r="I158" s="160" t="s">
        <v>206</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212</v>
      </c>
      <c r="Y159" s="31"/>
    </row>
    <row r="160" spans="1:30" ht="14.1" customHeight="1">
      <c r="A160" s="16">
        <v>16</v>
      </c>
      <c r="B160" s="66"/>
      <c r="C160" s="330">
        <v>4</v>
      </c>
      <c r="D160" s="303" t="str">
        <f t="shared" si="22"/>
        <v/>
      </c>
      <c r="E160" s="331" t="str">
        <f t="shared" si="22"/>
        <v/>
      </c>
      <c r="F160" s="3" t="s">
        <v>199</v>
      </c>
      <c r="G160" s="190" t="s">
        <v>207</v>
      </c>
      <c r="H160" s="67"/>
      <c r="I160" s="67"/>
      <c r="J160" s="67"/>
      <c r="K160" s="67"/>
      <c r="L160" s="67"/>
      <c r="M160" s="68"/>
      <c r="O160" s="29"/>
      <c r="P160" s="34" t="s">
        <v>48</v>
      </c>
      <c r="Q160" s="143"/>
      <c r="R160" s="143"/>
      <c r="S160" s="143"/>
      <c r="T160" s="141"/>
      <c r="Y160" s="31"/>
    </row>
    <row r="161" spans="1:25" ht="14.1" customHeight="1">
      <c r="A161" s="16">
        <v>17</v>
      </c>
      <c r="B161" s="66"/>
      <c r="C161" s="330">
        <v>6</v>
      </c>
      <c r="D161" s="303" t="str">
        <f t="shared" si="22"/>
        <v/>
      </c>
      <c r="E161" s="331" t="str">
        <f t="shared" si="22"/>
        <v/>
      </c>
      <c r="F161" s="144"/>
      <c r="G161" s="190" t="s">
        <v>208</v>
      </c>
      <c r="H161" s="67"/>
      <c r="I161" s="67"/>
      <c r="J161" s="67"/>
      <c r="K161" s="67"/>
      <c r="L161" s="67"/>
      <c r="M161" s="68"/>
      <c r="O161" s="29"/>
      <c r="P161" s="34" t="s">
        <v>50</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772</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169</v>
      </c>
      <c r="Q163" s="143"/>
      <c r="R163" s="143"/>
      <c r="S163" s="143"/>
      <c r="T163" s="141"/>
      <c r="Y163" s="31"/>
    </row>
    <row r="164" spans="1:25" ht="14.1" customHeight="1" thickBot="1">
      <c r="A164" s="16">
        <v>20</v>
      </c>
      <c r="B164" s="66"/>
      <c r="C164" s="144" t="s">
        <v>212</v>
      </c>
      <c r="D164" s="67"/>
      <c r="E164" s="67"/>
      <c r="F164" s="67"/>
      <c r="G164" s="67"/>
      <c r="H164" s="67"/>
      <c r="I164" s="67"/>
      <c r="J164" s="67"/>
      <c r="K164" s="67"/>
      <c r="L164" s="67"/>
      <c r="M164" s="68"/>
      <c r="O164" s="29"/>
      <c r="P164" s="34" t="s">
        <v>214</v>
      </c>
      <c r="Q164" s="143"/>
      <c r="R164" s="143"/>
      <c r="S164" s="143"/>
      <c r="T164" s="141"/>
      <c r="Y164" s="31"/>
    </row>
    <row r="165" spans="1:25" ht="14.1" customHeight="1">
      <c r="A165" s="16">
        <v>21</v>
      </c>
      <c r="B165" s="66"/>
      <c r="C165" s="160" t="s">
        <v>48</v>
      </c>
      <c r="D165" s="370" t="str">
        <f t="shared" ref="D165:F167" si="23">IF(Q160="","",Q160)</f>
        <v/>
      </c>
      <c r="E165" s="371" t="str">
        <f t="shared" si="23"/>
        <v/>
      </c>
      <c r="F165" s="372" t="str">
        <f t="shared" si="23"/>
        <v/>
      </c>
      <c r="G165" s="67"/>
      <c r="H165" s="534" t="str">
        <f>IF(T160="","",T160)</f>
        <v/>
      </c>
      <c r="I165" s="67"/>
      <c r="J165" s="67"/>
      <c r="K165" s="67"/>
      <c r="L165" s="67"/>
      <c r="M165" s="68"/>
      <c r="O165" s="29"/>
      <c r="P165" s="34" t="s">
        <v>215</v>
      </c>
      <c r="Q165" s="143"/>
      <c r="R165" s="143"/>
      <c r="S165" s="143"/>
      <c r="T165" s="141"/>
      <c r="Y165" s="31"/>
    </row>
    <row r="166" spans="1:25" ht="14.1" customHeight="1">
      <c r="A166" s="16">
        <v>22</v>
      </c>
      <c r="B166" s="66"/>
      <c r="C166" s="160" t="s">
        <v>50</v>
      </c>
      <c r="D166" s="373" t="str">
        <f t="shared" si="23"/>
        <v/>
      </c>
      <c r="E166" s="15" t="str">
        <f t="shared" si="23"/>
        <v/>
      </c>
      <c r="F166" s="374" t="str">
        <f t="shared" si="23"/>
        <v/>
      </c>
      <c r="G166" s="67"/>
      <c r="H166" s="534" t="str">
        <f>IF(T160="","",T160)</f>
        <v/>
      </c>
      <c r="I166" s="67"/>
      <c r="J166" s="67"/>
      <c r="K166" s="67"/>
      <c r="L166" s="67"/>
      <c r="M166" s="68"/>
      <c r="O166" s="29"/>
      <c r="P166" s="34" t="s">
        <v>213</v>
      </c>
      <c r="Q166" s="143"/>
      <c r="R166" s="143"/>
      <c r="S166" s="143"/>
      <c r="T166" s="145"/>
      <c r="Y166" s="31"/>
    </row>
    <row r="167" spans="1:25" ht="14.1" customHeight="1">
      <c r="A167" s="16">
        <v>23</v>
      </c>
      <c r="B167" s="66"/>
      <c r="C167" s="34" t="s">
        <v>772</v>
      </c>
      <c r="D167" s="373" t="str">
        <f t="shared" si="23"/>
        <v/>
      </c>
      <c r="E167" s="15" t="str">
        <f t="shared" si="23"/>
        <v/>
      </c>
      <c r="F167" s="374" t="str">
        <f t="shared" si="23"/>
        <v/>
      </c>
      <c r="G167" s="67"/>
      <c r="H167" s="534" t="str">
        <f>IF(T161="","",T161)</f>
        <v/>
      </c>
      <c r="I167" s="67"/>
      <c r="J167" s="67"/>
      <c r="K167" s="67"/>
      <c r="L167" s="67"/>
      <c r="M167" s="68"/>
      <c r="O167" s="29"/>
      <c r="P167" s="3" t="s">
        <v>199</v>
      </c>
      <c r="Q167" s="861" t="s">
        <v>216</v>
      </c>
      <c r="R167" s="4"/>
      <c r="S167" s="4"/>
      <c r="T167" s="4"/>
      <c r="Y167" s="31"/>
    </row>
    <row r="168" spans="1:25" ht="14.1" customHeight="1">
      <c r="A168" s="16">
        <v>24</v>
      </c>
      <c r="B168" s="66"/>
      <c r="C168" s="160" t="s">
        <v>234</v>
      </c>
      <c r="D168" s="373" t="str">
        <f>IF(Q163="","",Q163)</f>
        <v/>
      </c>
      <c r="E168" s="15" t="str">
        <f>IF(R163="","",R163)</f>
        <v/>
      </c>
      <c r="F168" s="374" t="str">
        <f>IF(S163="","",S163)</f>
        <v/>
      </c>
      <c r="G168" s="67"/>
      <c r="H168" s="534" t="str">
        <f>IF(T162="","",T162)</f>
        <v/>
      </c>
      <c r="I168" s="67"/>
      <c r="J168" s="67"/>
      <c r="K168" s="67"/>
      <c r="L168" s="67"/>
      <c r="M168" s="68"/>
      <c r="O168" s="29"/>
      <c r="P168" s="108" t="s">
        <v>219</v>
      </c>
      <c r="Q168" s="147" t="str">
        <f>IF(Q170&lt;&gt;"",Q170,IF(AB190="","",AB190))</f>
        <v/>
      </c>
      <c r="R168" s="148"/>
      <c r="S168" s="148"/>
      <c r="T168" s="148"/>
      <c r="U168" s="148"/>
      <c r="V168" s="148"/>
      <c r="W168" s="148"/>
      <c r="X168" s="148"/>
      <c r="Y168" s="31"/>
    </row>
    <row r="169" spans="1:25" ht="14.1" customHeight="1">
      <c r="A169" s="16">
        <v>25</v>
      </c>
      <c r="B169" s="66"/>
      <c r="C169" s="160" t="s">
        <v>169</v>
      </c>
      <c r="D169" s="373" t="str">
        <f t="shared" ref="D169:F172" si="24">IF(Q163="","",Q163)</f>
        <v/>
      </c>
      <c r="E169" s="15" t="str">
        <f t="shared" si="24"/>
        <v/>
      </c>
      <c r="F169" s="374" t="str">
        <f t="shared" si="24"/>
        <v/>
      </c>
      <c r="G169" s="67"/>
      <c r="H169" s="534" t="str">
        <f>IF(T162="","",T162)</f>
        <v/>
      </c>
      <c r="I169" s="67"/>
      <c r="J169" s="67"/>
      <c r="K169" s="67"/>
      <c r="L169" s="67"/>
      <c r="M169" s="68"/>
      <c r="O169" s="29"/>
      <c r="P169" s="149" t="s">
        <v>220</v>
      </c>
      <c r="Q169" s="150"/>
      <c r="R169" s="151"/>
      <c r="S169" s="151"/>
      <c r="T169" s="151"/>
      <c r="U169" s="151"/>
      <c r="V169" s="151"/>
      <c r="W169" s="151"/>
      <c r="X169" s="151"/>
      <c r="Y169" s="31"/>
    </row>
    <row r="170" spans="1:25" ht="14.1" customHeight="1">
      <c r="A170" s="16">
        <v>26</v>
      </c>
      <c r="B170" s="66"/>
      <c r="C170" s="160" t="s">
        <v>214</v>
      </c>
      <c r="D170" s="373" t="str">
        <f t="shared" si="24"/>
        <v/>
      </c>
      <c r="E170" s="15" t="str">
        <f t="shared" si="24"/>
        <v/>
      </c>
      <c r="F170" s="374" t="str">
        <f t="shared" si="24"/>
        <v/>
      </c>
      <c r="G170" s="67"/>
      <c r="H170" s="534" t="str">
        <f>IF(T163="","",T163)</f>
        <v/>
      </c>
      <c r="I170" s="67"/>
      <c r="J170" s="67"/>
      <c r="K170" s="67"/>
      <c r="L170" s="67"/>
      <c r="M170" s="68"/>
      <c r="O170" s="29"/>
      <c r="P170" s="108" t="s">
        <v>221</v>
      </c>
      <c r="Q170" s="152"/>
      <c r="R170" s="151"/>
      <c r="S170" s="151"/>
      <c r="T170" s="151"/>
      <c r="U170" s="151"/>
      <c r="V170" s="151"/>
      <c r="W170" s="151"/>
      <c r="X170" s="151"/>
      <c r="Y170" s="31"/>
    </row>
    <row r="171" spans="1:25" ht="14.1" customHeight="1" thickBot="1">
      <c r="A171" s="16">
        <v>27</v>
      </c>
      <c r="B171" s="66"/>
      <c r="C171" s="160" t="s">
        <v>215</v>
      </c>
      <c r="D171" s="373" t="str">
        <f t="shared" si="24"/>
        <v/>
      </c>
      <c r="E171" s="15" t="str">
        <f t="shared" si="24"/>
        <v/>
      </c>
      <c r="F171" s="374" t="str">
        <f t="shared" si="24"/>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213</v>
      </c>
      <c r="D172" s="375" t="str">
        <f t="shared" si="24"/>
        <v/>
      </c>
      <c r="E172" s="376" t="str">
        <f t="shared" si="24"/>
        <v/>
      </c>
      <c r="F172" s="377" t="str">
        <f t="shared" si="24"/>
        <v/>
      </c>
      <c r="G172" s="67"/>
      <c r="H172" s="534" t="str">
        <f>IF(T165="","",T165)</f>
        <v/>
      </c>
      <c r="I172" s="67"/>
      <c r="J172" s="67"/>
      <c r="K172" s="67"/>
      <c r="L172" s="67"/>
      <c r="M172" s="68"/>
      <c r="O172" s="137" t="s">
        <v>222</v>
      </c>
      <c r="R172" s="136">
        <v>1</v>
      </c>
      <c r="S172" s="20" t="s">
        <v>71</v>
      </c>
      <c r="Y172" s="31"/>
    </row>
    <row r="173" spans="1:25" ht="14.1" customHeight="1">
      <c r="A173" s="16">
        <v>29</v>
      </c>
      <c r="B173" s="66"/>
      <c r="C173" s="3" t="s">
        <v>199</v>
      </c>
      <c r="D173" s="861" t="s">
        <v>216</v>
      </c>
      <c r="E173" s="67"/>
      <c r="F173" s="67"/>
      <c r="G173" s="67"/>
      <c r="H173" s="67"/>
      <c r="I173" s="67"/>
      <c r="J173" s="67"/>
      <c r="K173" s="67"/>
      <c r="L173" s="67"/>
      <c r="M173" s="68"/>
      <c r="O173" s="29"/>
      <c r="P173" s="946" t="s">
        <v>223</v>
      </c>
      <c r="Q173" s="946"/>
      <c r="R173" s="946"/>
      <c r="S173" s="946"/>
      <c r="U173" s="534" t="s">
        <v>224</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225</v>
      </c>
      <c r="Q174" s="153" t="s">
        <v>226</v>
      </c>
      <c r="R174" s="153" t="s">
        <v>227</v>
      </c>
      <c r="S174" s="154" t="s">
        <v>228</v>
      </c>
      <c r="U174" s="307" t="s">
        <v>229</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213</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199</v>
      </c>
      <c r="Q176" s="26" t="s">
        <v>230</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222</v>
      </c>
      <c r="D178" s="67"/>
      <c r="E178" s="67"/>
      <c r="F178" s="67"/>
      <c r="G178" s="67"/>
      <c r="H178" s="67"/>
      <c r="I178" s="67"/>
      <c r="J178" s="67"/>
      <c r="K178" s="67"/>
      <c r="L178" s="67"/>
      <c r="M178" s="68"/>
      <c r="O178" s="137" t="s">
        <v>231</v>
      </c>
      <c r="Y178" s="31"/>
    </row>
    <row r="179" spans="1:25" ht="14.1" customHeight="1">
      <c r="A179" s="16">
        <v>35</v>
      </c>
      <c r="B179" s="66"/>
      <c r="C179" s="67"/>
      <c r="D179" s="946" t="s">
        <v>223</v>
      </c>
      <c r="E179" s="946"/>
      <c r="F179" s="946"/>
      <c r="G179" s="946"/>
      <c r="H179" s="67"/>
      <c r="I179" s="534" t="s">
        <v>224</v>
      </c>
      <c r="J179" s="534"/>
      <c r="K179" s="67"/>
      <c r="L179" s="67"/>
      <c r="M179" s="68"/>
      <c r="O179" s="159"/>
      <c r="P179" s="160" t="s">
        <v>91</v>
      </c>
      <c r="Q179" s="136"/>
      <c r="T179" s="160" t="s">
        <v>91</v>
      </c>
      <c r="U179" s="136"/>
      <c r="V179" s="4"/>
      <c r="X179" s="4"/>
      <c r="Y179" s="31"/>
    </row>
    <row r="180" spans="1:25" ht="14.1" customHeight="1" thickBot="1">
      <c r="A180" s="16">
        <v>36</v>
      </c>
      <c r="B180" s="66"/>
      <c r="C180" s="67"/>
      <c r="D180" s="153" t="s">
        <v>225</v>
      </c>
      <c r="E180" s="153" t="s">
        <v>226</v>
      </c>
      <c r="F180" s="153" t="s">
        <v>227</v>
      </c>
      <c r="G180" s="154" t="s">
        <v>228</v>
      </c>
      <c r="H180" s="67"/>
      <c r="I180" s="302" t="s">
        <v>229</v>
      </c>
      <c r="J180" s="141"/>
      <c r="K180" s="67"/>
      <c r="L180" s="67"/>
      <c r="M180" s="68"/>
      <c r="O180" s="159"/>
      <c r="P180" s="160" t="s">
        <v>169</v>
      </c>
      <c r="Q180" s="136"/>
      <c r="R180" s="4"/>
      <c r="S180" s="4"/>
      <c r="T180" s="160" t="s">
        <v>169</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213</v>
      </c>
      <c r="L181" s="142" t="str">
        <f>IF(X175="","",X175)</f>
        <v/>
      </c>
      <c r="M181" s="68"/>
      <c r="O181" s="159"/>
      <c r="P181" s="160" t="s">
        <v>214</v>
      </c>
      <c r="Q181" s="136"/>
      <c r="R181" s="4"/>
      <c r="S181" s="4"/>
      <c r="T181" s="160" t="s">
        <v>214</v>
      </c>
      <c r="U181" s="136"/>
      <c r="V181" s="4"/>
      <c r="W181" s="4"/>
      <c r="X181" s="4"/>
      <c r="Y181" s="31"/>
    </row>
    <row r="182" spans="1:25" ht="14.1" customHeight="1">
      <c r="A182" s="16">
        <v>38</v>
      </c>
      <c r="B182" s="66"/>
      <c r="C182" s="67"/>
      <c r="D182" s="3" t="s">
        <v>199</v>
      </c>
      <c r="E182" s="100" t="s">
        <v>248</v>
      </c>
      <c r="F182" s="67"/>
      <c r="G182" s="67"/>
      <c r="H182" s="67"/>
      <c r="I182" s="67"/>
      <c r="J182" s="67"/>
      <c r="K182" s="67"/>
      <c r="L182" s="67"/>
      <c r="M182" s="68"/>
      <c r="O182" s="29"/>
      <c r="P182" s="67"/>
      <c r="Q182" s="939" t="s">
        <v>235</v>
      </c>
      <c r="R182" s="939"/>
      <c r="S182" s="939"/>
      <c r="T182" s="4"/>
      <c r="U182" s="939" t="s">
        <v>235</v>
      </c>
      <c r="V182" s="939"/>
      <c r="W182" s="939"/>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236</v>
      </c>
      <c r="R183" s="535" t="s">
        <v>237</v>
      </c>
      <c r="S183" s="106" t="s">
        <v>238</v>
      </c>
      <c r="T183" s="4"/>
      <c r="U183" s="535" t="s">
        <v>236</v>
      </c>
      <c r="V183" s="535" t="s">
        <v>237</v>
      </c>
      <c r="W183" s="106" t="s">
        <v>238</v>
      </c>
      <c r="X183" s="4"/>
      <c r="Y183" s="31"/>
    </row>
    <row r="184" spans="1:25" ht="14.1" customHeight="1">
      <c r="A184" s="16">
        <v>40</v>
      </c>
      <c r="B184" s="477"/>
      <c r="C184" s="62" t="s">
        <v>231</v>
      </c>
      <c r="D184" s="22"/>
      <c r="E184" s="22"/>
      <c r="F184" s="22"/>
      <c r="G184" s="62"/>
      <c r="H184" s="62" t="s">
        <v>247</v>
      </c>
      <c r="I184" s="22"/>
      <c r="J184" s="22"/>
      <c r="K184" s="22"/>
      <c r="L184" s="22"/>
      <c r="M184" s="457"/>
      <c r="O184" s="159"/>
      <c r="P184" s="160" t="s">
        <v>239</v>
      </c>
      <c r="Q184" s="161"/>
      <c r="R184" s="162"/>
      <c r="S184" s="163"/>
      <c r="T184" s="4"/>
      <c r="U184" s="161"/>
      <c r="V184" s="162"/>
      <c r="W184" s="163"/>
      <c r="X184" s="4"/>
      <c r="Y184" s="31"/>
    </row>
    <row r="185" spans="1:25" ht="14.1" customHeight="1" thickBot="1">
      <c r="A185" s="16">
        <v>41</v>
      </c>
      <c r="B185" s="66"/>
      <c r="C185" s="160" t="s">
        <v>91</v>
      </c>
      <c r="D185" s="106" t="str">
        <f>IF(Q179="","",Q179)</f>
        <v/>
      </c>
      <c r="E185" s="67"/>
      <c r="F185" s="67"/>
      <c r="G185" s="67"/>
      <c r="H185" s="160" t="s">
        <v>91</v>
      </c>
      <c r="I185" s="661" t="str">
        <f>IF(Q179="","",Q179)</f>
        <v/>
      </c>
      <c r="J185" s="67"/>
      <c r="K185" s="160" t="s">
        <v>91</v>
      </c>
      <c r="L185" s="661" t="str">
        <f>IF(U179="","",U179)</f>
        <v/>
      </c>
      <c r="M185" s="68"/>
      <c r="O185" s="159"/>
      <c r="P185" s="160" t="s">
        <v>240</v>
      </c>
      <c r="Q185" s="164"/>
      <c r="R185" s="165"/>
      <c r="S185" s="166"/>
      <c r="T185" s="4"/>
      <c r="U185" s="164"/>
      <c r="V185" s="165"/>
      <c r="W185" s="166"/>
      <c r="X185" s="4"/>
      <c r="Y185" s="31"/>
    </row>
    <row r="186" spans="1:25" ht="14.1" customHeight="1">
      <c r="A186" s="16">
        <v>42</v>
      </c>
      <c r="B186" s="66"/>
      <c r="C186" s="106"/>
      <c r="D186" s="943" t="s">
        <v>235</v>
      </c>
      <c r="E186" s="944"/>
      <c r="F186" s="945"/>
      <c r="G186" s="160"/>
      <c r="H186" s="943" t="s">
        <v>235</v>
      </c>
      <c r="I186" s="944"/>
      <c r="J186" s="945"/>
      <c r="K186" s="943" t="s">
        <v>235</v>
      </c>
      <c r="L186" s="944"/>
      <c r="M186" s="947"/>
      <c r="O186" s="159"/>
      <c r="P186" s="160" t="s">
        <v>241</v>
      </c>
      <c r="Q186" s="164"/>
      <c r="R186" s="165"/>
      <c r="S186" s="166"/>
      <c r="T186" s="4"/>
      <c r="U186" s="164"/>
      <c r="V186" s="165"/>
      <c r="W186" s="166"/>
      <c r="X186" s="4"/>
      <c r="Y186" s="31"/>
    </row>
    <row r="187" spans="1:25" ht="14.1" customHeight="1" thickBot="1">
      <c r="A187" s="16">
        <v>43</v>
      </c>
      <c r="B187" s="66"/>
      <c r="C187" s="325"/>
      <c r="D187" s="330" t="s">
        <v>236</v>
      </c>
      <c r="E187" s="289" t="s">
        <v>237</v>
      </c>
      <c r="F187" s="331" t="s">
        <v>238</v>
      </c>
      <c r="G187" s="106"/>
      <c r="H187" s="330" t="s">
        <v>236</v>
      </c>
      <c r="I187" s="289" t="s">
        <v>237</v>
      </c>
      <c r="J187" s="331" t="s">
        <v>238</v>
      </c>
      <c r="K187" s="330" t="s">
        <v>236</v>
      </c>
      <c r="L187" s="289" t="s">
        <v>237</v>
      </c>
      <c r="M187" s="478" t="s">
        <v>238</v>
      </c>
      <c r="O187" s="159"/>
      <c r="P187" s="160" t="s">
        <v>242</v>
      </c>
      <c r="Q187" s="168"/>
      <c r="R187" s="169"/>
      <c r="S187" s="170"/>
      <c r="T187" s="4"/>
      <c r="U187" s="168"/>
      <c r="V187" s="169"/>
      <c r="W187" s="170"/>
      <c r="Y187" s="31"/>
    </row>
    <row r="188" spans="1:25" ht="14.1" customHeight="1">
      <c r="A188" s="16">
        <v>44</v>
      </c>
      <c r="B188" s="66"/>
      <c r="C188" s="160" t="s">
        <v>239</v>
      </c>
      <c r="D188" s="341" t="str">
        <f>IF(Q184="","",Q184)</f>
        <v/>
      </c>
      <c r="E188" s="303" t="str">
        <f t="shared" ref="E188:F188" si="25">IF(R184="","",R184)</f>
        <v/>
      </c>
      <c r="F188" s="342" t="str">
        <f t="shared" si="25"/>
        <v/>
      </c>
      <c r="G188" s="340" t="s">
        <v>239</v>
      </c>
      <c r="H188" s="332" t="str">
        <f t="shared" ref="H188:J193" si="26">IF(Q196="","",Q196)</f>
        <v/>
      </c>
      <c r="I188" s="329" t="str">
        <f t="shared" si="26"/>
        <v/>
      </c>
      <c r="J188" s="333" t="str">
        <f t="shared" si="26"/>
        <v/>
      </c>
      <c r="K188" s="337" t="str">
        <f t="shared" ref="K188:M193" si="27">IF(U196="","",U196)</f>
        <v/>
      </c>
      <c r="L188" s="328" t="str">
        <f t="shared" si="27"/>
        <v/>
      </c>
      <c r="M188" s="479" t="str">
        <f t="shared" si="27"/>
        <v/>
      </c>
      <c r="O188" s="159"/>
      <c r="P188" s="160" t="s">
        <v>243</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240</v>
      </c>
      <c r="D189" s="341" t="str">
        <f t="shared" ref="D189:F193" si="28">IF(Q185="","",Q185)</f>
        <v/>
      </c>
      <c r="E189" s="303" t="str">
        <f t="shared" si="28"/>
        <v/>
      </c>
      <c r="F189" s="342" t="str">
        <f t="shared" si="28"/>
        <v/>
      </c>
      <c r="G189" s="340" t="s">
        <v>240</v>
      </c>
      <c r="H189" s="332" t="str">
        <f t="shared" si="26"/>
        <v/>
      </c>
      <c r="I189" s="329" t="str">
        <f t="shared" si="26"/>
        <v/>
      </c>
      <c r="J189" s="333" t="str">
        <f t="shared" si="26"/>
        <v/>
      </c>
      <c r="K189" s="337" t="str">
        <f t="shared" si="27"/>
        <v/>
      </c>
      <c r="L189" s="328" t="str">
        <f t="shared" si="27"/>
        <v/>
      </c>
      <c r="M189" s="479" t="str">
        <f t="shared" si="27"/>
        <v/>
      </c>
      <c r="O189" s="159"/>
      <c r="P189" s="160" t="s">
        <v>244</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241</v>
      </c>
      <c r="D190" s="341" t="str">
        <f t="shared" si="28"/>
        <v/>
      </c>
      <c r="E190" s="303" t="str">
        <f t="shared" si="28"/>
        <v/>
      </c>
      <c r="F190" s="342" t="str">
        <f t="shared" si="28"/>
        <v/>
      </c>
      <c r="G190" s="340" t="s">
        <v>241</v>
      </c>
      <c r="H190" s="332" t="str">
        <f t="shared" si="26"/>
        <v/>
      </c>
      <c r="I190" s="329" t="str">
        <f t="shared" si="26"/>
        <v/>
      </c>
      <c r="J190" s="333" t="str">
        <f t="shared" si="26"/>
        <v/>
      </c>
      <c r="K190" s="337" t="str">
        <f t="shared" si="27"/>
        <v/>
      </c>
      <c r="L190" s="328" t="str">
        <f t="shared" si="27"/>
        <v/>
      </c>
      <c r="M190" s="479" t="str">
        <f t="shared" si="27"/>
        <v/>
      </c>
      <c r="O190" s="29"/>
      <c r="P190" s="112" t="s">
        <v>199</v>
      </c>
      <c r="Q190" s="26" t="s">
        <v>613</v>
      </c>
      <c r="R190" s="4"/>
      <c r="X190" s="4"/>
      <c r="Y190" s="31"/>
    </row>
    <row r="191" spans="1:25" ht="14.1" customHeight="1" thickBot="1">
      <c r="A191" s="16">
        <v>47</v>
      </c>
      <c r="B191" s="66"/>
      <c r="C191" s="160" t="s">
        <v>242</v>
      </c>
      <c r="D191" s="343" t="str">
        <f t="shared" si="28"/>
        <v/>
      </c>
      <c r="E191" s="344" t="str">
        <f t="shared" si="28"/>
        <v/>
      </c>
      <c r="F191" s="345" t="str">
        <f t="shared" si="28"/>
        <v/>
      </c>
      <c r="G191" s="340" t="s">
        <v>242</v>
      </c>
      <c r="H191" s="334" t="str">
        <f t="shared" si="26"/>
        <v/>
      </c>
      <c r="I191" s="335" t="str">
        <f t="shared" si="26"/>
        <v/>
      </c>
      <c r="J191" s="336" t="str">
        <f t="shared" si="26"/>
        <v/>
      </c>
      <c r="K191" s="338" t="str">
        <f t="shared" si="27"/>
        <v/>
      </c>
      <c r="L191" s="339" t="str">
        <f t="shared" si="27"/>
        <v/>
      </c>
      <c r="M191" s="480" t="str">
        <f t="shared" si="27"/>
        <v/>
      </c>
      <c r="O191" s="29"/>
      <c r="P191" s="26"/>
      <c r="Q191" s="26" t="s">
        <v>614</v>
      </c>
      <c r="R191" s="4"/>
      <c r="S191" s="4"/>
      <c r="T191" s="4"/>
      <c r="U191" s="4"/>
      <c r="V191" s="4"/>
      <c r="W191" s="4"/>
      <c r="X191" s="4"/>
      <c r="Y191" s="31"/>
    </row>
    <row r="192" spans="1:25" ht="14.1" customHeight="1">
      <c r="A192" s="16">
        <v>48</v>
      </c>
      <c r="B192" s="66"/>
      <c r="C192" s="160" t="s">
        <v>243</v>
      </c>
      <c r="D192" s="351" t="str">
        <f t="shared" si="28"/>
        <v/>
      </c>
      <c r="E192" s="352" t="str">
        <f t="shared" si="28"/>
        <v/>
      </c>
      <c r="F192" s="353" t="str">
        <f t="shared" si="28"/>
        <v/>
      </c>
      <c r="G192" s="340" t="s">
        <v>252</v>
      </c>
      <c r="H192" s="357" t="str">
        <f t="shared" si="26"/>
        <v/>
      </c>
      <c r="I192" s="358" t="str">
        <f t="shared" si="26"/>
        <v/>
      </c>
      <c r="J192" s="359" t="str">
        <f t="shared" si="26"/>
        <v/>
      </c>
      <c r="K192" s="354" t="str">
        <f t="shared" si="27"/>
        <v/>
      </c>
      <c r="L192" s="355" t="str">
        <f t="shared" si="27"/>
        <v/>
      </c>
      <c r="M192" s="481" t="str">
        <f t="shared" si="27"/>
        <v/>
      </c>
      <c r="O192" s="29"/>
      <c r="P192" s="4"/>
      <c r="Q192" s="4"/>
      <c r="R192" s="4"/>
      <c r="S192" s="4"/>
      <c r="T192" s="4"/>
      <c r="U192" s="4"/>
      <c r="V192" s="4"/>
      <c r="W192" s="4"/>
      <c r="Y192" s="31"/>
    </row>
    <row r="193" spans="1:29" ht="14.1" customHeight="1" thickBot="1">
      <c r="A193" s="16">
        <v>49</v>
      </c>
      <c r="B193" s="66"/>
      <c r="C193" s="160" t="s">
        <v>244</v>
      </c>
      <c r="D193" s="343" t="str">
        <f t="shared" si="28"/>
        <v/>
      </c>
      <c r="E193" s="344" t="str">
        <f t="shared" si="28"/>
        <v/>
      </c>
      <c r="F193" s="345" t="str">
        <f t="shared" si="28"/>
        <v/>
      </c>
      <c r="G193" s="340" t="s">
        <v>253</v>
      </c>
      <c r="H193" s="334" t="str">
        <f t="shared" si="26"/>
        <v/>
      </c>
      <c r="I193" s="335" t="str">
        <f t="shared" si="26"/>
        <v/>
      </c>
      <c r="J193" s="336" t="str">
        <f t="shared" si="26"/>
        <v/>
      </c>
      <c r="K193" s="338" t="str">
        <f t="shared" si="27"/>
        <v/>
      </c>
      <c r="L193" s="339" t="str">
        <f t="shared" si="27"/>
        <v/>
      </c>
      <c r="M193" s="480" t="str">
        <f t="shared" si="27"/>
        <v/>
      </c>
      <c r="O193" s="137" t="s">
        <v>247</v>
      </c>
      <c r="Y193" s="31"/>
    </row>
    <row r="194" spans="1:29" ht="14.1" customHeight="1" thickBot="1">
      <c r="A194" s="16">
        <v>50</v>
      </c>
      <c r="B194" s="66"/>
      <c r="C194" s="160" t="s">
        <v>91</v>
      </c>
      <c r="D194" s="106" t="str">
        <f>IF(U179="","",U179)</f>
        <v/>
      </c>
      <c r="E194" s="67"/>
      <c r="F194" s="67"/>
      <c r="G194" s="67"/>
      <c r="H194" s="327" t="str">
        <f>IF(D192="","",IF(MAX(D192:F193,D199:F200)&gt;13,"Fail","Pass"))</f>
        <v/>
      </c>
      <c r="I194" s="67" t="s">
        <v>509</v>
      </c>
      <c r="J194" s="67"/>
      <c r="K194" s="67"/>
      <c r="L194" s="67"/>
      <c r="M194" s="68"/>
      <c r="O194" s="159"/>
      <c r="P194" s="67"/>
      <c r="Q194" s="939" t="s">
        <v>235</v>
      </c>
      <c r="R194" s="939"/>
      <c r="S194" s="939"/>
      <c r="T194" s="4"/>
      <c r="U194" s="939" t="s">
        <v>235</v>
      </c>
      <c r="V194" s="939"/>
      <c r="W194" s="939"/>
      <c r="X194" s="4"/>
      <c r="Y194" s="31"/>
    </row>
    <row r="195" spans="1:29" ht="14.1" customHeight="1" thickBot="1">
      <c r="A195" s="16">
        <v>51</v>
      </c>
      <c r="B195" s="66"/>
      <c r="C195" s="160" t="s">
        <v>239</v>
      </c>
      <c r="D195" s="346" t="str">
        <f>IF(U184="","",U184)</f>
        <v/>
      </c>
      <c r="E195" s="347" t="str">
        <f t="shared" ref="E195:F200" si="29">IF(V184="","",V184)</f>
        <v/>
      </c>
      <c r="F195" s="348" t="str">
        <f t="shared" si="29"/>
        <v/>
      </c>
      <c r="G195" s="67"/>
      <c r="H195" s="327" t="str">
        <f>IF(OR(H188="",K188=""),"",IF(MAX(H188:M191)&gt;13,"Fail","Pass"))</f>
        <v/>
      </c>
      <c r="I195" s="67" t="s">
        <v>510</v>
      </c>
      <c r="J195" s="67"/>
      <c r="K195" s="67"/>
      <c r="L195" s="67"/>
      <c r="M195" s="68"/>
      <c r="O195" s="159"/>
      <c r="P195" s="67"/>
      <c r="Q195" s="681" t="s">
        <v>236</v>
      </c>
      <c r="R195" s="681" t="s">
        <v>237</v>
      </c>
      <c r="S195" s="661" t="s">
        <v>238</v>
      </c>
      <c r="T195" s="4"/>
      <c r="U195" s="681" t="s">
        <v>236</v>
      </c>
      <c r="V195" s="681" t="s">
        <v>237</v>
      </c>
      <c r="W195" s="661" t="s">
        <v>238</v>
      </c>
      <c r="X195" s="4"/>
      <c r="Y195" s="31"/>
    </row>
    <row r="196" spans="1:29" ht="14.1" customHeight="1">
      <c r="A196" s="16">
        <v>52</v>
      </c>
      <c r="B196" s="66"/>
      <c r="C196" s="160" t="s">
        <v>240</v>
      </c>
      <c r="D196" s="337" t="str">
        <f t="shared" ref="D196:D200" si="30">IF(U185="","",U185)</f>
        <v/>
      </c>
      <c r="E196" s="328" t="str">
        <f t="shared" si="29"/>
        <v/>
      </c>
      <c r="F196" s="349" t="str">
        <f t="shared" si="29"/>
        <v/>
      </c>
      <c r="G196" s="67"/>
      <c r="H196" s="327" t="str">
        <f>IF(OR(H192="",K192=""),"",IF(OR(MAX(H192:M192)&gt;6.5,MAX(H193:M193)&gt;5),"Fail","Pass"))</f>
        <v/>
      </c>
      <c r="I196" s="67" t="s">
        <v>511</v>
      </c>
      <c r="J196" s="67"/>
      <c r="K196" s="67"/>
      <c r="L196" s="67"/>
      <c r="M196" s="68"/>
      <c r="O196" s="159"/>
      <c r="P196" s="160" t="s">
        <v>239</v>
      </c>
      <c r="Q196" s="161"/>
      <c r="R196" s="162"/>
      <c r="S196" s="163"/>
      <c r="T196" s="4"/>
      <c r="U196" s="161"/>
      <c r="V196" s="162"/>
      <c r="W196" s="163"/>
      <c r="X196" s="4"/>
      <c r="Y196" s="31"/>
    </row>
    <row r="197" spans="1:29" ht="14.1" customHeight="1">
      <c r="A197" s="16">
        <v>53</v>
      </c>
      <c r="B197" s="66"/>
      <c r="C197" s="160" t="s">
        <v>241</v>
      </c>
      <c r="D197" s="337" t="str">
        <f t="shared" si="30"/>
        <v/>
      </c>
      <c r="E197" s="328" t="str">
        <f t="shared" si="29"/>
        <v/>
      </c>
      <c r="F197" s="349" t="str">
        <f t="shared" si="29"/>
        <v/>
      </c>
      <c r="G197" s="3" t="s">
        <v>199</v>
      </c>
      <c r="H197" s="190" t="s">
        <v>245</v>
      </c>
      <c r="M197" s="68"/>
      <c r="O197" s="29"/>
      <c r="P197" s="160" t="s">
        <v>240</v>
      </c>
      <c r="Q197" s="164"/>
      <c r="R197" s="165"/>
      <c r="S197" s="166"/>
      <c r="T197" s="4"/>
      <c r="U197" s="164"/>
      <c r="V197" s="165"/>
      <c r="W197" s="166"/>
      <c r="X197" s="4"/>
      <c r="Y197" s="31"/>
    </row>
    <row r="198" spans="1:29" ht="14.1" customHeight="1" thickBot="1">
      <c r="A198" s="16">
        <v>54</v>
      </c>
      <c r="B198" s="66"/>
      <c r="C198" s="160" t="s">
        <v>242</v>
      </c>
      <c r="D198" s="338" t="str">
        <f t="shared" si="30"/>
        <v/>
      </c>
      <c r="E198" s="339" t="str">
        <f t="shared" si="29"/>
        <v/>
      </c>
      <c r="F198" s="350" t="str">
        <f t="shared" si="29"/>
        <v/>
      </c>
      <c r="H198" s="190" t="s">
        <v>246</v>
      </c>
      <c r="M198" s="68"/>
      <c r="O198" s="29"/>
      <c r="P198" s="160" t="s">
        <v>241</v>
      </c>
      <c r="Q198" s="164"/>
      <c r="R198" s="165"/>
      <c r="S198" s="166"/>
      <c r="T198" s="4"/>
      <c r="U198" s="164"/>
      <c r="V198" s="165"/>
      <c r="W198" s="166"/>
      <c r="X198" s="4"/>
      <c r="Y198" s="31"/>
    </row>
    <row r="199" spans="1:29" ht="14.1" customHeight="1" thickBot="1">
      <c r="A199" s="16">
        <v>55</v>
      </c>
      <c r="B199" s="66"/>
      <c r="C199" s="160" t="s">
        <v>243</v>
      </c>
      <c r="D199" s="354" t="str">
        <f t="shared" si="30"/>
        <v/>
      </c>
      <c r="E199" s="355" t="str">
        <f t="shared" si="29"/>
        <v/>
      </c>
      <c r="F199" s="356" t="str">
        <f t="shared" si="29"/>
        <v/>
      </c>
      <c r="G199" s="363"/>
      <c r="H199" s="190" t="s">
        <v>254</v>
      </c>
      <c r="I199" s="67"/>
      <c r="J199" s="67"/>
      <c r="K199" s="67"/>
      <c r="L199" s="67"/>
      <c r="M199" s="68"/>
      <c r="O199" s="159"/>
      <c r="P199" s="160" t="s">
        <v>242</v>
      </c>
      <c r="Q199" s="168"/>
      <c r="R199" s="169"/>
      <c r="S199" s="170"/>
      <c r="T199" s="4"/>
      <c r="U199" s="168"/>
      <c r="V199" s="169"/>
      <c r="W199" s="170"/>
      <c r="X199" s="4"/>
      <c r="Y199" s="31"/>
    </row>
    <row r="200" spans="1:29" ht="14.1" customHeight="1" thickBot="1">
      <c r="A200" s="16">
        <v>56</v>
      </c>
      <c r="B200" s="66"/>
      <c r="C200" s="160" t="s">
        <v>244</v>
      </c>
      <c r="D200" s="338" t="str">
        <f t="shared" si="30"/>
        <v/>
      </c>
      <c r="E200" s="339" t="str">
        <f t="shared" si="29"/>
        <v/>
      </c>
      <c r="F200" s="350" t="str">
        <f t="shared" si="29"/>
        <v/>
      </c>
      <c r="G200" s="3"/>
      <c r="H200" s="190" t="s">
        <v>255</v>
      </c>
      <c r="I200" s="67"/>
      <c r="J200" s="67"/>
      <c r="K200" s="67"/>
      <c r="L200" s="67"/>
      <c r="M200" s="68"/>
      <c r="O200" s="159"/>
      <c r="P200" s="160" t="s">
        <v>251</v>
      </c>
      <c r="Q200" s="161"/>
      <c r="R200" s="162"/>
      <c r="S200" s="163"/>
      <c r="U200" s="161"/>
      <c r="V200" s="162"/>
      <c r="W200" s="163"/>
      <c r="X200" s="4"/>
      <c r="Y200" s="31"/>
    </row>
    <row r="201" spans="1:29" ht="14.1" customHeight="1" thickBot="1">
      <c r="A201" s="16">
        <v>57</v>
      </c>
      <c r="B201" s="66"/>
      <c r="C201" s="67"/>
      <c r="D201" s="67"/>
      <c r="E201" s="190"/>
      <c r="F201" s="67"/>
      <c r="H201" s="26" t="s">
        <v>617</v>
      </c>
      <c r="I201" s="67"/>
      <c r="J201" s="67"/>
      <c r="K201" s="67"/>
      <c r="L201" s="67"/>
      <c r="M201" s="68"/>
      <c r="O201" s="159"/>
      <c r="P201" s="160" t="s">
        <v>253</v>
      </c>
      <c r="Q201" s="185"/>
      <c r="R201" s="186"/>
      <c r="S201" s="187"/>
      <c r="U201" s="185"/>
      <c r="V201" s="186"/>
      <c r="W201" s="187"/>
      <c r="X201" s="67"/>
      <c r="Y201" s="31"/>
    </row>
    <row r="202" spans="1:29" ht="14.1" customHeight="1" thickBot="1">
      <c r="A202" s="16">
        <v>58</v>
      </c>
      <c r="B202" s="364"/>
      <c r="C202" s="365"/>
      <c r="D202" s="365"/>
      <c r="E202" s="365"/>
      <c r="F202" s="365"/>
      <c r="G202" s="360"/>
      <c r="H202" s="863" t="s">
        <v>771</v>
      </c>
      <c r="I202" s="365"/>
      <c r="J202" s="365"/>
      <c r="K202" s="365"/>
      <c r="L202" s="365"/>
      <c r="M202" s="366"/>
      <c r="O202" s="159"/>
      <c r="P202" s="112" t="s">
        <v>199</v>
      </c>
      <c r="Q202" s="26" t="s">
        <v>617</v>
      </c>
      <c r="R202" s="4"/>
      <c r="X202" s="67"/>
      <c r="Y202" s="31"/>
    </row>
    <row r="203" spans="1:29" ht="14.1" customHeight="1" thickBot="1">
      <c r="A203" s="16">
        <v>59</v>
      </c>
      <c r="B203" s="66"/>
      <c r="C203" s="144" t="s">
        <v>256</v>
      </c>
      <c r="D203" s="67"/>
      <c r="E203" s="67"/>
      <c r="F203" s="67"/>
      <c r="G203" s="67"/>
      <c r="H203" s="67"/>
      <c r="I203" s="67"/>
      <c r="J203" s="67"/>
      <c r="K203" s="67"/>
      <c r="L203" s="67"/>
      <c r="M203" s="68"/>
      <c r="O203" s="159"/>
      <c r="P203" s="26"/>
      <c r="Q203" s="26" t="s">
        <v>615</v>
      </c>
      <c r="R203" s="4"/>
      <c r="Y203" s="31"/>
    </row>
    <row r="204" spans="1:29" ht="14.1" customHeight="1" thickBot="1">
      <c r="A204" s="16">
        <v>60</v>
      </c>
      <c r="B204" s="66"/>
      <c r="C204" s="160" t="s">
        <v>48</v>
      </c>
      <c r="D204" s="381" t="str">
        <f t="shared" ref="D204:E207" si="31">IF(Q207="","",Q207)</f>
        <v/>
      </c>
      <c r="E204" s="382" t="str">
        <f t="shared" si="31"/>
        <v/>
      </c>
      <c r="F204" s="67"/>
      <c r="G204" s="67"/>
      <c r="H204" s="67"/>
      <c r="I204" s="67"/>
      <c r="J204" s="67"/>
      <c r="K204" s="67"/>
      <c r="L204" s="67"/>
      <c r="M204" s="68"/>
      <c r="O204" s="159"/>
      <c r="P204" s="4"/>
      <c r="Q204" s="26" t="s">
        <v>255</v>
      </c>
      <c r="R204" s="4"/>
      <c r="Y204" s="31"/>
    </row>
    <row r="205" spans="1:29" ht="14.1" customHeight="1" thickBot="1">
      <c r="A205" s="16">
        <v>61</v>
      </c>
      <c r="B205" s="66"/>
      <c r="C205" s="160" t="s">
        <v>169</v>
      </c>
      <c r="D205" s="383" t="str">
        <f t="shared" si="31"/>
        <v/>
      </c>
      <c r="E205" s="384" t="str">
        <f t="shared" si="31"/>
        <v/>
      </c>
      <c r="F205" s="67"/>
      <c r="G205" s="160" t="s">
        <v>213</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214</v>
      </c>
      <c r="D206" s="383" t="str">
        <f t="shared" si="31"/>
        <v/>
      </c>
      <c r="E206" s="384" t="str">
        <f t="shared" si="31"/>
        <v/>
      </c>
      <c r="F206" s="67"/>
      <c r="G206" s="3"/>
      <c r="H206" s="190"/>
      <c r="I206" s="67"/>
      <c r="J206" s="67"/>
      <c r="K206" s="67"/>
      <c r="L206" s="67"/>
      <c r="M206" s="68"/>
      <c r="O206" s="137" t="s">
        <v>256</v>
      </c>
      <c r="Y206" s="31"/>
    </row>
    <row r="207" spans="1:29" ht="14.1" customHeight="1" thickBot="1">
      <c r="A207" s="16">
        <v>63</v>
      </c>
      <c r="B207" s="66"/>
      <c r="C207" s="160" t="s">
        <v>258</v>
      </c>
      <c r="D207" s="385" t="str">
        <f t="shared" si="31"/>
        <v/>
      </c>
      <c r="E207" s="386" t="str">
        <f t="shared" si="31"/>
        <v/>
      </c>
      <c r="F207" s="67"/>
      <c r="G207" s="67"/>
      <c r="H207" s="67"/>
      <c r="I207" s="67"/>
      <c r="J207" s="67"/>
      <c r="K207" s="67"/>
      <c r="L207" s="67"/>
      <c r="M207" s="68"/>
      <c r="O207" s="29"/>
      <c r="P207" s="34" t="s">
        <v>91</v>
      </c>
      <c r="Q207" s="143"/>
      <c r="R207" s="143"/>
      <c r="Y207" s="31"/>
    </row>
    <row r="208" spans="1:29" ht="14.1" customHeight="1">
      <c r="A208" s="16">
        <v>64</v>
      </c>
      <c r="B208" s="66"/>
      <c r="C208" s="3" t="s">
        <v>199</v>
      </c>
      <c r="D208" s="190" t="str">
        <f>Q212</f>
        <v>Limiting system resolution must be 6 lp/mm or higher</v>
      </c>
      <c r="E208" s="67"/>
      <c r="F208" s="67"/>
      <c r="G208" s="67"/>
      <c r="H208" s="67"/>
      <c r="I208" s="67"/>
      <c r="J208" s="67"/>
      <c r="K208" s="67"/>
      <c r="L208" s="67"/>
      <c r="M208" s="68"/>
      <c r="O208" s="29"/>
      <c r="P208" s="34" t="s">
        <v>169</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214</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258</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213</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199</v>
      </c>
      <c r="Q212" s="190" t="s">
        <v>259</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260</v>
      </c>
      <c r="Y214" s="31"/>
      <c r="AA214" s="535"/>
      <c r="AB214" s="535"/>
      <c r="AC214" s="535"/>
    </row>
    <row r="215" spans="1:29" ht="14.1" customHeight="1" thickTop="1">
      <c r="A215" s="16">
        <v>71</v>
      </c>
      <c r="C215" s="108" t="s">
        <v>8</v>
      </c>
      <c r="D215" s="367" t="str">
        <f>IF($P$7="","",$P$7)</f>
        <v/>
      </c>
      <c r="E215" s="26"/>
      <c r="F215" s="26"/>
      <c r="G215" s="26"/>
      <c r="H215" s="26"/>
      <c r="I215" s="26"/>
      <c r="J215" s="26"/>
      <c r="K215" s="26"/>
      <c r="L215" s="108" t="s">
        <v>9</v>
      </c>
      <c r="M215" s="368" t="str">
        <f>IF($X$7="","",$X$7)</f>
        <v>Eugene Mah</v>
      </c>
      <c r="O215" s="29" t="s">
        <v>261</v>
      </c>
      <c r="P215" s="136"/>
      <c r="R215" s="34" t="s">
        <v>262</v>
      </c>
      <c r="S215" s="136"/>
      <c r="U215" s="20" t="s">
        <v>91</v>
      </c>
      <c r="V215" s="136" t="s">
        <v>233</v>
      </c>
      <c r="Y215" s="31"/>
      <c r="AA215" s="535"/>
      <c r="AB215" s="535"/>
      <c r="AC215" s="535"/>
    </row>
    <row r="216" spans="1:29" ht="14.1" customHeight="1">
      <c r="A216" s="16">
        <v>72</v>
      </c>
      <c r="C216" s="108" t="s">
        <v>117</v>
      </c>
      <c r="D216" s="368" t="str">
        <f>IF($R$14="","",$R$14)</f>
        <v/>
      </c>
      <c r="E216" s="26"/>
      <c r="F216" s="26"/>
      <c r="G216" s="26"/>
      <c r="H216" s="26"/>
      <c r="I216" s="26"/>
      <c r="J216" s="26"/>
      <c r="K216" s="26"/>
      <c r="L216" s="108" t="s">
        <v>34</v>
      </c>
      <c r="M216" s="368" t="str">
        <f>IF($R$13="","",$R$13)</f>
        <v/>
      </c>
      <c r="O216" s="29"/>
      <c r="P216" s="684" t="s">
        <v>66</v>
      </c>
      <c r="U216" s="684"/>
      <c r="W216" s="4"/>
      <c r="Y216" s="31"/>
      <c r="AA216" s="535"/>
      <c r="AB216" s="535"/>
      <c r="AC216" s="535"/>
    </row>
    <row r="217" spans="1:29" ht="14.1" customHeight="1" thickBot="1">
      <c r="A217" s="16">
        <v>1</v>
      </c>
      <c r="M217" s="111" t="str">
        <f>$H$2</f>
        <v>Medical University of South Carolina</v>
      </c>
      <c r="O217" s="29"/>
      <c r="P217" s="684" t="s">
        <v>263</v>
      </c>
      <c r="Q217" s="684" t="s">
        <v>487</v>
      </c>
      <c r="R217" s="684" t="s">
        <v>264</v>
      </c>
      <c r="S217" s="684" t="s">
        <v>68</v>
      </c>
      <c r="T217" s="684" t="s">
        <v>265</v>
      </c>
      <c r="U217" s="684" t="s">
        <v>266</v>
      </c>
      <c r="V217" s="4"/>
      <c r="W217" s="4"/>
      <c r="Y217" s="31"/>
    </row>
    <row r="218" spans="1:29" ht="14.1" customHeight="1" thickBot="1">
      <c r="A218" s="16">
        <v>2</v>
      </c>
      <c r="H218" s="50" t="s">
        <v>69</v>
      </c>
      <c r="M218" s="112" t="str">
        <f>$H$5</f>
        <v>Mammography System Compliance Inspection</v>
      </c>
      <c r="O218" s="29"/>
      <c r="P218" s="191">
        <v>2</v>
      </c>
      <c r="Q218" s="192"/>
      <c r="R218" s="193"/>
      <c r="S218" s="193"/>
      <c r="T218" s="193"/>
      <c r="U218" s="181" t="str">
        <f>IF(OR(T218="",$X$218=""),"",ABS(T218-$X$218)/$X$218)</f>
        <v/>
      </c>
      <c r="V218" s="4"/>
      <c r="W218" s="34" t="s">
        <v>267</v>
      </c>
      <c r="X218" s="194" t="str">
        <f>IF(T218="","",AVERAGE(T218:T220))</f>
        <v/>
      </c>
      <c r="Y218" s="31"/>
    </row>
    <row r="219" spans="1:29" ht="14.1" customHeight="1" thickTop="1" thickBot="1">
      <c r="A219" s="16">
        <v>3</v>
      </c>
      <c r="B219" s="57"/>
      <c r="C219" s="59" t="s">
        <v>260</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268</v>
      </c>
      <c r="X219" s="194" t="str">
        <f>IF(T218="","",_xlfn.STDEV.S(T218:T220))</f>
        <v/>
      </c>
      <c r="Y219" s="31"/>
    </row>
    <row r="220" spans="1:29" ht="14.1" customHeight="1" thickBot="1">
      <c r="A220" s="16">
        <v>4</v>
      </c>
      <c r="B220" s="66"/>
      <c r="C220" s="160" t="s">
        <v>261</v>
      </c>
      <c r="D220" s="138" t="str">
        <f>IF(P215="","",P215)</f>
        <v/>
      </c>
      <c r="E220" s="67"/>
      <c r="F220" s="160" t="s">
        <v>262</v>
      </c>
      <c r="G220" s="138" t="str">
        <f>IF(S215="","",S215)</f>
        <v/>
      </c>
      <c r="H220" s="67"/>
      <c r="I220" s="67" t="s">
        <v>91</v>
      </c>
      <c r="J220" s="138" t="str">
        <f>IF(V215="","",V215)</f>
        <v>W/Rh</v>
      </c>
      <c r="K220" s="67"/>
      <c r="L220" s="67"/>
      <c r="M220" s="68"/>
      <c r="O220" s="29"/>
      <c r="P220" s="198">
        <v>6</v>
      </c>
      <c r="Q220" s="199"/>
      <c r="R220" s="200"/>
      <c r="S220" s="200"/>
      <c r="T220" s="200"/>
      <c r="U220" s="183" t="str">
        <f>IF(OR(T220="",$X$218=""),"",ABS(T220-$X$218)/$X$218)</f>
        <v/>
      </c>
      <c r="V220" s="4"/>
      <c r="W220" s="34" t="s">
        <v>269</v>
      </c>
      <c r="X220" s="197" t="str">
        <f>IF(OR(X218="",X219=""),"",X219/X218)</f>
        <v/>
      </c>
      <c r="Y220" s="31"/>
    </row>
    <row r="221" spans="1:29" ht="14.1" customHeight="1" thickBot="1">
      <c r="A221" s="16">
        <v>5</v>
      </c>
      <c r="B221" s="66"/>
      <c r="C221" s="106" t="s">
        <v>66</v>
      </c>
      <c r="D221" s="67"/>
      <c r="E221" s="67"/>
      <c r="F221" s="67"/>
      <c r="G221" s="67"/>
      <c r="H221" s="106"/>
      <c r="I221" s="67"/>
      <c r="J221" s="325"/>
      <c r="K221" s="67"/>
      <c r="L221" s="67"/>
      <c r="M221" s="68"/>
      <c r="O221" s="29"/>
      <c r="P221" s="112" t="s">
        <v>199</v>
      </c>
      <c r="Q221" s="26" t="s">
        <v>272</v>
      </c>
      <c r="R221"/>
      <c r="S221"/>
      <c r="T221"/>
      <c r="U221"/>
      <c r="V221" s="4"/>
      <c r="W221" s="67" t="s">
        <v>213</v>
      </c>
      <c r="X221" s="369" t="str">
        <f>IF(U218="","",IF(AND(ABS(U218)&lt;0.1,ABS(U219)&lt;0.1,ABS(U220)&lt;0.1,X220&lt;0.05),"Pass","Fail"))</f>
        <v/>
      </c>
      <c r="Y221" s="31"/>
    </row>
    <row r="222" spans="1:29" ht="14.1" customHeight="1" thickBot="1">
      <c r="A222" s="16">
        <v>6</v>
      </c>
      <c r="B222" s="66"/>
      <c r="C222" s="106" t="s">
        <v>263</v>
      </c>
      <c r="D222" s="106" t="s">
        <v>487</v>
      </c>
      <c r="E222" s="106" t="s">
        <v>264</v>
      </c>
      <c r="F222" s="106" t="s">
        <v>68</v>
      </c>
      <c r="G222" s="106" t="s">
        <v>265</v>
      </c>
      <c r="H222" s="106" t="s">
        <v>266</v>
      </c>
      <c r="I222" s="106"/>
      <c r="J222" s="325"/>
      <c r="K222" s="67"/>
      <c r="L222" s="67"/>
      <c r="M222" s="68"/>
      <c r="O222" s="29"/>
      <c r="P222" s="4"/>
      <c r="Q222" s="26" t="s">
        <v>273</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267</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268</v>
      </c>
      <c r="K224" s="296" t="str">
        <f>IF(X219="","",X219)</f>
        <v/>
      </c>
      <c r="L224" s="67"/>
      <c r="M224" s="68"/>
      <c r="O224" s="95"/>
      <c r="P224" s="20" t="s">
        <v>274</v>
      </c>
      <c r="Q224" s="4"/>
      <c r="R224" s="4"/>
      <c r="S224" s="4"/>
      <c r="T224" s="4"/>
      <c r="U224" s="4"/>
      <c r="V224" s="4"/>
      <c r="W224" s="4"/>
      <c r="Y224" s="31"/>
    </row>
    <row r="225" spans="1:27" ht="14.1" customHeight="1" thickBot="1">
      <c r="A225" s="16">
        <v>9</v>
      </c>
      <c r="B225" s="66"/>
      <c r="C225" s="385">
        <f t="shared" si="32"/>
        <v>6</v>
      </c>
      <c r="D225" s="390" t="str">
        <f t="shared" si="32"/>
        <v/>
      </c>
      <c r="E225" s="674" t="str">
        <f t="shared" si="32"/>
        <v/>
      </c>
      <c r="F225" s="674" t="str">
        <f t="shared" si="32"/>
        <v/>
      </c>
      <c r="G225" s="674" t="str">
        <f t="shared" si="32"/>
        <v/>
      </c>
      <c r="H225" s="675" t="str">
        <f t="shared" si="32"/>
        <v/>
      </c>
      <c r="I225" s="326"/>
      <c r="J225" s="160" t="s">
        <v>269</v>
      </c>
      <c r="K225" s="391" t="str">
        <f>IF(X220="","",X220)</f>
        <v/>
      </c>
      <c r="L225" s="67"/>
      <c r="M225" s="68"/>
      <c r="O225" s="95"/>
      <c r="P225" s="20" t="s">
        <v>275</v>
      </c>
      <c r="Q225" s="4"/>
      <c r="R225" s="4"/>
      <c r="S225" s="4"/>
      <c r="T225" s="4"/>
      <c r="U225" s="4"/>
      <c r="V225" s="4" t="str">
        <f>IF(OR(T225="",$X$218=""),"",(T225-$X$218)/$X$218)</f>
        <v/>
      </c>
      <c r="W225" s="4"/>
      <c r="Y225" s="31"/>
    </row>
    <row r="226" spans="1:27" ht="14.1" customHeight="1" thickBot="1">
      <c r="A226" s="16">
        <v>10</v>
      </c>
      <c r="B226" s="66"/>
      <c r="C226" s="3" t="s">
        <v>199</v>
      </c>
      <c r="D226" s="190" t="s">
        <v>272</v>
      </c>
      <c r="E226" s="361"/>
      <c r="F226" s="361"/>
      <c r="G226" s="361"/>
      <c r="H226" s="676"/>
      <c r="I226" s="326"/>
      <c r="J226" s="67" t="s">
        <v>213</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273</v>
      </c>
      <c r="E227" s="106"/>
      <c r="F227" s="106"/>
      <c r="G227" s="106"/>
      <c r="H227" s="106"/>
      <c r="I227" s="326"/>
      <c r="J227" s="325"/>
      <c r="K227" s="67"/>
      <c r="L227" s="67"/>
      <c r="M227" s="68"/>
      <c r="O227" s="137" t="s">
        <v>276</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261</v>
      </c>
      <c r="P228" s="136"/>
      <c r="R228" s="20" t="s">
        <v>91</v>
      </c>
      <c r="S228" s="136" t="s">
        <v>233</v>
      </c>
      <c r="T228" s="160" t="s">
        <v>169</v>
      </c>
      <c r="U228" s="136">
        <v>28</v>
      </c>
      <c r="Y228" s="31"/>
    </row>
    <row r="229" spans="1:27" ht="14.1" customHeight="1" thickBot="1">
      <c r="A229" s="16">
        <v>13</v>
      </c>
      <c r="B229" s="66"/>
      <c r="C229" s="369" t="str">
        <f>IF(O224="","TBD",IF(O224=1,"YES",IF(O224=2,"NO",IF(O224=3,"NA",""))))</f>
        <v>TBD</v>
      </c>
      <c r="D229" s="67" t="s">
        <v>274</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275</v>
      </c>
      <c r="E230" s="106"/>
      <c r="F230" s="106"/>
      <c r="G230" s="106"/>
      <c r="H230" s="106"/>
      <c r="I230" s="106"/>
      <c r="J230" s="326"/>
      <c r="K230" s="325"/>
      <c r="L230" s="67"/>
      <c r="M230" s="68"/>
      <c r="O230" s="29"/>
      <c r="P230" s="686"/>
      <c r="R230" s="34"/>
      <c r="S230" s="686"/>
      <c r="T230" s="684"/>
      <c r="U230" s="4"/>
      <c r="V230" s="684" t="s">
        <v>277</v>
      </c>
      <c r="Y230" s="31"/>
    </row>
    <row r="231" spans="1:27" ht="14.1" customHeight="1" thickBot="1">
      <c r="A231" s="16">
        <v>15</v>
      </c>
      <c r="B231" s="364"/>
      <c r="C231" s="365"/>
      <c r="D231" s="365"/>
      <c r="E231" s="365"/>
      <c r="F231" s="365"/>
      <c r="G231" s="421"/>
      <c r="H231" s="422"/>
      <c r="I231" s="365"/>
      <c r="J231" s="365"/>
      <c r="K231" s="423"/>
      <c r="L231" s="365"/>
      <c r="M231" s="366"/>
      <c r="O231" s="29"/>
      <c r="P231" s="684" t="s">
        <v>68</v>
      </c>
      <c r="Q231" s="684" t="s">
        <v>278</v>
      </c>
      <c r="R231" s="684" t="s">
        <v>279</v>
      </c>
      <c r="S231" s="684" t="s">
        <v>280</v>
      </c>
      <c r="T231" s="684" t="s">
        <v>281</v>
      </c>
      <c r="U231" s="684" t="s">
        <v>282</v>
      </c>
      <c r="V231" s="20" t="s">
        <v>24</v>
      </c>
      <c r="X231" s="684" t="s">
        <v>283</v>
      </c>
      <c r="Y231" s="206" t="s">
        <v>284</v>
      </c>
    </row>
    <row r="232" spans="1:27" ht="14.1" customHeight="1">
      <c r="A232" s="16">
        <v>16</v>
      </c>
      <c r="B232" s="66"/>
      <c r="C232" s="144" t="s">
        <v>276</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261</v>
      </c>
      <c r="D233" s="138" t="str">
        <f>IF(P228="","",P228)</f>
        <v/>
      </c>
      <c r="E233" s="67"/>
      <c r="F233" s="67" t="s">
        <v>91</v>
      </c>
      <c r="G233" s="138" t="str">
        <f>IF(S228="","",S228)</f>
        <v>W/Rh</v>
      </c>
      <c r="H233" s="160" t="s">
        <v>169</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3"/>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277</v>
      </c>
      <c r="K235" s="67"/>
      <c r="L235" s="67"/>
      <c r="M235" s="68"/>
      <c r="O235" s="29"/>
      <c r="P235" s="164"/>
      <c r="Q235" s="165"/>
      <c r="R235" s="165"/>
      <c r="S235" s="165"/>
      <c r="T235" s="69" t="str">
        <f>IF(OR(R235="",S235=""),"",(R235-50)/S235)</f>
        <v/>
      </c>
      <c r="U235" s="70" t="str">
        <f>IF(OR(Q235="",R235="",S235=""),"",(R235-Q235)/S235)</f>
        <v/>
      </c>
      <c r="V235" s="656" t="str">
        <f t="shared" si="33"/>
        <v/>
      </c>
      <c r="X235" s="209" t="str">
        <f>IF(OR(Q235="",$Q$237=""),"",ABS(Q235-$Q$237)/$Q$237)</f>
        <v/>
      </c>
      <c r="Y235" s="210" t="str">
        <f>IF(OR(T235="",$T$237=""),"",ABS(T235-$T$237)/$T$237)</f>
        <v/>
      </c>
      <c r="AA235" s="233"/>
    </row>
    <row r="236" spans="1:27" ht="14.1" customHeight="1" thickBot="1">
      <c r="A236" s="16">
        <v>20</v>
      </c>
      <c r="B236" s="66"/>
      <c r="C236" s="67"/>
      <c r="D236" s="435" t="s">
        <v>68</v>
      </c>
      <c r="E236" s="419" t="s">
        <v>278</v>
      </c>
      <c r="F236" s="419" t="s">
        <v>279</v>
      </c>
      <c r="G236" s="419" t="s">
        <v>280</v>
      </c>
      <c r="H236" s="419" t="s">
        <v>281</v>
      </c>
      <c r="I236" s="419" t="s">
        <v>282</v>
      </c>
      <c r="J236" s="420" t="s">
        <v>24</v>
      </c>
      <c r="K236" s="378" t="s">
        <v>283</v>
      </c>
      <c r="L236" s="393" t="s">
        <v>284</v>
      </c>
      <c r="M236" s="68"/>
      <c r="O236" s="29"/>
      <c r="P236" s="211"/>
      <c r="Q236" s="212"/>
      <c r="R236" s="212"/>
      <c r="S236" s="212"/>
      <c r="T236" s="213" t="str">
        <f>IF(OR(R236="",S236=""),"",(R236-50)/S236)</f>
        <v/>
      </c>
      <c r="U236" s="214" t="str">
        <f>IF(OR(Q236="",R236="",S236=""),"",(R236-Q236)/S236)</f>
        <v/>
      </c>
      <c r="V236" s="657"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267</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287</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268</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269</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4"/>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199</v>
      </c>
      <c r="Q241" s="190" t="s">
        <v>288</v>
      </c>
      <c r="R241" s="67"/>
      <c r="S241" s="67"/>
      <c r="T241" s="67"/>
      <c r="U241" s="67"/>
      <c r="V241" s="67"/>
      <c r="W241" s="67"/>
      <c r="X241" s="67"/>
      <c r="Y241" s="31"/>
    </row>
    <row r="242" spans="1:27" ht="14.1" customHeight="1" thickBot="1">
      <c r="A242" s="16">
        <v>26</v>
      </c>
      <c r="B242" s="66"/>
      <c r="C242" s="436" t="s">
        <v>267</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289</v>
      </c>
      <c r="R242" s="67"/>
      <c r="S242" s="67"/>
      <c r="T242" s="67"/>
      <c r="U242" s="67"/>
      <c r="V242" s="67"/>
      <c r="W242" s="67"/>
      <c r="X242" s="67"/>
      <c r="Y242" s="31"/>
    </row>
    <row r="243" spans="1:27" ht="14.1" customHeight="1" thickBot="1">
      <c r="A243" s="16">
        <v>27</v>
      </c>
      <c r="B243" s="66"/>
      <c r="C243" s="436" t="s">
        <v>268</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436" t="s">
        <v>269</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290</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67</v>
      </c>
      <c r="Q245" s="230" t="str">
        <f>Q160&amp;"/"&amp;Q161</f>
        <v>/</v>
      </c>
      <c r="R245" s="230" t="str">
        <f t="shared" ref="R245:S245" si="39">R160&amp;"/"&amp;R161</f>
        <v>/</v>
      </c>
      <c r="S245" s="230" t="str">
        <f t="shared" si="39"/>
        <v>/</v>
      </c>
      <c r="T245" s="4"/>
      <c r="U245" s="939" t="s">
        <v>291</v>
      </c>
      <c r="V245" s="939"/>
      <c r="W245" s="939"/>
      <c r="X245" s="4"/>
      <c r="Y245" s="231"/>
      <c r="Z245" s="535"/>
      <c r="AA245" s="4"/>
    </row>
    <row r="246" spans="1:27" ht="14.1" customHeight="1">
      <c r="A246" s="16">
        <v>30</v>
      </c>
      <c r="B246" s="66"/>
      <c r="C246" s="3" t="s">
        <v>199</v>
      </c>
      <c r="D246" s="190" t="s">
        <v>288</v>
      </c>
      <c r="E246" s="67"/>
      <c r="F246" s="67"/>
      <c r="G246" s="67"/>
      <c r="H246" s="67"/>
      <c r="I246" s="67"/>
      <c r="J246" s="67"/>
      <c r="K246" s="67"/>
      <c r="L246" s="67"/>
      <c r="M246" s="68"/>
      <c r="O246" s="184"/>
      <c r="P246" s="232" t="s">
        <v>264</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5"/>
      <c r="AA246" s="4"/>
    </row>
    <row r="247" spans="1:27" ht="14.1" customHeight="1">
      <c r="A247" s="16">
        <v>31</v>
      </c>
      <c r="B247" s="66"/>
      <c r="C247" s="67"/>
      <c r="D247" s="190" t="s">
        <v>289</v>
      </c>
      <c r="E247" s="67"/>
      <c r="F247" s="67"/>
      <c r="G247" s="67"/>
      <c r="H247" s="67"/>
      <c r="I247" s="67"/>
      <c r="J247" s="67"/>
      <c r="K247" s="67"/>
      <c r="L247" s="67"/>
      <c r="M247" s="68"/>
      <c r="O247" s="184"/>
      <c r="P247" s="232" t="s">
        <v>68</v>
      </c>
      <c r="Q247" s="526" t="str">
        <f>IF(Q163="","",Q163)</f>
        <v/>
      </c>
      <c r="R247" s="526" t="str">
        <f t="shared" ref="R247:S247" si="42">IF(R163="","",R163)</f>
        <v/>
      </c>
      <c r="S247" s="526" t="str">
        <f t="shared" si="42"/>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292</v>
      </c>
      <c r="Q248" s="664"/>
      <c r="R248" s="664"/>
      <c r="S248" s="664"/>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290</v>
      </c>
      <c r="D249" s="67"/>
      <c r="E249" s="67"/>
      <c r="F249" s="67"/>
      <c r="G249" s="67"/>
      <c r="H249" s="67"/>
      <c r="I249" s="67"/>
      <c r="J249" s="67"/>
      <c r="K249" s="67"/>
      <c r="L249" s="67"/>
      <c r="M249" s="68"/>
      <c r="O249" s="184"/>
      <c r="P249" s="232" t="s">
        <v>294</v>
      </c>
      <c r="Q249" s="665"/>
      <c r="R249" s="665"/>
      <c r="S249" s="665"/>
      <c r="T249" s="4"/>
      <c r="U249" s="179" t="str">
        <f t="shared" si="43"/>
        <v/>
      </c>
      <c r="V249" s="179" t="str">
        <f t="shared" si="44"/>
        <v/>
      </c>
      <c r="W249" s="179" t="str">
        <f t="shared" si="45"/>
        <v/>
      </c>
      <c r="X249" s="4"/>
      <c r="Y249" s="231"/>
    </row>
    <row r="250" spans="1:27" ht="14.1" customHeight="1">
      <c r="A250" s="16">
        <v>34</v>
      </c>
      <c r="B250" s="66"/>
      <c r="C250" s="413" t="s">
        <v>67</v>
      </c>
      <c r="D250" s="410" t="str">
        <f t="shared" ref="D250:D251" si="46">IF(Q245="","",Q245)</f>
        <v>/</v>
      </c>
      <c r="E250" s="410" t="str">
        <f t="shared" ref="E250:E251" si="47">IF(R245="","",R245)</f>
        <v>/</v>
      </c>
      <c r="F250" s="411" t="str">
        <f t="shared" ref="F250:F251" si="48">IF(S245="","",S245)</f>
        <v>/</v>
      </c>
      <c r="G250" s="67"/>
      <c r="H250" s="943" t="s">
        <v>291</v>
      </c>
      <c r="I250" s="944"/>
      <c r="J250" s="945"/>
      <c r="K250" s="67"/>
      <c r="L250" s="67"/>
      <c r="M250" s="68"/>
      <c r="O250" s="184"/>
      <c r="P250" s="232" t="s">
        <v>295</v>
      </c>
      <c r="Q250" s="665"/>
      <c r="R250" s="665"/>
      <c r="S250" s="665"/>
      <c r="T250" s="4"/>
      <c r="U250" s="179" t="str">
        <f t="shared" si="43"/>
        <v/>
      </c>
      <c r="V250" s="179" t="str">
        <f t="shared" si="44"/>
        <v/>
      </c>
      <c r="W250" s="179" t="str">
        <f t="shared" si="45"/>
        <v/>
      </c>
      <c r="X250" s="4"/>
      <c r="Y250" s="231"/>
    </row>
    <row r="251" spans="1:27" ht="14.1" customHeight="1">
      <c r="A251" s="16">
        <v>35</v>
      </c>
      <c r="B251" s="66"/>
      <c r="C251" s="414" t="s">
        <v>264</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297</v>
      </c>
      <c r="Q251" s="665"/>
      <c r="R251" s="665"/>
      <c r="S251" s="665"/>
      <c r="T251" s="4"/>
      <c r="U251" s="179" t="str">
        <f t="shared" si="43"/>
        <v/>
      </c>
      <c r="V251" s="179" t="str">
        <f t="shared" si="44"/>
        <v/>
      </c>
      <c r="W251" s="179" t="str">
        <f t="shared" si="45"/>
        <v/>
      </c>
      <c r="X251" s="4"/>
      <c r="Y251" s="231"/>
    </row>
    <row r="252" spans="1:27" ht="14.1" customHeight="1">
      <c r="A252" s="16">
        <v>36</v>
      </c>
      <c r="B252" s="66"/>
      <c r="C252" s="414" t="s">
        <v>68</v>
      </c>
      <c r="D252" s="289" t="str">
        <f t="shared" ref="D252:D260" si="52">IF(Q247="","",Q247)</f>
        <v/>
      </c>
      <c r="E252" s="289" t="str">
        <f t="shared" ref="E252:E260" si="53">IF(R247="","",R247)</f>
        <v/>
      </c>
      <c r="F252" s="331" t="str">
        <f t="shared" ref="F252:F260" si="54">IF(S247="","",S247)</f>
        <v/>
      </c>
      <c r="G252" s="67"/>
      <c r="H252" s="781" t="str">
        <f t="shared" ref="H252:J256" si="55">IF(U247="","",U247)</f>
        <v/>
      </c>
      <c r="I252" s="782" t="str">
        <f t="shared" si="55"/>
        <v/>
      </c>
      <c r="J252" s="783" t="str">
        <f t="shared" si="55"/>
        <v/>
      </c>
      <c r="K252" s="67"/>
      <c r="L252" s="67"/>
      <c r="M252" s="68"/>
      <c r="O252" s="184"/>
      <c r="P252" s="232" t="s">
        <v>301</v>
      </c>
      <c r="Q252" s="665"/>
      <c r="R252" s="665"/>
      <c r="S252" s="665"/>
      <c r="T252" s="4"/>
      <c r="U252" s="4"/>
      <c r="V252" s="4"/>
      <c r="W252" s="4"/>
      <c r="X252" s="4"/>
      <c r="Y252" s="231"/>
    </row>
    <row r="253" spans="1:27" ht="14.1" customHeight="1">
      <c r="A253" s="16">
        <v>37</v>
      </c>
      <c r="B253" s="66"/>
      <c r="C253" s="414" t="s">
        <v>292</v>
      </c>
      <c r="D253" s="392" t="str">
        <f t="shared" si="52"/>
        <v/>
      </c>
      <c r="E253" s="289" t="str">
        <f t="shared" si="53"/>
        <v/>
      </c>
      <c r="F253" s="331" t="str">
        <f t="shared" si="54"/>
        <v/>
      </c>
      <c r="G253" s="67"/>
      <c r="H253" s="781" t="str">
        <f t="shared" si="55"/>
        <v/>
      </c>
      <c r="I253" s="782" t="str">
        <f t="shared" si="55"/>
        <v/>
      </c>
      <c r="J253" s="783" t="str">
        <f t="shared" si="55"/>
        <v/>
      </c>
      <c r="K253" s="67"/>
      <c r="L253" s="67"/>
      <c r="M253" s="68"/>
      <c r="O253" s="184"/>
      <c r="P253" s="232" t="s">
        <v>303</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294</v>
      </c>
      <c r="D254" s="392" t="str">
        <f t="shared" si="52"/>
        <v/>
      </c>
      <c r="E254" s="289" t="str">
        <f t="shared" si="53"/>
        <v/>
      </c>
      <c r="F254" s="331" t="str">
        <f t="shared" si="54"/>
        <v/>
      </c>
      <c r="G254" s="67"/>
      <c r="H254" s="781" t="str">
        <f t="shared" si="55"/>
        <v/>
      </c>
      <c r="I254" s="782" t="str">
        <f t="shared" si="55"/>
        <v/>
      </c>
      <c r="J254" s="783" t="str">
        <f t="shared" si="55"/>
        <v/>
      </c>
      <c r="K254" s="67"/>
      <c r="L254" s="67"/>
      <c r="M254" s="68"/>
      <c r="O254" s="184"/>
      <c r="P254" s="232" t="s">
        <v>305</v>
      </c>
      <c r="Q254" s="794" t="str">
        <f>IF(U247="","",MAX(U247:U251))</f>
        <v/>
      </c>
      <c r="R254" s="794" t="str">
        <f t="shared" ref="R254:S254" si="56">IF(V247="","",MAX(V247:V251))</f>
        <v/>
      </c>
      <c r="S254" s="794" t="str">
        <f t="shared" si="56"/>
        <v/>
      </c>
      <c r="T254" s="4"/>
      <c r="U254" s="4"/>
      <c r="V254" s="4"/>
      <c r="W254" s="4"/>
      <c r="X254" s="4"/>
      <c r="Y254" s="231"/>
    </row>
    <row r="255" spans="1:27" ht="14.1" customHeight="1">
      <c r="A255" s="16">
        <v>39</v>
      </c>
      <c r="B255" s="66"/>
      <c r="C255" s="414" t="s">
        <v>295</v>
      </c>
      <c r="D255" s="392" t="str">
        <f t="shared" si="52"/>
        <v/>
      </c>
      <c r="E255" s="289" t="str">
        <f t="shared" si="53"/>
        <v/>
      </c>
      <c r="F255" s="331" t="str">
        <f t="shared" si="54"/>
        <v/>
      </c>
      <c r="G255" s="67"/>
      <c r="H255" s="781" t="str">
        <f t="shared" si="55"/>
        <v/>
      </c>
      <c r="I255" s="782" t="str">
        <f t="shared" si="55"/>
        <v/>
      </c>
      <c r="J255" s="783"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297</v>
      </c>
      <c r="D256" s="392" t="str">
        <f t="shared" si="52"/>
        <v/>
      </c>
      <c r="E256" s="289" t="str">
        <f t="shared" si="53"/>
        <v/>
      </c>
      <c r="F256" s="331" t="str">
        <f t="shared" si="54"/>
        <v/>
      </c>
      <c r="G256" s="67"/>
      <c r="H256" s="784" t="str">
        <f t="shared" si="55"/>
        <v/>
      </c>
      <c r="I256" s="785" t="str">
        <f t="shared" si="55"/>
        <v/>
      </c>
      <c r="J256" s="786" t="str">
        <f t="shared" si="55"/>
        <v/>
      </c>
      <c r="K256" s="67"/>
      <c r="L256" s="67"/>
      <c r="M256" s="68"/>
      <c r="O256" s="184"/>
      <c r="P256" s="3" t="s">
        <v>199</v>
      </c>
      <c r="Q256" s="26" t="s">
        <v>308</v>
      </c>
      <c r="T256" s="4"/>
      <c r="U256" s="4"/>
      <c r="V256" s="4"/>
      <c r="W256" s="4"/>
      <c r="X256" s="4"/>
      <c r="Y256" s="231"/>
    </row>
    <row r="257" spans="1:37" ht="14.1" customHeight="1" thickBot="1">
      <c r="A257" s="16">
        <v>41</v>
      </c>
      <c r="B257" s="66"/>
      <c r="C257" s="414" t="s">
        <v>301</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303</v>
      </c>
      <c r="D258" s="392" t="str">
        <f t="shared" si="52"/>
        <v/>
      </c>
      <c r="E258" s="289" t="str">
        <f t="shared" si="53"/>
        <v/>
      </c>
      <c r="F258" s="331" t="str">
        <f t="shared" si="54"/>
        <v/>
      </c>
      <c r="G258" s="67"/>
      <c r="H258" s="67"/>
      <c r="I258" s="67"/>
      <c r="J258" s="67"/>
      <c r="K258" s="67"/>
      <c r="L258" s="67"/>
      <c r="M258" s="68"/>
      <c r="O258" s="135" t="s">
        <v>541</v>
      </c>
      <c r="P258" s="22"/>
      <c r="Q258" s="22"/>
      <c r="R258" s="22"/>
      <c r="S258" s="22"/>
      <c r="T258" s="22"/>
      <c r="U258" s="22"/>
      <c r="V258" s="22"/>
      <c r="W258" s="22"/>
      <c r="X258" s="22"/>
      <c r="Y258" s="23"/>
    </row>
    <row r="259" spans="1:37" ht="14.1" customHeight="1" thickBot="1">
      <c r="A259" s="16">
        <v>43</v>
      </c>
      <c r="B259" s="66"/>
      <c r="C259" s="415" t="s">
        <v>305</v>
      </c>
      <c r="D259" s="403" t="str">
        <f t="shared" si="52"/>
        <v/>
      </c>
      <c r="E259" s="403" t="str">
        <f t="shared" si="53"/>
        <v/>
      </c>
      <c r="F259" s="404" t="str">
        <f t="shared" si="54"/>
        <v/>
      </c>
      <c r="G259" s="67"/>
      <c r="H259" s="67"/>
      <c r="I259" s="67"/>
      <c r="J259" s="67"/>
      <c r="K259" s="67"/>
      <c r="L259" s="67"/>
      <c r="M259" s="68"/>
      <c r="O259" s="29"/>
      <c r="P259" s="160" t="s">
        <v>293</v>
      </c>
      <c r="Q259" s="1" t="s">
        <v>761</v>
      </c>
      <c r="R259" s="67"/>
      <c r="S259" s="160" t="s">
        <v>169</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91</v>
      </c>
      <c r="Q260" s="136" t="s">
        <v>233</v>
      </c>
      <c r="R260" s="67"/>
      <c r="S260" s="160" t="s">
        <v>172</v>
      </c>
      <c r="T260" s="136">
        <v>100</v>
      </c>
      <c r="U260" s="67"/>
      <c r="V260" s="67"/>
      <c r="W260" s="67"/>
      <c r="X260" s="67"/>
      <c r="Y260" s="31"/>
      <c r="AA260" s="4"/>
      <c r="AD260" s="535"/>
      <c r="AE260" s="535"/>
      <c r="AF260" s="535"/>
      <c r="AG260" s="535"/>
      <c r="AH260" s="535"/>
    </row>
    <row r="261" spans="1:37" ht="14.1" customHeight="1">
      <c r="A261" s="16">
        <v>45</v>
      </c>
      <c r="B261" s="66"/>
      <c r="C261" s="3" t="s">
        <v>199</v>
      </c>
      <c r="D261" s="190" t="s">
        <v>308</v>
      </c>
      <c r="E261" s="67"/>
      <c r="F261" s="67"/>
      <c r="G261" s="67"/>
      <c r="H261" s="67"/>
      <c r="I261" s="67"/>
      <c r="J261" s="67"/>
      <c r="K261" s="67"/>
      <c r="L261" s="67"/>
      <c r="M261" s="68"/>
      <c r="O261" s="29"/>
      <c r="P261" s="67"/>
      <c r="Q261" s="67"/>
      <c r="R261" s="67"/>
      <c r="S261" s="661" t="s">
        <v>270</v>
      </c>
      <c r="T261" s="67"/>
      <c r="U261" s="67" t="s">
        <v>296</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68</v>
      </c>
      <c r="R262" s="661" t="s">
        <v>279</v>
      </c>
      <c r="S262" s="661" t="s">
        <v>271</v>
      </c>
      <c r="T262" s="661" t="s">
        <v>298</v>
      </c>
      <c r="U262" s="661" t="s">
        <v>299</v>
      </c>
      <c r="V262" s="67"/>
      <c r="W262" s="160" t="s">
        <v>300</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302</v>
      </c>
      <c r="X263" s="266" t="e">
        <f>IF(U267="","",U267)</f>
        <v>#N/A</v>
      </c>
      <c r="Y263" s="31"/>
      <c r="AA263" s="4"/>
    </row>
    <row r="264" spans="1:37" ht="14.1" customHeight="1">
      <c r="A264" s="16">
        <v>48</v>
      </c>
      <c r="B264" s="66"/>
      <c r="C264" s="160" t="s">
        <v>293</v>
      </c>
      <c r="D264" s="680" t="str">
        <f>IF(Q259="","",Q259)</f>
        <v>800004-1204146</v>
      </c>
      <c r="E264" s="67"/>
      <c r="F264" s="160" t="s">
        <v>169</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304</v>
      </c>
      <c r="X264" s="249" t="e">
        <f>IF($Q$260="","",HLOOKUP($Q$260,Tables!$A$88:$F$89,2))</f>
        <v>#N/A</v>
      </c>
      <c r="Y264" s="31"/>
      <c r="AA264" s="4"/>
    </row>
    <row r="265" spans="1:37" ht="14.1" customHeight="1">
      <c r="A265" s="16">
        <v>49</v>
      </c>
      <c r="B265" s="66"/>
      <c r="C265" s="160" t="s">
        <v>91</v>
      </c>
      <c r="D265" s="138" t="str">
        <f>IF(Q260="","",Q260)</f>
        <v>W/Rh</v>
      </c>
      <c r="E265" s="67"/>
      <c r="F265" s="160" t="s">
        <v>172</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306</v>
      </c>
      <c r="X265" s="250" t="e">
        <f>IF(ESE="","",ESE*Tables!$D$89)</f>
        <v>#N/A</v>
      </c>
      <c r="Y265" s="31"/>
      <c r="AA265" s="4"/>
    </row>
    <row r="266" spans="1:37" ht="14.1" customHeight="1">
      <c r="A266" s="16">
        <v>50</v>
      </c>
      <c r="B266" s="66"/>
      <c r="C266" s="67"/>
      <c r="D266" s="67"/>
      <c r="E266" s="67"/>
      <c r="F266" s="106" t="s">
        <v>270</v>
      </c>
      <c r="G266" s="67"/>
      <c r="H266" s="67" t="s">
        <v>296</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307</v>
      </c>
      <c r="X266" s="251" t="str">
        <f>IF(AB85="","",AB85)</f>
        <v/>
      </c>
      <c r="Y266" s="31"/>
      <c r="AA266" s="4"/>
    </row>
    <row r="267" spans="1:37" ht="14.1" customHeight="1" thickBot="1">
      <c r="A267" s="16">
        <v>51</v>
      </c>
      <c r="B267" s="66"/>
      <c r="C267" s="106"/>
      <c r="D267" s="106" t="s">
        <v>68</v>
      </c>
      <c r="E267" s="106" t="s">
        <v>279</v>
      </c>
      <c r="F267" s="106" t="s">
        <v>271</v>
      </c>
      <c r="G267" s="106" t="s">
        <v>298</v>
      </c>
      <c r="H267" s="106" t="s">
        <v>299</v>
      </c>
      <c r="I267" s="67"/>
      <c r="J267" s="160" t="s">
        <v>300</v>
      </c>
      <c r="K267" s="139" t="e">
        <f t="shared" ref="K267:K272" si="60">IF(X262="","",X262)</f>
        <v>#N/A</v>
      </c>
      <c r="L267" s="67"/>
      <c r="M267" s="68"/>
      <c r="O267" s="184"/>
      <c r="P267" s="160" t="s">
        <v>267</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309</v>
      </c>
      <c r="X267" s="254" t="e">
        <f>IF(OR(X265="",X266=""),"",(X265-X266)/X266)</f>
        <v>#N/A</v>
      </c>
      <c r="Y267" s="31"/>
    </row>
    <row r="268" spans="1:37" ht="14.1" customHeight="1">
      <c r="A268" s="16">
        <v>52</v>
      </c>
      <c r="B268" s="66"/>
      <c r="C268" s="67"/>
      <c r="D268" s="234">
        <f t="shared" ref="D268:H273" si="61">IF(Q263="","",Q263)</f>
        <v>0</v>
      </c>
      <c r="E268" s="528">
        <f t="shared" si="61"/>
        <v>0</v>
      </c>
      <c r="F268" s="202" t="str">
        <f t="shared" si="61"/>
        <v/>
      </c>
      <c r="G268" s="235">
        <f t="shared" si="61"/>
        <v>0</v>
      </c>
      <c r="H268" s="236" t="e">
        <f t="shared" si="61"/>
        <v>#N/A</v>
      </c>
      <c r="I268" s="67"/>
      <c r="J268" s="160" t="s">
        <v>302</v>
      </c>
      <c r="K268" s="140" t="e">
        <f t="shared" si="60"/>
        <v>#N/A</v>
      </c>
      <c r="L268" s="67"/>
      <c r="M268" s="68"/>
      <c r="O268" s="184"/>
      <c r="P268" s="160" t="s">
        <v>269</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304</v>
      </c>
      <c r="K269" s="239" t="e">
        <f t="shared" si="60"/>
        <v>#N/A</v>
      </c>
      <c r="L269" s="67"/>
      <c r="M269" s="68"/>
      <c r="O269" s="29"/>
      <c r="P269" s="3" t="s">
        <v>199</v>
      </c>
      <c r="Q269" s="190" t="s">
        <v>766</v>
      </c>
      <c r="R269" s="67"/>
      <c r="S269" s="67"/>
      <c r="T269" s="67"/>
      <c r="U269" s="67"/>
      <c r="V269" s="67"/>
      <c r="W269" s="160" t="s">
        <v>311</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306</v>
      </c>
      <c r="K270" s="140" t="e">
        <f t="shared" si="60"/>
        <v>#N/A</v>
      </c>
      <c r="L270" s="67"/>
      <c r="M270" s="68"/>
      <c r="O270" s="29"/>
      <c r="P270" s="190"/>
      <c r="Q270" s="190" t="s">
        <v>490</v>
      </c>
      <c r="R270" s="67"/>
      <c r="S270" s="67"/>
      <c r="T270" s="67"/>
      <c r="U270" s="67"/>
      <c r="V270" s="67"/>
      <c r="W270" s="160" t="s">
        <v>313</v>
      </c>
      <c r="X270" s="245" t="e">
        <f>IF(OR(X265="",Q267=""),"",3/(X265/Q267))</f>
        <v>#N/A</v>
      </c>
      <c r="Y270" s="31"/>
    </row>
    <row r="271" spans="1:37" ht="14.1" customHeight="1" thickBot="1">
      <c r="A271" s="16">
        <v>55</v>
      </c>
      <c r="B271" s="66"/>
      <c r="C271" s="67"/>
      <c r="D271" s="240">
        <f t="shared" si="61"/>
        <v>0</v>
      </c>
      <c r="E271" s="529">
        <f t="shared" si="61"/>
        <v>0</v>
      </c>
      <c r="F271" s="205" t="str">
        <f t="shared" si="61"/>
        <v/>
      </c>
      <c r="G271" s="241">
        <f t="shared" si="61"/>
        <v>0</v>
      </c>
      <c r="H271" s="242" t="e">
        <f t="shared" si="61"/>
        <v>#N/A</v>
      </c>
      <c r="I271" s="67"/>
      <c r="J271" s="160" t="s">
        <v>307</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267</v>
      </c>
      <c r="D272" s="237">
        <f t="shared" si="61"/>
        <v>0</v>
      </c>
      <c r="E272" s="105">
        <f t="shared" si="61"/>
        <v>0</v>
      </c>
      <c r="F272" s="11" t="str">
        <f t="shared" si="61"/>
        <v/>
      </c>
      <c r="G272" s="12">
        <f t="shared" si="61"/>
        <v>0</v>
      </c>
      <c r="H272" s="238" t="e">
        <f t="shared" si="61"/>
        <v>#N/A</v>
      </c>
      <c r="I272" s="67"/>
      <c r="J272" s="160" t="s">
        <v>309</v>
      </c>
      <c r="K272" s="243" t="e">
        <f t="shared" si="60"/>
        <v>#N/A</v>
      </c>
      <c r="L272" s="67"/>
      <c r="M272" s="68"/>
      <c r="O272" s="137" t="s">
        <v>620</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269</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8" t="s">
        <v>542</v>
      </c>
      <c r="Q273" s="659" t="s">
        <v>264</v>
      </c>
      <c r="R273" s="659" t="s">
        <v>68</v>
      </c>
      <c r="S273" s="659" t="s">
        <v>271</v>
      </c>
      <c r="T273" s="616" t="s">
        <v>581</v>
      </c>
      <c r="U273" s="659" t="s">
        <v>543</v>
      </c>
      <c r="V273" s="660" t="s">
        <v>286</v>
      </c>
      <c r="W273" s="67"/>
      <c r="X273" s="67"/>
      <c r="Y273" s="31"/>
      <c r="Z273"/>
      <c r="AA273"/>
      <c r="AB273"/>
      <c r="AC273"/>
      <c r="AD273"/>
      <c r="AE273"/>
      <c r="AF273"/>
      <c r="AG273"/>
      <c r="AH273"/>
      <c r="AI273"/>
      <c r="AJ273"/>
      <c r="AK273"/>
    </row>
    <row r="274" spans="1:37" ht="14.1" customHeight="1">
      <c r="A274" s="16">
        <v>58</v>
      </c>
      <c r="B274" s="66"/>
      <c r="C274" s="3" t="s">
        <v>199</v>
      </c>
      <c r="D274" s="190" t="s">
        <v>766</v>
      </c>
      <c r="E274" s="67"/>
      <c r="F274" s="67"/>
      <c r="G274" s="67"/>
      <c r="H274" s="67"/>
      <c r="I274" s="67"/>
      <c r="J274" s="160" t="s">
        <v>311</v>
      </c>
      <c r="K274" s="244" t="e">
        <f>IF(X269="","",X269)</f>
        <v>#N/A</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312</v>
      </c>
      <c r="E275" s="67"/>
      <c r="F275" s="67"/>
      <c r="G275" s="67"/>
      <c r="H275" s="67"/>
      <c r="I275" s="67"/>
      <c r="J275" s="160" t="s">
        <v>313</v>
      </c>
      <c r="K275" s="245" t="e">
        <f>IF(X270="","",X270)</f>
        <v>#N/A</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199</v>
      </c>
      <c r="Q277" s="190" t="s">
        <v>544</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542</v>
      </c>
      <c r="D278" s="628" t="s">
        <v>264</v>
      </c>
      <c r="E278" s="628" t="s">
        <v>68</v>
      </c>
      <c r="F278" s="628" t="s">
        <v>271</v>
      </c>
      <c r="G278" s="628" t="s">
        <v>543</v>
      </c>
      <c r="H278" s="629" t="s">
        <v>286</v>
      </c>
      <c r="I278" s="67"/>
      <c r="J278" s="160"/>
      <c r="K278" s="661"/>
      <c r="L278" s="67"/>
      <c r="M278" s="68" t="s">
        <v>706</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1" t="s">
        <v>264</v>
      </c>
      <c r="L279" s="661" t="s">
        <v>68</v>
      </c>
      <c r="M279" s="256" t="s">
        <v>606</v>
      </c>
      <c r="O279" s="701" t="s">
        <v>621</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603</v>
      </c>
      <c r="K280" s="658">
        <f>IF(Q304="","",Q304)</f>
        <v>28</v>
      </c>
      <c r="L280" s="659" t="str">
        <f>IF(R304="","",R304)</f>
        <v/>
      </c>
      <c r="M280" s="459" t="str">
        <f>IF(T304="","",T304)</f>
        <v/>
      </c>
      <c r="O280" s="447"/>
      <c r="P280" s="144" t="s">
        <v>609</v>
      </c>
      <c r="Q280" s="67"/>
      <c r="R280" s="67"/>
      <c r="S280" s="661" t="s">
        <v>270</v>
      </c>
      <c r="T280" s="67"/>
      <c r="U280" s="67" t="s">
        <v>296</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8">
        <f t="shared" si="63"/>
        <v>4.7</v>
      </c>
      <c r="H281" s="380" t="str">
        <f>IF(V276="","",V276)</f>
        <v/>
      </c>
      <c r="I281" s="67"/>
      <c r="J281" s="160" t="s">
        <v>604</v>
      </c>
      <c r="K281" s="379">
        <f>IF(Q305="","",Q305)</f>
        <v>28</v>
      </c>
      <c r="L281" s="429" t="str">
        <f>IF(R305="","",R305)</f>
        <v/>
      </c>
      <c r="M281" s="461" t="str">
        <f>IF(T305="","",T305)</f>
        <v/>
      </c>
      <c r="O281" s="447"/>
      <c r="P281" s="67"/>
      <c r="Q281" s="661" t="s">
        <v>68</v>
      </c>
      <c r="R281" s="661" t="s">
        <v>279</v>
      </c>
      <c r="S281" s="661" t="s">
        <v>271</v>
      </c>
      <c r="T281" s="661" t="s">
        <v>298</v>
      </c>
      <c r="U281" s="661" t="s">
        <v>299</v>
      </c>
      <c r="V281" s="661"/>
      <c r="W281" s="160" t="s">
        <v>300</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199</v>
      </c>
      <c r="D282" s="190" t="s">
        <v>544</v>
      </c>
      <c r="E282" s="67"/>
      <c r="F282" s="67"/>
      <c r="G282" s="67"/>
      <c r="H282" s="67"/>
      <c r="I282" s="67"/>
      <c r="J282" s="67"/>
      <c r="K282" s="67"/>
      <c r="L282" s="160" t="s">
        <v>607</v>
      </c>
      <c r="M282" s="709" t="str">
        <f>IF(T306="","",T306)</f>
        <v/>
      </c>
      <c r="O282" s="447"/>
      <c r="P282" s="67"/>
      <c r="Q282" s="143"/>
      <c r="R282" s="143"/>
      <c r="S282" s="143"/>
      <c r="T282" s="294" t="str">
        <f>IF(Q282="","",Q282/$T$260)</f>
        <v/>
      </c>
      <c r="U282" s="296" t="str">
        <f>IF(Q282="","",($T$259*HLOOKUP($Q$260,Tables!$B$70:$D$72,2,FALSE)+HLOOKUP(Sheet1!$Q$260,Tables!$B$70:$D$72,3,FALSE))*Q282)</f>
        <v/>
      </c>
      <c r="V282" s="67"/>
      <c r="W282" s="160" t="s">
        <v>302</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213</v>
      </c>
      <c r="M283" s="464" t="str">
        <f>IF(V304="","",V304)</f>
        <v/>
      </c>
      <c r="O283" s="447"/>
      <c r="P283" s="67"/>
      <c r="Q283" s="143"/>
      <c r="R283" s="143"/>
      <c r="S283" s="143"/>
      <c r="T283" s="294" t="str">
        <f>IF(Q283="","",Q283/$T$260)</f>
        <v/>
      </c>
      <c r="U283" s="296" t="str">
        <f>IF(Q283="","",($T$259*HLOOKUP($Q$260,Tables!$B$70:$D$72,2,FALSE)+HLOOKUP(Sheet1!$Q$260,Tables!$B$70:$D$72,3,FALSE))*Q283)</f>
        <v/>
      </c>
      <c r="V283" s="67"/>
      <c r="W283" s="160" t="s">
        <v>304</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306</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307</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267</v>
      </c>
      <c r="Q286" s="69" t="str">
        <f t="shared" ref="Q286:U286" si="64">IF(OR(Q282="",Q283="",Q284="",Q285=""),"",AVERAGE(Q282:Q285))</f>
        <v/>
      </c>
      <c r="R286" s="252" t="str">
        <f t="shared" si="64"/>
        <v/>
      </c>
      <c r="S286" s="70" t="str">
        <f t="shared" si="64"/>
        <v/>
      </c>
      <c r="T286" s="253" t="str">
        <f t="shared" si="64"/>
        <v/>
      </c>
      <c r="U286" s="295" t="str">
        <f t="shared" si="64"/>
        <v/>
      </c>
      <c r="V286" s="693"/>
      <c r="W286" s="160" t="s">
        <v>309</v>
      </c>
      <c r="X286" s="254" t="str">
        <f>IF(OR(X284="",X285=""),"",(X284-X285)/X285)</f>
        <v/>
      </c>
      <c r="Y286" s="700"/>
      <c r="Z286"/>
      <c r="AA286"/>
      <c r="AB286"/>
      <c r="AC286"/>
      <c r="AD286"/>
      <c r="AE286"/>
      <c r="AF286"/>
      <c r="AG286"/>
      <c r="AH286"/>
      <c r="AI286"/>
      <c r="AJ286"/>
      <c r="AK286"/>
    </row>
    <row r="287" spans="1:37" ht="14.1" customHeight="1" thickTop="1">
      <c r="A287" s="16">
        <v>71</v>
      </c>
      <c r="C287" s="108" t="s">
        <v>8</v>
      </c>
      <c r="D287" s="367" t="str">
        <f>IF($P$7="","",$P$7)</f>
        <v/>
      </c>
      <c r="E287" s="26"/>
      <c r="F287" s="26"/>
      <c r="G287" s="26"/>
      <c r="H287" s="26"/>
      <c r="I287" s="26"/>
      <c r="J287" s="26"/>
      <c r="K287" s="26"/>
      <c r="L287" s="108" t="s">
        <v>9</v>
      </c>
      <c r="M287" s="368" t="str">
        <f>IF($X$7="","",$X$7)</f>
        <v>Eugene Mah</v>
      </c>
      <c r="O287" s="447"/>
      <c r="P287" s="160" t="s">
        <v>269</v>
      </c>
      <c r="Q287" s="247" t="str">
        <f t="shared" ref="Q287:U287" si="65">IF(Q286="","",_xlfn.STDEV.S(Q282:Q285)/Q286)</f>
        <v/>
      </c>
      <c r="R287" s="247" t="str">
        <f t="shared" si="65"/>
        <v/>
      </c>
      <c r="S287" s="247" t="str">
        <f t="shared" si="65"/>
        <v/>
      </c>
      <c r="T287" s="247" t="str">
        <f t="shared" si="65"/>
        <v/>
      </c>
      <c r="U287" s="247" t="str">
        <f t="shared" si="65"/>
        <v/>
      </c>
      <c r="V287" s="694"/>
      <c r="W287" s="325"/>
      <c r="X287" s="325"/>
      <c r="Y287" s="700"/>
      <c r="Z287"/>
      <c r="AA287"/>
      <c r="AB287"/>
      <c r="AC287"/>
      <c r="AD287"/>
      <c r="AE287"/>
      <c r="AF287"/>
      <c r="AG287"/>
      <c r="AH287"/>
      <c r="AI287"/>
      <c r="AJ287"/>
      <c r="AK287"/>
    </row>
    <row r="288" spans="1:37" ht="14.1" customHeight="1">
      <c r="A288" s="16">
        <v>72</v>
      </c>
      <c r="C288" s="108" t="s">
        <v>117</v>
      </c>
      <c r="D288" s="368" t="str">
        <f>IF($R$14="","",$R$14)</f>
        <v/>
      </c>
      <c r="E288" s="26"/>
      <c r="F288" s="26"/>
      <c r="G288" s="26"/>
      <c r="H288" s="26"/>
      <c r="I288" s="26"/>
      <c r="J288" s="26"/>
      <c r="K288" s="26"/>
      <c r="L288" s="108" t="s">
        <v>34</v>
      </c>
      <c r="M288" s="368" t="str">
        <f>IF($R$13="","",$R$13)</f>
        <v/>
      </c>
      <c r="O288" s="447"/>
      <c r="P288" s="3" t="s">
        <v>199</v>
      </c>
      <c r="Q288" s="190" t="s">
        <v>310</v>
      </c>
      <c r="R288" s="67"/>
      <c r="S288" s="67"/>
      <c r="T288" s="67"/>
      <c r="U288" s="67"/>
      <c r="V288" s="67"/>
      <c r="W288" s="160" t="s">
        <v>311</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490</v>
      </c>
      <c r="R289" s="67"/>
      <c r="S289" s="67"/>
      <c r="T289" s="67"/>
      <c r="U289" s="67"/>
      <c r="V289" s="67"/>
      <c r="W289" s="160" t="s">
        <v>313</v>
      </c>
      <c r="X289" s="245" t="str">
        <f>IF(OR(X284="",Q286=""),"",3/(X284/Q286))</f>
        <v/>
      </c>
      <c r="Y289" s="700"/>
      <c r="Z289"/>
      <c r="AA289"/>
      <c r="AB289"/>
      <c r="AC289"/>
      <c r="AD289"/>
      <c r="AE289"/>
      <c r="AF289"/>
      <c r="AG289"/>
      <c r="AH289"/>
      <c r="AI289"/>
      <c r="AJ289"/>
      <c r="AK289"/>
    </row>
    <row r="290" spans="1:37" ht="14.1" customHeight="1" thickBot="1">
      <c r="A290" s="16">
        <v>2</v>
      </c>
      <c r="H290" s="50" t="s">
        <v>69</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325</v>
      </c>
      <c r="D291" s="264" t="str">
        <f>IF(P367="","",P367)</f>
        <v>Piranha</v>
      </c>
      <c r="E291" s="263" t="s">
        <v>332</v>
      </c>
      <c r="F291" s="482" t="str">
        <f>IF(P368="","",P368)</f>
        <v/>
      </c>
      <c r="G291" s="58"/>
      <c r="H291" s="263" t="s">
        <v>326</v>
      </c>
      <c r="I291" s="940" t="str">
        <f>IF(S367="","",S367)</f>
        <v/>
      </c>
      <c r="J291" s="940"/>
      <c r="K291" s="58"/>
      <c r="L291" s="58"/>
      <c r="M291" s="60"/>
      <c r="O291" s="447"/>
      <c r="P291" s="144" t="s">
        <v>610</v>
      </c>
      <c r="Q291" s="67"/>
      <c r="R291" s="67"/>
      <c r="S291" s="661" t="s">
        <v>270</v>
      </c>
      <c r="T291" s="67"/>
      <c r="U291" s="67" t="s">
        <v>296</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328</v>
      </c>
      <c r="I292" s="941" t="str">
        <f>IF(S368="","",S368)</f>
        <v/>
      </c>
      <c r="J292" s="941"/>
      <c r="K292" s="4"/>
      <c r="M292" s="68"/>
      <c r="O292" s="447"/>
      <c r="P292" s="67"/>
      <c r="Q292" s="661" t="s">
        <v>68</v>
      </c>
      <c r="R292" s="661" t="s">
        <v>279</v>
      </c>
      <c r="S292" s="661" t="s">
        <v>271</v>
      </c>
      <c r="T292" s="661" t="s">
        <v>298</v>
      </c>
      <c r="U292" s="661" t="s">
        <v>299</v>
      </c>
      <c r="V292" s="661"/>
      <c r="W292" s="160" t="s">
        <v>300</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323</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302</v>
      </c>
      <c r="X293" s="266" t="str">
        <f>IF(U297="","",U297)</f>
        <v/>
      </c>
      <c r="Y293" s="700"/>
      <c r="Z293"/>
      <c r="AA293"/>
      <c r="AB293"/>
      <c r="AC293"/>
      <c r="AD293"/>
      <c r="AE293"/>
      <c r="AF293"/>
      <c r="AG293"/>
      <c r="AH293"/>
      <c r="AI293"/>
      <c r="AJ293"/>
      <c r="AK293"/>
    </row>
    <row r="294" spans="1:37" ht="14.1" customHeight="1">
      <c r="A294" s="16">
        <v>6</v>
      </c>
      <c r="B294" s="66"/>
      <c r="C294" s="160"/>
      <c r="F294" s="939" t="s">
        <v>329</v>
      </c>
      <c r="G294" s="939"/>
      <c r="H294" s="939"/>
      <c r="I294" s="535"/>
      <c r="J294" s="535"/>
      <c r="K294" s="106"/>
      <c r="M294" s="68"/>
      <c r="O294" s="447"/>
      <c r="P294" s="67"/>
      <c r="Q294" s="143"/>
      <c r="R294" s="143"/>
      <c r="S294" s="143"/>
      <c r="T294" s="294" t="str">
        <f>IF(Q294="","",Q294/$T$260)</f>
        <v/>
      </c>
      <c r="U294" s="296" t="str">
        <f>IF(Q294="","",($T$259*HLOOKUP($Q$260,Tables!$B$70:$D$72,2,FALSE)+HLOOKUP(Sheet1!$Q$260,Tables!$B$70:$D$72,3,FALSE))*Q294)</f>
        <v/>
      </c>
      <c r="V294" s="67"/>
      <c r="W294" s="160" t="s">
        <v>304</v>
      </c>
      <c r="X294" s="249" t="e">
        <f>IF($Q$260="","",HLOOKUP($Q$260,Tables!$A$88:$F$89,2))</f>
        <v>#N/A</v>
      </c>
      <c r="Y294" s="700"/>
      <c r="Z294"/>
      <c r="AA294"/>
      <c r="AB294"/>
      <c r="AC294"/>
      <c r="AD294"/>
      <c r="AE294"/>
      <c r="AF294"/>
      <c r="AG294"/>
      <c r="AH294"/>
      <c r="AI294"/>
      <c r="AJ294"/>
      <c r="AK294"/>
    </row>
    <row r="295" spans="1:37" ht="14.1" customHeight="1" thickBot="1">
      <c r="A295" s="16">
        <v>7</v>
      </c>
      <c r="B295" s="66"/>
      <c r="C295" s="20" t="s">
        <v>67</v>
      </c>
      <c r="D295" s="535" t="s">
        <v>264</v>
      </c>
      <c r="E295" s="535" t="s">
        <v>68</v>
      </c>
      <c r="F295" s="535" t="s">
        <v>22</v>
      </c>
      <c r="G295" s="535" t="s">
        <v>23</v>
      </c>
      <c r="H295" s="535" t="s">
        <v>24</v>
      </c>
      <c r="I295" s="535" t="s">
        <v>330</v>
      </c>
      <c r="J295" s="535" t="s">
        <v>331</v>
      </c>
      <c r="K295" s="535" t="s">
        <v>488</v>
      </c>
      <c r="M295" s="68"/>
      <c r="O295" s="447"/>
      <c r="P295" s="67"/>
      <c r="Q295" s="143"/>
      <c r="R295" s="143"/>
      <c r="S295" s="143"/>
      <c r="T295" s="294" t="str">
        <f>IF(Q295="","",Q295/$T$260)</f>
        <v/>
      </c>
      <c r="U295" s="296" t="str">
        <f>IF(Q295="","",($T$259*HLOOKUP($Q$260,Tables!$B$70:$D$72,2,FALSE)+HLOOKUP(Sheet1!$Q$260,Tables!$B$70:$D$72,3,FALSE))*Q295)</f>
        <v/>
      </c>
      <c r="V295" s="67"/>
      <c r="W295" s="160" t="s">
        <v>306</v>
      </c>
      <c r="X295" s="250" t="str">
        <f>IF(X293="","",X293*Tables!$D$89)</f>
        <v/>
      </c>
      <c r="Y295" s="700"/>
      <c r="Z295"/>
      <c r="AA295"/>
      <c r="AB295"/>
      <c r="AC295"/>
      <c r="AD295"/>
      <c r="AE295"/>
      <c r="AF295"/>
      <c r="AG295"/>
      <c r="AH295"/>
      <c r="AI295"/>
      <c r="AJ295"/>
      <c r="AK295"/>
    </row>
    <row r="296" spans="1:37" ht="14.1" customHeight="1">
      <c r="A296" s="16">
        <v>8</v>
      </c>
      <c r="B296" s="66"/>
      <c r="C296" s="971"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307</v>
      </c>
      <c r="X296" s="251" t="str">
        <f>IF(AB87="","",AB87)</f>
        <v/>
      </c>
      <c r="Y296" s="700"/>
      <c r="Z296"/>
      <c r="AA296"/>
      <c r="AB296"/>
      <c r="AC296"/>
      <c r="AD296"/>
      <c r="AE296"/>
      <c r="AF296"/>
      <c r="AG296"/>
      <c r="AH296"/>
      <c r="AI296"/>
      <c r="AJ296"/>
      <c r="AK296"/>
    </row>
    <row r="297" spans="1:37" ht="14.1" customHeight="1">
      <c r="A297" s="16">
        <v>9</v>
      </c>
      <c r="B297" s="66"/>
      <c r="C297" s="972"/>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267</v>
      </c>
      <c r="Q297" s="69" t="str">
        <f t="shared" ref="Q297:U297" si="67">IF(OR(Q293="",Q294="",Q295="",Q296=""),"",AVERAGE(Q293:Q296))</f>
        <v/>
      </c>
      <c r="R297" s="252" t="str">
        <f t="shared" si="67"/>
        <v/>
      </c>
      <c r="S297" s="70" t="str">
        <f>IF(OR(S293="",S294="",S295="",S296=""),"",AVERAGE(S293:S296))</f>
        <v/>
      </c>
      <c r="T297" s="253" t="str">
        <f t="shared" si="67"/>
        <v/>
      </c>
      <c r="U297" s="295" t="str">
        <f t="shared" si="67"/>
        <v/>
      </c>
      <c r="V297" s="693"/>
      <c r="W297" s="160" t="s">
        <v>309</v>
      </c>
      <c r="X297" s="254" t="str">
        <f>IF(OR(X295="",X296=""),"",(X295-X296)/X296)</f>
        <v/>
      </c>
      <c r="Y297" s="700"/>
      <c r="Z297"/>
      <c r="AA297"/>
      <c r="AB297"/>
      <c r="AC297"/>
      <c r="AD297"/>
      <c r="AE297"/>
      <c r="AF297"/>
      <c r="AG297"/>
      <c r="AH297"/>
      <c r="AI297"/>
      <c r="AJ297"/>
      <c r="AK297"/>
    </row>
    <row r="298" spans="1:37" ht="14.1" customHeight="1">
      <c r="A298" s="16">
        <v>10</v>
      </c>
      <c r="B298" s="66"/>
      <c r="C298" s="972"/>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269</v>
      </c>
      <c r="Q298" s="247" t="str">
        <f t="shared" ref="Q298:U298" si="68">IF(Q297="","",_xlfn.STDEV.S(Q293:Q296)/Q297)</f>
        <v/>
      </c>
      <c r="R298" s="247" t="str">
        <f t="shared" si="68"/>
        <v/>
      </c>
      <c r="S298" s="247" t="str">
        <f t="shared" si="68"/>
        <v/>
      </c>
      <c r="T298" s="247" t="str">
        <f t="shared" si="68"/>
        <v/>
      </c>
      <c r="U298" s="247" t="str">
        <f t="shared" si="68"/>
        <v/>
      </c>
      <c r="V298" s="694"/>
      <c r="W298" s="325"/>
      <c r="X298" s="325"/>
      <c r="Y298" s="700"/>
      <c r="Z298"/>
      <c r="AA298"/>
      <c r="AB298"/>
      <c r="AC298"/>
      <c r="AD298"/>
      <c r="AE298"/>
      <c r="AF298"/>
      <c r="AG298"/>
      <c r="AH298"/>
      <c r="AI298"/>
      <c r="AJ298"/>
      <c r="AK298"/>
    </row>
    <row r="299" spans="1:37" ht="14.1" customHeight="1">
      <c r="A299" s="16">
        <v>11</v>
      </c>
      <c r="B299" s="66"/>
      <c r="C299" s="972"/>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199</v>
      </c>
      <c r="Q299" s="190" t="s">
        <v>310</v>
      </c>
      <c r="R299" s="67"/>
      <c r="S299" s="67"/>
      <c r="T299" s="67"/>
      <c r="U299" s="67"/>
      <c r="V299" s="67"/>
      <c r="W299" s="160" t="s">
        <v>311</v>
      </c>
      <c r="X299" s="244" t="str">
        <f>IF(X295="","",(X295-S297)/S297)</f>
        <v/>
      </c>
      <c r="Y299" s="700"/>
      <c r="Z299"/>
      <c r="AA299"/>
      <c r="AB299"/>
      <c r="AC299"/>
      <c r="AD299"/>
      <c r="AE299"/>
      <c r="AF299"/>
      <c r="AG299"/>
      <c r="AH299"/>
      <c r="AI299"/>
      <c r="AJ299"/>
      <c r="AK299"/>
    </row>
    <row r="300" spans="1:37" ht="14.1" customHeight="1">
      <c r="A300" s="16">
        <v>12</v>
      </c>
      <c r="B300" s="66"/>
      <c r="C300" s="972"/>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490</v>
      </c>
      <c r="R300" s="67"/>
      <c r="S300" s="67"/>
      <c r="T300" s="67"/>
      <c r="U300" s="67"/>
      <c r="V300" s="67"/>
      <c r="W300" s="160" t="s">
        <v>313</v>
      </c>
      <c r="X300" s="245" t="str">
        <f>IF(OR(X295="",Q297=""),"",3/(X295/Q297))</f>
        <v/>
      </c>
      <c r="Y300" s="700"/>
      <c r="Z300"/>
      <c r="AA300"/>
      <c r="AB300"/>
      <c r="AC300"/>
      <c r="AD300"/>
      <c r="AE300"/>
      <c r="AF300"/>
      <c r="AG300"/>
      <c r="AH300"/>
      <c r="AI300"/>
      <c r="AJ300"/>
      <c r="AK300"/>
    </row>
    <row r="301" spans="1:37" ht="14.1" customHeight="1" thickBot="1">
      <c r="A301" s="16">
        <v>13</v>
      </c>
      <c r="B301" s="66"/>
      <c r="C301" s="972"/>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73"/>
      <c r="D302" s="419">
        <f t="shared" ref="D302" si="69">IF(Q377="","",Q377)</f>
        <v>34</v>
      </c>
      <c r="E302" s="419">
        <f t="shared" ref="E302" si="70">IF(R377="","",R377)</f>
        <v>50</v>
      </c>
      <c r="F302" s="866" t="str">
        <f t="shared" ref="F302" si="71">IF(S377="","",S377)</f>
        <v/>
      </c>
      <c r="G302" s="866" t="str">
        <f t="shared" ref="G302" si="72">IF(T377="","",T377)</f>
        <v/>
      </c>
      <c r="H302" s="866" t="str">
        <f t="shared" ref="H302" si="73">IF(U377="","",U377)</f>
        <v/>
      </c>
      <c r="I302" s="867" t="str">
        <f t="shared" ref="I302" si="74">IF(V377="","",V377)</f>
        <v/>
      </c>
      <c r="J302" s="866" t="str">
        <f t="shared" ref="J302" si="75">IF(W377="","",W377)</f>
        <v/>
      </c>
      <c r="K302" s="868" t="str">
        <f t="shared" ref="K302" si="76">IF(X377="","",X377)</f>
        <v/>
      </c>
      <c r="L302" s="369" t="str">
        <f>IF(K296="","",IF(MAX(K296:K301)&lt;0.05,"Pass","Fail"))</f>
        <v/>
      </c>
      <c r="M302" s="68"/>
      <c r="O302" s="447"/>
      <c r="P302" s="67"/>
      <c r="Q302" s="67"/>
      <c r="R302" s="67"/>
      <c r="S302" s="661" t="s">
        <v>270</v>
      </c>
      <c r="T302" s="661" t="s">
        <v>706</v>
      </c>
      <c r="U302" s="67"/>
      <c r="V302" s="67"/>
      <c r="W302" s="67"/>
      <c r="X302" s="67"/>
      <c r="Y302" s="700"/>
      <c r="Z302"/>
      <c r="AA302"/>
      <c r="AB302"/>
      <c r="AC302"/>
      <c r="AD302"/>
      <c r="AE302"/>
      <c r="AF302"/>
      <c r="AG302"/>
      <c r="AH302"/>
      <c r="AI302"/>
      <c r="AJ302"/>
      <c r="AK302"/>
    </row>
    <row r="303" spans="1:37" ht="14.1" customHeight="1" thickBot="1">
      <c r="A303" s="16">
        <v>15</v>
      </c>
      <c r="B303" s="66"/>
      <c r="C303" s="974"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1" t="s">
        <v>264</v>
      </c>
      <c r="R303" s="661" t="s">
        <v>68</v>
      </c>
      <c r="S303" s="67" t="s">
        <v>606</v>
      </c>
      <c r="T303" s="67" t="s">
        <v>606</v>
      </c>
      <c r="U303" s="67"/>
      <c r="V303" s="67"/>
      <c r="W303" s="67"/>
      <c r="X303" s="67"/>
      <c r="Y303" s="700"/>
      <c r="Z303"/>
      <c r="AA303"/>
      <c r="AB303"/>
      <c r="AC303"/>
      <c r="AD303"/>
      <c r="AE303"/>
      <c r="AF303"/>
      <c r="AG303"/>
      <c r="AH303"/>
      <c r="AI303"/>
      <c r="AJ303"/>
      <c r="AK303"/>
    </row>
    <row r="304" spans="1:37" ht="14.1" customHeight="1" thickBot="1">
      <c r="A304" s="16">
        <v>16</v>
      </c>
      <c r="B304" s="66"/>
      <c r="C304" s="975"/>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603</v>
      </c>
      <c r="Q304" s="695">
        <f>T259</f>
        <v>28</v>
      </c>
      <c r="R304" s="696" t="str">
        <f>Q286</f>
        <v/>
      </c>
      <c r="S304" s="702" t="str">
        <f>S286</f>
        <v/>
      </c>
      <c r="T304" s="698" t="str">
        <f>X284</f>
        <v/>
      </c>
      <c r="U304" s="160" t="s">
        <v>213</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75"/>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604</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75"/>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607</v>
      </c>
      <c r="S306" s="677" t="str">
        <f>IF(OR(S304="",S305=""),"",S304+S305)</f>
        <v/>
      </c>
      <c r="T306" s="677" t="str">
        <f>IF(OR(T304="",T305=""),"",T304+T305)</f>
        <v/>
      </c>
      <c r="U306" s="67" t="s">
        <v>337</v>
      </c>
      <c r="V306" s="67"/>
      <c r="W306" s="67"/>
      <c r="X306" s="67"/>
      <c r="Y306" s="700"/>
      <c r="Z306"/>
      <c r="AA306"/>
      <c r="AB306"/>
      <c r="AC306"/>
      <c r="AD306"/>
      <c r="AE306"/>
      <c r="AF306"/>
      <c r="AG306"/>
      <c r="AH306"/>
      <c r="AI306"/>
      <c r="AJ306"/>
      <c r="AK306"/>
    </row>
    <row r="307" spans="1:37" ht="14.1" customHeight="1" thickBot="1">
      <c r="A307" s="16">
        <v>19</v>
      </c>
      <c r="B307" s="66"/>
      <c r="C307" s="976"/>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199</v>
      </c>
      <c r="Q307" s="190" t="s">
        <v>310</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74"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75"/>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545</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75"/>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551</v>
      </c>
      <c r="Q310" s="160" t="s">
        <v>548</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75"/>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549</v>
      </c>
      <c r="R311" s="619">
        <v>108</v>
      </c>
      <c r="S311" s="661" t="s">
        <v>316</v>
      </c>
      <c r="T311" s="661"/>
      <c r="U311" s="67"/>
      <c r="V311" s="67"/>
      <c r="W311" s="67"/>
      <c r="X311" s="67"/>
      <c r="Y311" s="31"/>
      <c r="Z311"/>
      <c r="AA311"/>
      <c r="AB311"/>
      <c r="AC311"/>
      <c r="AD311"/>
      <c r="AE311"/>
      <c r="AF311"/>
      <c r="AG311"/>
      <c r="AH311"/>
      <c r="AI311"/>
      <c r="AJ311"/>
      <c r="AK311"/>
    </row>
    <row r="312" spans="1:37" ht="14.1" customHeight="1" thickBot="1">
      <c r="A312" s="16">
        <v>24</v>
      </c>
      <c r="B312" s="66"/>
      <c r="C312" s="976"/>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8" t="s">
        <v>547</v>
      </c>
      <c r="Q312" s="659" t="s">
        <v>546</v>
      </c>
      <c r="R312" s="660" t="s">
        <v>286</v>
      </c>
      <c r="S312" s="658" t="s">
        <v>547</v>
      </c>
      <c r="T312" s="660" t="s">
        <v>546</v>
      </c>
      <c r="U312" s="67"/>
      <c r="V312" s="67"/>
      <c r="W312" s="67"/>
      <c r="X312" s="67"/>
      <c r="Y312" s="31"/>
      <c r="Z312"/>
      <c r="AA312"/>
      <c r="AB312"/>
      <c r="AC312"/>
      <c r="AD312"/>
      <c r="AE312"/>
      <c r="AF312"/>
      <c r="AG312"/>
      <c r="AH312"/>
      <c r="AI312"/>
      <c r="AJ312"/>
      <c r="AK312"/>
    </row>
    <row r="313" spans="1:37" ht="14.1" customHeight="1">
      <c r="A313" s="16">
        <v>25</v>
      </c>
      <c r="B313" s="66"/>
      <c r="M313" s="68"/>
      <c r="O313" s="159" t="s">
        <v>562</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563</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564</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199</v>
      </c>
      <c r="Q316" s="190" t="s">
        <v>550</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552</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570</v>
      </c>
      <c r="P319" s="623" t="s">
        <v>566</v>
      </c>
      <c r="Q319" s="682">
        <f>U319-2</f>
        <v>-2</v>
      </c>
      <c r="R319" s="623" t="s">
        <v>565</v>
      </c>
      <c r="S319" s="682">
        <f>U319-1</f>
        <v>-1</v>
      </c>
      <c r="T319" s="623" t="s">
        <v>567</v>
      </c>
      <c r="U319" s="624"/>
      <c r="V319" s="623" t="s">
        <v>568</v>
      </c>
      <c r="W319" s="682">
        <f>U319+1</f>
        <v>1</v>
      </c>
      <c r="X319" s="623" t="s">
        <v>569</v>
      </c>
      <c r="Y319" s="683">
        <f>U319+2</f>
        <v>2</v>
      </c>
      <c r="Z319"/>
      <c r="AA319"/>
      <c r="AB319"/>
      <c r="AC319"/>
      <c r="AD319"/>
      <c r="AE319"/>
      <c r="AF319"/>
      <c r="AG319"/>
      <c r="AH319"/>
      <c r="AI319"/>
      <c r="AJ319"/>
      <c r="AK319"/>
    </row>
    <row r="320" spans="1:37" ht="14.1" customHeight="1">
      <c r="A320" s="16">
        <v>32</v>
      </c>
      <c r="B320" s="66"/>
      <c r="M320" s="68"/>
      <c r="O320" s="635" t="s">
        <v>562</v>
      </c>
      <c r="P320" s="289" t="s">
        <v>558</v>
      </c>
      <c r="Q320" s="289" t="s">
        <v>279</v>
      </c>
      <c r="R320" s="289" t="s">
        <v>558</v>
      </c>
      <c r="S320" s="289" t="s">
        <v>279</v>
      </c>
      <c r="T320" s="289" t="s">
        <v>558</v>
      </c>
      <c r="U320" s="289" t="s">
        <v>279</v>
      </c>
      <c r="V320" s="289" t="s">
        <v>558</v>
      </c>
      <c r="W320" s="289" t="s">
        <v>279</v>
      </c>
      <c r="X320" s="289" t="s">
        <v>558</v>
      </c>
      <c r="Y320" s="644" t="s">
        <v>279</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563</v>
      </c>
      <c r="P327" s="623" t="s">
        <v>566</v>
      </c>
      <c r="Q327" s="682">
        <f>U327-2</f>
        <v>-2</v>
      </c>
      <c r="R327" s="623" t="s">
        <v>565</v>
      </c>
      <c r="S327" s="682">
        <f>U327-1</f>
        <v>-1</v>
      </c>
      <c r="T327" s="623" t="s">
        <v>567</v>
      </c>
      <c r="U327" s="624"/>
      <c r="V327" s="623" t="s">
        <v>568</v>
      </c>
      <c r="W327" s="682">
        <f>U327+1</f>
        <v>1</v>
      </c>
      <c r="X327" s="623" t="s">
        <v>569</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564</v>
      </c>
      <c r="P334" s="623" t="s">
        <v>566</v>
      </c>
      <c r="Q334" s="682">
        <f>U334-2</f>
        <v>-2</v>
      </c>
      <c r="R334" s="623" t="s">
        <v>565</v>
      </c>
      <c r="S334" s="682">
        <f>U334-1</f>
        <v>-1</v>
      </c>
      <c r="T334" s="623" t="s">
        <v>567</v>
      </c>
      <c r="U334" s="624"/>
      <c r="V334" s="623" t="s">
        <v>568</v>
      </c>
      <c r="W334" s="682">
        <f>U334+1</f>
        <v>1</v>
      </c>
      <c r="X334" s="623" t="s">
        <v>569</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335</v>
      </c>
      <c r="D342" s="67"/>
      <c r="E342" s="67"/>
      <c r="F342" s="67"/>
      <c r="G342" s="67"/>
      <c r="H342" s="67"/>
      <c r="I342" s="67"/>
      <c r="J342" s="67"/>
      <c r="K342" s="67"/>
      <c r="L342" s="67"/>
      <c r="M342" s="68"/>
      <c r="O342" s="29"/>
      <c r="P342" s="658" t="s">
        <v>562</v>
      </c>
      <c r="Q342" s="659"/>
      <c r="R342" s="659"/>
      <c r="S342" s="659" t="s">
        <v>563</v>
      </c>
      <c r="T342" s="659"/>
      <c r="U342" s="659"/>
      <c r="V342" s="659" t="s">
        <v>564</v>
      </c>
      <c r="W342" s="659"/>
      <c r="X342" s="660"/>
      <c r="Y342" s="31"/>
    </row>
    <row r="343" spans="1:25" ht="14.1" customHeight="1" thickBot="1">
      <c r="A343" s="16">
        <v>55</v>
      </c>
      <c r="B343" s="66"/>
      <c r="C343" s="160"/>
      <c r="D343" s="313" t="s">
        <v>91</v>
      </c>
      <c r="E343" s="314" t="str">
        <f>Q392</f>
        <v>/</v>
      </c>
      <c r="F343" s="437" t="s">
        <v>169</v>
      </c>
      <c r="G343" s="442">
        <f>S392</f>
        <v>28</v>
      </c>
      <c r="H343" s="23"/>
      <c r="I343" s="313" t="s">
        <v>91</v>
      </c>
      <c r="J343" s="314" t="str">
        <f>V392</f>
        <v>/</v>
      </c>
      <c r="K343" s="315" t="s">
        <v>169</v>
      </c>
      <c r="L343" s="532">
        <f>X392</f>
        <v>28</v>
      </c>
      <c r="M343" s="457"/>
      <c r="O343" s="29"/>
      <c r="P343" s="330" t="s">
        <v>559</v>
      </c>
      <c r="Q343" s="289" t="s">
        <v>560</v>
      </c>
      <c r="R343" s="289" t="s">
        <v>561</v>
      </c>
      <c r="S343" s="289" t="s">
        <v>559</v>
      </c>
      <c r="T343" s="289" t="s">
        <v>560</v>
      </c>
      <c r="U343" s="289" t="s">
        <v>561</v>
      </c>
      <c r="V343" s="289" t="s">
        <v>559</v>
      </c>
      <c r="W343" s="289" t="s">
        <v>560</v>
      </c>
      <c r="X343" s="331" t="s">
        <v>561</v>
      </c>
      <c r="Y343" s="31"/>
    </row>
    <row r="344" spans="1:25" ht="14.1" customHeight="1">
      <c r="A344" s="16">
        <v>56</v>
      </c>
      <c r="B344" s="66"/>
      <c r="C344" s="160"/>
      <c r="D344" s="447"/>
      <c r="E344" s="67"/>
      <c r="F344" s="160" t="s">
        <v>214</v>
      </c>
      <c r="G344" s="533">
        <f>S393</f>
        <v>50</v>
      </c>
      <c r="H344" s="206"/>
      <c r="I344" s="67"/>
      <c r="J344" s="67"/>
      <c r="K344" s="160" t="s">
        <v>214</v>
      </c>
      <c r="L344" s="533">
        <f>X393</f>
        <v>50</v>
      </c>
      <c r="M344" s="68"/>
      <c r="O344" s="639" t="s">
        <v>554</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22</v>
      </c>
      <c r="E345" s="322" t="s">
        <v>23</v>
      </c>
      <c r="F345" s="322" t="s">
        <v>24</v>
      </c>
      <c r="G345" s="322" t="s">
        <v>330</v>
      </c>
      <c r="H345" s="323" t="s">
        <v>331</v>
      </c>
      <c r="I345" s="321" t="s">
        <v>22</v>
      </c>
      <c r="J345" s="322" t="s">
        <v>23</v>
      </c>
      <c r="K345" s="322" t="s">
        <v>24</v>
      </c>
      <c r="L345" s="322" t="s">
        <v>330</v>
      </c>
      <c r="M345" s="458" t="s">
        <v>331</v>
      </c>
      <c r="O345" s="640" t="s">
        <v>555</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9" t="str">
        <f t="shared" si="79"/>
        <v/>
      </c>
      <c r="O346" s="640" t="s">
        <v>553</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60" t="str">
        <f t="shared" si="79"/>
        <v/>
      </c>
      <c r="O347" s="640" t="s">
        <v>556</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60" t="str">
        <f t="shared" si="79"/>
        <v/>
      </c>
      <c r="O348" s="641" t="s">
        <v>557</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1" t="str">
        <f t="shared" si="79"/>
        <v/>
      </c>
      <c r="O349" s="29"/>
      <c r="P349" s="413" t="s">
        <v>571</v>
      </c>
      <c r="Q349" s="426" t="str">
        <f>IF(OR(R345="",R347=""),"",AVERAGE(R345,R347))</f>
        <v/>
      </c>
      <c r="R349" s="660" t="str">
        <f>IF(Q349="","",IF(AND(Q349&gt;=0,Q349&lt;0.9),"Pass","Fail"))</f>
        <v/>
      </c>
      <c r="S349" s="413" t="s">
        <v>571</v>
      </c>
      <c r="T349" s="426" t="str">
        <f>IF(OR(U345="",U347=""),"",AVERAGE(U345,U347))</f>
        <v/>
      </c>
      <c r="U349" s="660" t="str">
        <f>IF(T349="","",IF(AND(T349&gt;=0,T349&lt;0.9),"Pass","Fail"))</f>
        <v/>
      </c>
      <c r="V349" s="413" t="s">
        <v>571</v>
      </c>
      <c r="W349" s="426" t="str">
        <f>IF(OR(X345="",X347=""),"",AVERAGE(X345,X347))</f>
        <v/>
      </c>
      <c r="X349" s="660" t="str">
        <f>IF(W349="","",IF(AND(W349&gt;=0,W349&lt;0.9),"Pass","Fail"))</f>
        <v/>
      </c>
      <c r="Y349" s="31"/>
    </row>
    <row r="350" spans="1:25" ht="14.1" customHeight="1" thickBot="1">
      <c r="A350" s="16">
        <v>62</v>
      </c>
      <c r="B350" s="66"/>
      <c r="C350" s="160" t="s">
        <v>205</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2" t="str">
        <f t="shared" si="79"/>
        <v/>
      </c>
      <c r="O350" s="29"/>
      <c r="P350" s="415" t="s">
        <v>572</v>
      </c>
      <c r="Q350" s="430" t="str">
        <f>IF(OR(R344="",R348=""),"",AVERAGE(R344,R348))</f>
        <v/>
      </c>
      <c r="R350" s="380" t="str">
        <f>IF(Q350="","",IF(AND(Q350&gt;=0,Q350&lt;0.6),"Pass","Fail"))</f>
        <v/>
      </c>
      <c r="S350" s="415" t="s">
        <v>572</v>
      </c>
      <c r="T350" s="430" t="str">
        <f>IF(OR(U344="",U348=""),"",AVERAGE(U344,U348))</f>
        <v/>
      </c>
      <c r="U350" s="380" t="str">
        <f>IF(T350="","",IF(AND(T350&gt;=0,T350&lt;0.6),"Pass","Fail"))</f>
        <v/>
      </c>
      <c r="V350" s="415" t="s">
        <v>572</v>
      </c>
      <c r="W350" s="430" t="str">
        <f>IF(OR(X344="",X348=""),"",AVERAGE(X344,X348))</f>
        <v/>
      </c>
      <c r="X350" s="380" t="str">
        <f>IF(W350="","",IF(AND(W350&gt;=0,W350&lt;0.6),"Pass","Fail"))</f>
        <v/>
      </c>
      <c r="Y350" s="31"/>
    </row>
    <row r="351" spans="1:25" ht="14.1" customHeight="1">
      <c r="A351" s="16">
        <v>63</v>
      </c>
      <c r="B351" s="66"/>
      <c r="C351" s="160" t="s">
        <v>336</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60" t="str">
        <f t="shared" si="79"/>
        <v/>
      </c>
      <c r="O351" s="29" t="s">
        <v>316</v>
      </c>
      <c r="P351" s="413" t="s">
        <v>571</v>
      </c>
      <c r="Q351" s="787" t="str">
        <f>IF(AB133="","",AB133)</f>
        <v/>
      </c>
      <c r="R351" s="67"/>
      <c r="S351" s="413" t="s">
        <v>571</v>
      </c>
      <c r="T351" s="787" t="str">
        <f>IF(AB135="","",AB135)</f>
        <v/>
      </c>
      <c r="U351" s="67"/>
      <c r="V351" s="413" t="s">
        <v>571</v>
      </c>
      <c r="W351" s="787" t="str">
        <f>IF(AB137="","",AB137)</f>
        <v/>
      </c>
      <c r="X351" s="67"/>
      <c r="Y351" s="31"/>
    </row>
    <row r="352" spans="1:25" ht="14.1" customHeight="1" thickBot="1">
      <c r="A352" s="16">
        <v>64</v>
      </c>
      <c r="B352" s="66"/>
      <c r="C352" s="436" t="s">
        <v>269</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572</v>
      </c>
      <c r="Q352" s="788" t="str">
        <f>IF(AB134="","",AB134)</f>
        <v/>
      </c>
      <c r="R352" s="67"/>
      <c r="S352" s="415" t="s">
        <v>572</v>
      </c>
      <c r="T352" s="788" t="str">
        <f>IF(AB136="","",AB136)</f>
        <v/>
      </c>
      <c r="U352" s="67"/>
      <c r="V352" s="415" t="s">
        <v>572</v>
      </c>
      <c r="W352" s="788" t="str">
        <f>IF(AB138="","",AB138)</f>
        <v/>
      </c>
      <c r="X352" s="67"/>
      <c r="Y352" s="31"/>
    </row>
    <row r="353" spans="1:25" ht="14.1" customHeight="1" thickBot="1">
      <c r="A353" s="16">
        <v>65</v>
      </c>
      <c r="B353" s="66"/>
      <c r="C353" s="160"/>
      <c r="D353" s="326"/>
      <c r="E353" s="326"/>
      <c r="F353" s="326"/>
      <c r="G353" s="454" t="s">
        <v>769</v>
      </c>
      <c r="H353" s="369" t="str">
        <f>IF(H350="","",IF(H350&gt;2.7,"Pass","Fail"))</f>
        <v/>
      </c>
      <c r="I353" s="67"/>
      <c r="J353" s="67"/>
      <c r="K353" s="67"/>
      <c r="L353" s="160" t="s">
        <v>769</v>
      </c>
      <c r="M353" s="464" t="str">
        <f>IF(M350="","",IF(M350&gt;2.7,"Pass","Fail"))</f>
        <v/>
      </c>
      <c r="O353" s="29"/>
      <c r="P353" s="3" t="s">
        <v>199</v>
      </c>
      <c r="Q353" s="190" t="s">
        <v>577</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199</v>
      </c>
      <c r="E355" s="190" t="s">
        <v>339</v>
      </c>
      <c r="F355" s="67"/>
      <c r="G355" s="67"/>
      <c r="H355" s="67"/>
      <c r="I355" s="67"/>
      <c r="J355" s="67"/>
      <c r="K355" s="67"/>
      <c r="L355" s="67"/>
      <c r="M355" s="68"/>
      <c r="O355" s="135" t="s">
        <v>574</v>
      </c>
      <c r="P355" s="22"/>
      <c r="Q355" s="22"/>
      <c r="R355" s="22"/>
      <c r="S355" s="22"/>
      <c r="T355" s="22"/>
      <c r="U355" s="22"/>
      <c r="V355" s="22"/>
      <c r="W355" s="22"/>
      <c r="X355" s="22"/>
      <c r="Y355" s="23"/>
    </row>
    <row r="356" spans="1:25" ht="14.1" customHeight="1">
      <c r="A356" s="16">
        <v>68</v>
      </c>
      <c r="B356" s="66"/>
      <c r="C356" s="67"/>
      <c r="D356" s="67"/>
      <c r="E356" s="190" t="s">
        <v>768</v>
      </c>
      <c r="F356" s="67"/>
      <c r="G356" s="67"/>
      <c r="H356" s="67"/>
      <c r="I356" s="67"/>
      <c r="J356" s="67"/>
      <c r="K356" s="67"/>
      <c r="L356" s="67"/>
      <c r="M356" s="68"/>
      <c r="O356" s="29"/>
      <c r="P356" s="658" t="s">
        <v>575</v>
      </c>
      <c r="Q356" s="660" t="s">
        <v>576</v>
      </c>
      <c r="R356"/>
      <c r="S356" s="67" t="s">
        <v>316</v>
      </c>
      <c r="T356" s="658" t="s">
        <v>575</v>
      </c>
      <c r="U356" s="660" t="s">
        <v>576</v>
      </c>
      <c r="W356"/>
      <c r="X356"/>
      <c r="Y356" s="643"/>
    </row>
    <row r="357" spans="1:25" ht="14.1" customHeight="1">
      <c r="A357" s="16">
        <v>69</v>
      </c>
      <c r="B357" s="66"/>
      <c r="C357" s="67"/>
      <c r="D357" s="67"/>
      <c r="E357" s="190"/>
      <c r="F357" s="67"/>
      <c r="G357" s="67"/>
      <c r="H357" s="67"/>
      <c r="I357" s="67"/>
      <c r="J357" s="67"/>
      <c r="K357" s="67"/>
      <c r="L357" s="67"/>
      <c r="M357" s="68"/>
      <c r="O357" s="159" t="s">
        <v>183</v>
      </c>
      <c r="P357" s="648"/>
      <c r="Q357" s="649"/>
      <c r="R357"/>
      <c r="S357" s="160" t="s">
        <v>183</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185</v>
      </c>
      <c r="P358" s="648"/>
      <c r="Q358" s="649"/>
      <c r="R358"/>
      <c r="S358" s="160" t="s">
        <v>185</v>
      </c>
      <c r="T358" s="704" t="str">
        <f>IF(AB141="","",AB141)</f>
        <v/>
      </c>
      <c r="U358" s="705" t="str">
        <f>IF(AB145="","",AB145)</f>
        <v/>
      </c>
      <c r="W358"/>
      <c r="X358"/>
      <c r="Y358" s="643"/>
    </row>
    <row r="359" spans="1:25" ht="14.1" customHeight="1" thickTop="1" thickBot="1">
      <c r="A359" s="16">
        <v>71</v>
      </c>
      <c r="C359" s="108" t="s">
        <v>8</v>
      </c>
      <c r="D359" s="367" t="str">
        <f>IF($P$7="","",$P$7)</f>
        <v/>
      </c>
      <c r="E359" s="26"/>
      <c r="F359" s="26"/>
      <c r="G359" s="26"/>
      <c r="H359" s="26"/>
      <c r="I359" s="26"/>
      <c r="J359" s="26"/>
      <c r="K359" s="26"/>
      <c r="L359" s="108" t="s">
        <v>9</v>
      </c>
      <c r="M359" s="368" t="str">
        <f>IF($X$7="","",$X$7)</f>
        <v>Eugene Mah</v>
      </c>
      <c r="O359" s="159" t="s">
        <v>187</v>
      </c>
      <c r="P359" s="648"/>
      <c r="Q359" s="649"/>
      <c r="R359"/>
      <c r="S359" s="160" t="s">
        <v>187</v>
      </c>
      <c r="T359" s="706" t="str">
        <f>IF(AB142="","",AB142)</f>
        <v/>
      </c>
      <c r="U359" s="707" t="str">
        <f>IF(AB146="","",AB146)</f>
        <v/>
      </c>
      <c r="W359"/>
      <c r="X359"/>
      <c r="Y359" s="643"/>
    </row>
    <row r="360" spans="1:25" ht="14.1" customHeight="1" thickBot="1">
      <c r="A360" s="16">
        <v>72</v>
      </c>
      <c r="C360" s="108" t="s">
        <v>117</v>
      </c>
      <c r="D360" s="790" t="str">
        <f>IF($R$14="","",$R$14)</f>
        <v/>
      </c>
      <c r="E360" s="26"/>
      <c r="F360" s="26"/>
      <c r="G360" s="26"/>
      <c r="H360" s="26"/>
      <c r="I360" s="26"/>
      <c r="J360" s="26"/>
      <c r="K360" s="26"/>
      <c r="L360" s="108" t="s">
        <v>34</v>
      </c>
      <c r="M360" s="790" t="str">
        <f>IF($R$13="","",$R$13)</f>
        <v/>
      </c>
      <c r="O360" s="159" t="s">
        <v>213</v>
      </c>
      <c r="P360" s="379" t="str">
        <f>IF(OR(P357="",P358="",P359=""),"",IF(AND(P357&gt;=4,P358&gt;=3,P359&gt;=3),"Pass","Fail"))</f>
        <v/>
      </c>
      <c r="Q360" s="380" t="str">
        <f t="shared" ref="Q360" si="80">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199</v>
      </c>
      <c r="Q361" s="190" t="s">
        <v>578</v>
      </c>
      <c r="R361" s="67"/>
      <c r="S361" s="67"/>
      <c r="T361" s="67"/>
      <c r="U361" s="67"/>
      <c r="V361" s="67"/>
      <c r="W361" s="67"/>
      <c r="X361" s="67"/>
      <c r="Y361" s="31"/>
    </row>
    <row r="362" spans="1:25" ht="14.1" customHeight="1" thickBot="1">
      <c r="A362" s="16">
        <v>2</v>
      </c>
      <c r="B362" s="80"/>
      <c r="C362" s="80"/>
      <c r="D362" s="80"/>
      <c r="E362" s="80"/>
      <c r="F362" s="80"/>
      <c r="G362" s="80"/>
      <c r="H362" s="522" t="s">
        <v>69</v>
      </c>
      <c r="I362" s="80"/>
      <c r="J362" s="80"/>
      <c r="K362" s="80"/>
      <c r="L362" s="80"/>
      <c r="M362" s="523" t="str">
        <f>$H$5</f>
        <v>Mammography System Compliance Inspection</v>
      </c>
      <c r="O362" s="95"/>
      <c r="P362" s="67" t="s">
        <v>704</v>
      </c>
      <c r="Q362" s="67"/>
      <c r="R362" s="67"/>
      <c r="S362" s="67"/>
      <c r="T362" s="67"/>
      <c r="U362" s="67"/>
      <c r="V362" s="67"/>
      <c r="W362" s="67"/>
      <c r="X362" s="67"/>
      <c r="Y362" s="31"/>
    </row>
    <row r="363" spans="1:25" ht="14.1" customHeight="1" thickTop="1">
      <c r="A363" s="16">
        <v>3</v>
      </c>
      <c r="B363" s="66"/>
      <c r="C363" s="144" t="s">
        <v>340</v>
      </c>
      <c r="D363" s="67"/>
      <c r="E363" s="67"/>
      <c r="F363" s="67"/>
      <c r="G363" s="67"/>
      <c r="H363" s="67"/>
      <c r="I363" s="67"/>
      <c r="J363" s="67"/>
      <c r="K363" s="67"/>
      <c r="L363" s="67"/>
      <c r="M363" s="68"/>
      <c r="O363" s="95"/>
      <c r="P363" s="67" t="s">
        <v>705</v>
      </c>
      <c r="Q363" s="67"/>
      <c r="R363" s="67"/>
      <c r="S363" s="67"/>
      <c r="T363" s="67"/>
      <c r="U363" s="67"/>
      <c r="V363" s="67"/>
      <c r="W363" s="67"/>
      <c r="X363" s="67"/>
      <c r="Y363" s="31"/>
    </row>
    <row r="364" spans="1:25" ht="14.1" customHeight="1">
      <c r="A364" s="16">
        <v>4</v>
      </c>
      <c r="B364" s="66"/>
      <c r="C364" s="160" t="s">
        <v>48</v>
      </c>
      <c r="D364" s="138" t="str">
        <f>IF(Q407="","",Q407)</f>
        <v>/</v>
      </c>
      <c r="E364" s="160" t="s">
        <v>50</v>
      </c>
      <c r="F364" s="138">
        <f>IF(S407="","",S407)</f>
        <v>28</v>
      </c>
      <c r="G364" s="67"/>
      <c r="H364" s="67"/>
      <c r="I364" s="67"/>
      <c r="J364" s="67"/>
      <c r="K364" s="67"/>
      <c r="L364" s="67"/>
      <c r="M364" s="68"/>
      <c r="O364" s="95"/>
      <c r="P364" s="67" t="s">
        <v>703</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344</v>
      </c>
      <c r="D366" s="265" t="s">
        <v>22</v>
      </c>
      <c r="E366" s="265" t="s">
        <v>337</v>
      </c>
      <c r="F366" s="265" t="s">
        <v>330</v>
      </c>
      <c r="G366" s="265" t="s">
        <v>331</v>
      </c>
      <c r="H366" s="67"/>
      <c r="I366" s="369" t="str">
        <f>IF(F371="","",IF(F371&lt;=0.1,"Pass","Fail"))</f>
        <v/>
      </c>
      <c r="J366" s="67" t="s">
        <v>512</v>
      </c>
      <c r="K366" s="67"/>
      <c r="L366" s="67"/>
      <c r="M366" s="68"/>
      <c r="O366" s="135" t="s">
        <v>323</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513</v>
      </c>
      <c r="K367" s="67"/>
      <c r="L367" s="67"/>
      <c r="M367" s="68"/>
      <c r="O367" s="29" t="s">
        <v>325</v>
      </c>
      <c r="P367" s="136" t="s">
        <v>760</v>
      </c>
      <c r="R367" s="34" t="s">
        <v>326</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5" t="s">
        <v>775</v>
      </c>
      <c r="K368" s="67"/>
      <c r="L368" s="67"/>
      <c r="M368" s="68"/>
      <c r="O368" s="29" t="s">
        <v>327</v>
      </c>
      <c r="P368" s="136"/>
      <c r="R368" s="34" t="s">
        <v>328</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39" t="s">
        <v>329</v>
      </c>
      <c r="T369" s="939"/>
      <c r="U369" s="939"/>
      <c r="V369" s="939"/>
      <c r="W369" s="939"/>
      <c r="Y369" s="31"/>
    </row>
    <row r="370" spans="1:25" ht="14.1" customHeight="1" thickBot="1">
      <c r="A370" s="16">
        <v>10</v>
      </c>
      <c r="B370" s="66"/>
      <c r="C370" s="10">
        <f t="shared" si="81"/>
        <v>320</v>
      </c>
      <c r="D370" s="11" t="str">
        <f t="shared" si="81"/>
        <v/>
      </c>
      <c r="E370" s="11" t="str">
        <f t="shared" si="82"/>
        <v/>
      </c>
      <c r="F370" s="12" t="str">
        <f t="shared" si="82"/>
        <v/>
      </c>
      <c r="G370" s="11" t="str">
        <f t="shared" si="82"/>
        <v/>
      </c>
      <c r="H370" s="67"/>
      <c r="I370" s="67"/>
      <c r="J370" s="67"/>
      <c r="K370" s="67"/>
      <c r="L370" s="67"/>
      <c r="M370" s="68"/>
      <c r="O370" s="29"/>
      <c r="P370" s="20" t="s">
        <v>67</v>
      </c>
      <c r="Q370" s="684" t="s">
        <v>264</v>
      </c>
      <c r="R370" s="684" t="s">
        <v>68</v>
      </c>
      <c r="S370" s="684" t="s">
        <v>22</v>
      </c>
      <c r="T370" s="684" t="s">
        <v>23</v>
      </c>
      <c r="U370" s="684" t="s">
        <v>24</v>
      </c>
      <c r="V370" s="684" t="s">
        <v>330</v>
      </c>
      <c r="W370" s="684" t="s">
        <v>331</v>
      </c>
      <c r="X370" s="684" t="s">
        <v>488</v>
      </c>
      <c r="Y370" s="31"/>
    </row>
    <row r="371" spans="1:25" ht="14.1" customHeight="1" thickBot="1">
      <c r="A371" s="16">
        <v>11</v>
      </c>
      <c r="B371" s="66"/>
      <c r="C371" s="67"/>
      <c r="D371" s="67"/>
      <c r="E371" s="160" t="s">
        <v>341</v>
      </c>
      <c r="F371" s="269" t="str">
        <f>IF(T413="","",T413)</f>
        <v/>
      </c>
      <c r="G371" s="67"/>
      <c r="H371" s="67"/>
      <c r="I371" s="67"/>
      <c r="J371" s="67"/>
      <c r="K371" s="67"/>
      <c r="L371" s="67"/>
      <c r="M371" s="68"/>
      <c r="O371" s="29"/>
      <c r="P371" s="968"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199</v>
      </c>
      <c r="E372" s="190" t="s">
        <v>342</v>
      </c>
      <c r="F372" s="67"/>
      <c r="G372" s="67"/>
      <c r="H372" s="67"/>
      <c r="I372" s="67"/>
      <c r="J372" s="67"/>
      <c r="K372" s="67"/>
      <c r="L372" s="67"/>
      <c r="M372" s="68"/>
      <c r="O372" s="29"/>
      <c r="P372" s="969"/>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345</v>
      </c>
      <c r="D373" s="67"/>
      <c r="E373" s="67"/>
      <c r="F373" s="67"/>
      <c r="G373" s="67"/>
      <c r="H373" s="67"/>
      <c r="I373" s="67"/>
      <c r="J373" s="67"/>
      <c r="K373" s="67"/>
      <c r="L373" s="67"/>
      <c r="M373" s="68"/>
      <c r="O373" s="29"/>
      <c r="P373" s="969"/>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1" t="s">
        <v>67</v>
      </c>
      <c r="D374" s="652" t="str">
        <f t="shared" ref="D374:F375" si="86">IF(Q418="","",Q418)</f>
        <v>/</v>
      </c>
      <c r="E374" s="652" t="str">
        <f t="shared" si="86"/>
        <v>/</v>
      </c>
      <c r="F374" s="653" t="str">
        <f t="shared" si="86"/>
        <v>/</v>
      </c>
      <c r="G374"/>
      <c r="H374"/>
      <c r="I374"/>
      <c r="J374"/>
      <c r="K374"/>
      <c r="L374"/>
      <c r="M374" s="68"/>
      <c r="O374" s="29"/>
      <c r="P374" s="969"/>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22</v>
      </c>
      <c r="D375" s="328">
        <f t="shared" si="86"/>
        <v>28</v>
      </c>
      <c r="E375" s="328">
        <f t="shared" si="86"/>
        <v>28</v>
      </c>
      <c r="F375" s="349">
        <f t="shared" si="86"/>
        <v>28</v>
      </c>
      <c r="G375"/>
      <c r="H375"/>
      <c r="I375"/>
      <c r="J375"/>
      <c r="K375"/>
      <c r="L375"/>
      <c r="M375" s="68"/>
      <c r="O375" s="29"/>
      <c r="P375" s="969"/>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422</v>
      </c>
      <c r="D376" s="296" t="str">
        <f t="shared" ref="D376:F377" si="87">IF(Q423="","",Q423)</f>
        <v/>
      </c>
      <c r="E376" s="296" t="str">
        <f t="shared" si="87"/>
        <v/>
      </c>
      <c r="F376" s="439" t="str">
        <f t="shared" si="87"/>
        <v/>
      </c>
      <c r="G376"/>
      <c r="H376"/>
      <c r="I376"/>
      <c r="J376"/>
      <c r="K376"/>
      <c r="L376"/>
      <c r="M376" s="68"/>
      <c r="O376" s="29"/>
      <c r="P376" s="969"/>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514</v>
      </c>
      <c r="D377" s="14" t="str">
        <f t="shared" si="87"/>
        <v/>
      </c>
      <c r="E377" s="14" t="str">
        <f t="shared" si="87"/>
        <v/>
      </c>
      <c r="F377" s="412" t="str">
        <f t="shared" si="87"/>
        <v/>
      </c>
      <c r="G377"/>
      <c r="H377"/>
      <c r="I377"/>
      <c r="J377"/>
      <c r="K377"/>
      <c r="L377"/>
      <c r="M377" s="68"/>
      <c r="O377" s="29"/>
      <c r="P377" s="970"/>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7" t="s">
        <v>213</v>
      </c>
      <c r="D378" s="429" t="str">
        <f>Q425</f>
        <v/>
      </c>
      <c r="E378" s="429" t="str">
        <f>R425</f>
        <v/>
      </c>
      <c r="F378" s="380" t="str">
        <f>S425</f>
        <v/>
      </c>
      <c r="G378"/>
      <c r="H378"/>
      <c r="I378"/>
      <c r="J378"/>
      <c r="K378"/>
      <c r="L378"/>
      <c r="M378" s="68"/>
      <c r="O378" s="29"/>
      <c r="P378" s="977"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199</v>
      </c>
      <c r="E379" s="190" t="s">
        <v>602</v>
      </c>
      <c r="F379"/>
      <c r="G379"/>
      <c r="H379"/>
      <c r="I379"/>
      <c r="J379"/>
      <c r="K379"/>
      <c r="L379"/>
      <c r="M379" s="68"/>
      <c r="O379" s="159"/>
      <c r="P379" s="978"/>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770</v>
      </c>
      <c r="M380" s="68"/>
      <c r="O380" s="29"/>
      <c r="P380" s="978"/>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314</v>
      </c>
      <c r="D381" s="67"/>
      <c r="E381" s="67"/>
      <c r="F381" s="67"/>
      <c r="G381" s="67"/>
      <c r="H381" s="67"/>
      <c r="I381" s="67"/>
      <c r="J381" s="67"/>
      <c r="K381" s="67"/>
      <c r="L381" s="67"/>
      <c r="M381" s="68"/>
      <c r="O381" s="29"/>
      <c r="P381" s="978"/>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169</v>
      </c>
      <c r="E382" s="138">
        <f>IF(Q459="","",Q459)</f>
        <v>28</v>
      </c>
      <c r="F382" s="67"/>
      <c r="G382" s="67"/>
      <c r="H382" s="661" t="s">
        <v>315</v>
      </c>
      <c r="I382" s="661" t="s">
        <v>316</v>
      </c>
      <c r="J382" s="661" t="s">
        <v>364</v>
      </c>
      <c r="K382" s="661" t="s">
        <v>285</v>
      </c>
      <c r="L382" s="661" t="s">
        <v>286</v>
      </c>
      <c r="M382" s="68"/>
      <c r="O382" s="29"/>
      <c r="P382" s="978"/>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172</v>
      </c>
      <c r="E383" s="138">
        <f>IF(Q460="","",Q460)</f>
        <v>100</v>
      </c>
      <c r="F383" s="67"/>
      <c r="G383" s="160" t="s">
        <v>194</v>
      </c>
      <c r="H383" s="465" t="str">
        <f>IF(T463="","",T463)</f>
        <v/>
      </c>
      <c r="I383" s="779" t="str">
        <f>IF(U463="","",U463)</f>
        <v/>
      </c>
      <c r="J383" s="779" t="str">
        <f>IF(W463="","",W463)</f>
        <v/>
      </c>
      <c r="K383" s="467" t="str">
        <f>IF(V463="","",V463)</f>
        <v/>
      </c>
      <c r="L383" s="468" t="str">
        <f>IF(X463="","",X463)</f>
        <v/>
      </c>
      <c r="M383" s="68"/>
      <c r="O383" s="29"/>
      <c r="P383" s="979"/>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48</v>
      </c>
      <c r="E384" s="138" t="str">
        <f>IF(Q461="","",Q461)</f>
        <v/>
      </c>
      <c r="F384" s="67"/>
      <c r="G384" s="160" t="s">
        <v>195</v>
      </c>
      <c r="H384" s="466" t="str">
        <f>IF(T464="","",T464)</f>
        <v/>
      </c>
      <c r="I384" s="780" t="str">
        <f>IF(U464="","",U464)</f>
        <v/>
      </c>
      <c r="J384" s="780" t="str">
        <f>IF(W464="","",W464)</f>
        <v/>
      </c>
      <c r="K384" s="469" t="str">
        <f>IF(V464="","",V464)</f>
        <v/>
      </c>
      <c r="L384" s="425" t="str">
        <f>IF(X464="","",X464)</f>
        <v/>
      </c>
      <c r="M384" s="68"/>
      <c r="O384" s="29"/>
      <c r="P384" s="977"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50</v>
      </c>
      <c r="E385" s="138" t="str">
        <f>IF(Q462="","",Q462)</f>
        <v/>
      </c>
      <c r="F385" s="67"/>
      <c r="G385" s="67"/>
      <c r="H385" s="67"/>
      <c r="I385" s="67"/>
      <c r="J385" s="67"/>
      <c r="K385" s="67"/>
      <c r="L385" s="67"/>
      <c r="M385" s="68"/>
      <c r="O385" s="29"/>
      <c r="P385" s="978"/>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199</v>
      </c>
      <c r="E386" s="190" t="s">
        <v>365</v>
      </c>
      <c r="F386" s="67"/>
      <c r="G386" s="67"/>
      <c r="H386" s="67"/>
      <c r="I386" s="67"/>
      <c r="J386" s="67"/>
      <c r="K386" s="67"/>
      <c r="L386" s="67"/>
      <c r="M386" s="68"/>
      <c r="O386" s="29"/>
      <c r="P386" s="978"/>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366</v>
      </c>
      <c r="F387" s="67"/>
      <c r="G387" s="67"/>
      <c r="H387" s="67"/>
      <c r="I387" s="67"/>
      <c r="J387" s="67"/>
      <c r="K387" s="67"/>
      <c r="L387" s="67"/>
      <c r="M387" s="68"/>
      <c r="O387" s="29"/>
      <c r="P387" s="978"/>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79"/>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317</v>
      </c>
      <c r="D389" s="67"/>
      <c r="E389" s="67"/>
      <c r="F389" s="67"/>
      <c r="G389" s="67"/>
      <c r="H389" s="67"/>
      <c r="I389" s="67"/>
      <c r="J389" s="67"/>
      <c r="K389" s="67"/>
      <c r="L389" s="67"/>
      <c r="M389" s="68"/>
      <c r="O389" s="29"/>
      <c r="P389" s="112" t="s">
        <v>199</v>
      </c>
      <c r="Q389" s="26" t="s">
        <v>333</v>
      </c>
      <c r="Y389" s="31"/>
    </row>
    <row r="390" spans="1:25" ht="14.1" customHeight="1" thickBot="1">
      <c r="A390" s="16">
        <v>30</v>
      </c>
      <c r="B390" s="66"/>
      <c r="C390" s="67"/>
      <c r="D390" s="474" t="s">
        <v>318</v>
      </c>
      <c r="E390" s="474"/>
      <c r="F390" s="325"/>
      <c r="G390" s="325"/>
      <c r="H390" s="474" t="s">
        <v>319</v>
      </c>
      <c r="I390" s="474"/>
      <c r="J390" s="67"/>
      <c r="K390" s="325"/>
      <c r="L390" s="304" t="s">
        <v>320</v>
      </c>
      <c r="M390" s="304"/>
      <c r="O390" s="39"/>
      <c r="P390" s="40"/>
      <c r="Q390" s="40"/>
      <c r="R390" s="40"/>
      <c r="S390" s="40"/>
      <c r="T390" s="40"/>
      <c r="U390" s="40"/>
      <c r="V390" s="40"/>
      <c r="W390" s="40"/>
      <c r="X390" s="40"/>
      <c r="Y390" s="41"/>
    </row>
    <row r="391" spans="1:25" ht="14.1" customHeight="1" thickBot="1">
      <c r="A391" s="16">
        <v>31</v>
      </c>
      <c r="B391" s="66"/>
      <c r="C391" s="325"/>
      <c r="D391" s="160" t="s">
        <v>169</v>
      </c>
      <c r="E391" s="470" t="str">
        <f t="shared" ref="E391:E396" si="96">IF(Q432="","",Q432)</f>
        <v/>
      </c>
      <c r="F391" s="325"/>
      <c r="G391" s="34" t="s">
        <v>778</v>
      </c>
      <c r="H391" s="658" t="str">
        <f t="shared" ref="H391:J398" si="97">IF(Q447="","",Q447)</f>
        <v>2D</v>
      </c>
      <c r="I391" s="659" t="str">
        <f t="shared" si="97"/>
        <v/>
      </c>
      <c r="J391" s="660" t="str">
        <f t="shared" si="97"/>
        <v>3D</v>
      </c>
      <c r="K391" s="325"/>
      <c r="L391" s="106" t="s">
        <v>249</v>
      </c>
      <c r="M391" s="256" t="s">
        <v>250</v>
      </c>
      <c r="O391" s="135" t="s">
        <v>334</v>
      </c>
      <c r="P391" s="22"/>
      <c r="Q391" s="22"/>
      <c r="R391" s="22"/>
      <c r="S391" s="22"/>
      <c r="T391" s="22"/>
      <c r="U391" s="22"/>
      <c r="V391" s="22"/>
      <c r="W391" s="22"/>
      <c r="X391" s="22"/>
      <c r="Y391" s="23"/>
    </row>
    <row r="392" spans="1:25" ht="14.1" customHeight="1" thickBot="1">
      <c r="A392" s="16">
        <v>32</v>
      </c>
      <c r="B392" s="66"/>
      <c r="C392" s="325"/>
      <c r="D392" s="160" t="s">
        <v>172</v>
      </c>
      <c r="E392" s="471" t="str">
        <f t="shared" si="96"/>
        <v/>
      </c>
      <c r="F392" s="325"/>
      <c r="G392" s="160" t="s">
        <v>67</v>
      </c>
      <c r="H392" s="330" t="str">
        <f t="shared" si="97"/>
        <v/>
      </c>
      <c r="I392" s="289" t="str">
        <f t="shared" si="97"/>
        <v/>
      </c>
      <c r="J392" s="331" t="str">
        <f t="shared" si="97"/>
        <v/>
      </c>
      <c r="K392" s="325"/>
      <c r="L392" s="160" t="s">
        <v>322</v>
      </c>
      <c r="M392" s="258" t="str">
        <f>IF(R440="","",R440)</f>
        <v/>
      </c>
      <c r="O392" s="29"/>
      <c r="P392" s="313" t="s">
        <v>91</v>
      </c>
      <c r="Q392" s="314" t="str">
        <f>AK10&amp;"/"&amp;AL10</f>
        <v>/</v>
      </c>
      <c r="R392" s="437" t="s">
        <v>169</v>
      </c>
      <c r="S392" s="442">
        <f>AH16</f>
        <v>28</v>
      </c>
      <c r="T392" s="23"/>
      <c r="U392" s="313" t="s">
        <v>91</v>
      </c>
      <c r="V392" s="314" t="str">
        <f>AK37&amp;"/"&amp;AL37</f>
        <v>/</v>
      </c>
      <c r="W392" s="315" t="s">
        <v>169</v>
      </c>
      <c r="X392" s="687">
        <f>AH37</f>
        <v>28</v>
      </c>
      <c r="Y392" s="23"/>
    </row>
    <row r="393" spans="1:25" ht="14.1" customHeight="1">
      <c r="A393" s="16">
        <v>33</v>
      </c>
      <c r="B393" s="66"/>
      <c r="C393" s="325"/>
      <c r="D393" s="160" t="s">
        <v>324</v>
      </c>
      <c r="E393" s="471" t="str">
        <f t="shared" si="96"/>
        <v/>
      </c>
      <c r="F393" s="325"/>
      <c r="G393" s="160" t="s">
        <v>169</v>
      </c>
      <c r="H393" s="330" t="str">
        <f t="shared" si="97"/>
        <v/>
      </c>
      <c r="I393" s="289" t="str">
        <f t="shared" si="97"/>
        <v/>
      </c>
      <c r="J393" s="331" t="str">
        <f t="shared" si="97"/>
        <v/>
      </c>
      <c r="K393" s="160" t="s">
        <v>183</v>
      </c>
      <c r="L393" s="201" t="str">
        <f t="shared" ref="L393:M395" si="98">IF(Q442="","",Q442)</f>
        <v/>
      </c>
      <c r="M393" s="259" t="str">
        <f t="shared" si="98"/>
        <v/>
      </c>
      <c r="O393" s="311"/>
      <c r="P393" s="447"/>
      <c r="R393" s="160" t="s">
        <v>214</v>
      </c>
      <c r="S393" s="685">
        <f>AI16</f>
        <v>50</v>
      </c>
      <c r="T393" s="206"/>
      <c r="W393" s="160" t="s">
        <v>214</v>
      </c>
      <c r="X393" s="685">
        <f>AI37</f>
        <v>50</v>
      </c>
      <c r="Y393" s="31"/>
    </row>
    <row r="394" spans="1:25" ht="14.1" customHeight="1" thickBot="1">
      <c r="A394" s="16">
        <v>34</v>
      </c>
      <c r="B394" s="66"/>
      <c r="C394" s="325"/>
      <c r="D394" s="160" t="s">
        <v>178</v>
      </c>
      <c r="E394" s="471" t="str">
        <f t="shared" si="96"/>
        <v/>
      </c>
      <c r="F394" s="325"/>
      <c r="G394" s="160" t="s">
        <v>172</v>
      </c>
      <c r="H394" s="330" t="str">
        <f t="shared" si="97"/>
        <v/>
      </c>
      <c r="I394" s="289" t="str">
        <f t="shared" si="97"/>
        <v/>
      </c>
      <c r="J394" s="331" t="str">
        <f t="shared" si="97"/>
        <v/>
      </c>
      <c r="K394" s="160" t="s">
        <v>185</v>
      </c>
      <c r="L394" s="203" t="str">
        <f t="shared" si="98"/>
        <v/>
      </c>
      <c r="M394" s="261" t="str">
        <f t="shared" si="98"/>
        <v/>
      </c>
      <c r="O394" s="312"/>
      <c r="P394" s="316" t="s">
        <v>22</v>
      </c>
      <c r="Q394" s="661" t="s">
        <v>23</v>
      </c>
      <c r="R394" s="661" t="s">
        <v>24</v>
      </c>
      <c r="S394" s="661" t="s">
        <v>330</v>
      </c>
      <c r="T394" s="206" t="s">
        <v>331</v>
      </c>
      <c r="U394" s="321" t="s">
        <v>22</v>
      </c>
      <c r="V394" s="322" t="s">
        <v>23</v>
      </c>
      <c r="W394" s="322" t="s">
        <v>24</v>
      </c>
      <c r="X394" s="322" t="s">
        <v>330</v>
      </c>
      <c r="Y394" s="323" t="s">
        <v>331</v>
      </c>
    </row>
    <row r="395" spans="1:25" ht="14.1" customHeight="1" thickBot="1">
      <c r="A395" s="16">
        <v>35</v>
      </c>
      <c r="B395" s="66"/>
      <c r="C395" s="325"/>
      <c r="D395" s="160" t="s">
        <v>180</v>
      </c>
      <c r="E395" s="471" t="str">
        <f t="shared" si="96"/>
        <v/>
      </c>
      <c r="F395" s="325"/>
      <c r="G395" s="160" t="s">
        <v>183</v>
      </c>
      <c r="H395" s="330" t="str">
        <f t="shared" si="97"/>
        <v/>
      </c>
      <c r="I395" s="289" t="str">
        <f t="shared" si="97"/>
        <v/>
      </c>
      <c r="J395" s="331" t="str">
        <f t="shared" si="97"/>
        <v/>
      </c>
      <c r="K395" s="160" t="s">
        <v>187</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181</v>
      </c>
      <c r="E396" s="471" t="str">
        <f t="shared" si="96"/>
        <v/>
      </c>
      <c r="F396" s="325"/>
      <c r="G396" s="160" t="s">
        <v>185</v>
      </c>
      <c r="H396" s="330" t="str">
        <f t="shared" si="97"/>
        <v/>
      </c>
      <c r="I396" s="289" t="str">
        <f t="shared" si="97"/>
        <v/>
      </c>
      <c r="J396" s="331" t="str">
        <f t="shared" si="97"/>
        <v/>
      </c>
      <c r="K396" s="325"/>
      <c r="L396" s="160" t="s">
        <v>322</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183</v>
      </c>
      <c r="E397" s="471" t="str">
        <f>IF(U432="","",U432)</f>
        <v/>
      </c>
      <c r="F397" s="325"/>
      <c r="G397" s="160" t="s">
        <v>187</v>
      </c>
      <c r="H397" s="435" t="str">
        <f t="shared" si="97"/>
        <v/>
      </c>
      <c r="I397" s="419" t="str">
        <f t="shared" si="97"/>
        <v/>
      </c>
      <c r="J397" s="527" t="str">
        <f t="shared" si="97"/>
        <v/>
      </c>
      <c r="K397" s="160" t="s">
        <v>183</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185</v>
      </c>
      <c r="E398" s="471" t="str">
        <f>IF(U433="","",U433)</f>
        <v/>
      </c>
      <c r="F398" s="67"/>
      <c r="G398" s="160"/>
      <c r="H398" s="435" t="str">
        <f t="shared" si="97"/>
        <v/>
      </c>
      <c r="I398" s="419" t="str">
        <f t="shared" si="97"/>
        <v/>
      </c>
      <c r="J398" s="527" t="str">
        <f t="shared" si="97"/>
        <v/>
      </c>
      <c r="K398" s="160" t="s">
        <v>185</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187</v>
      </c>
      <c r="E399" s="472" t="str">
        <f>IF(U434="","",U434)</f>
        <v/>
      </c>
      <c r="F399" s="67"/>
      <c r="G399" s="67"/>
      <c r="H399" s="67"/>
      <c r="I399" s="67"/>
      <c r="J399" s="67"/>
      <c r="K399" s="160" t="s">
        <v>187</v>
      </c>
      <c r="L399" s="204" t="str">
        <f t="shared" si="102"/>
        <v/>
      </c>
      <c r="M399" s="262" t="str">
        <f t="shared" si="102"/>
        <v/>
      </c>
      <c r="O399" s="311" t="s">
        <v>205</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199</v>
      </c>
      <c r="E400" s="861" t="s">
        <v>358</v>
      </c>
      <c r="M400" s="678"/>
      <c r="O400" s="311" t="s">
        <v>336</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269</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338</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545</v>
      </c>
      <c r="M403" s="68"/>
      <c r="O403" s="29"/>
      <c r="P403" s="112" t="s">
        <v>199</v>
      </c>
      <c r="Q403" s="26" t="s">
        <v>339</v>
      </c>
      <c r="Y403" s="31"/>
    </row>
    <row r="404" spans="1:25" ht="14.1" customHeight="1">
      <c r="A404" s="16">
        <v>44</v>
      </c>
      <c r="B404" s="66"/>
      <c r="D404" s="34" t="s">
        <v>551</v>
      </c>
      <c r="E404" s="34" t="s">
        <v>548</v>
      </c>
      <c r="F404" s="327">
        <f>IF(R310="","",R310)</f>
        <v>101.3</v>
      </c>
      <c r="M404" s="68"/>
      <c r="O404" s="29"/>
      <c r="Q404" s="26" t="s">
        <v>768</v>
      </c>
      <c r="Y404" s="31"/>
    </row>
    <row r="405" spans="1:25" ht="14.1" customHeight="1" thickBot="1">
      <c r="A405" s="16">
        <v>45</v>
      </c>
      <c r="B405" s="66"/>
      <c r="E405" s="34" t="s">
        <v>549</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547</v>
      </c>
      <c r="E406" s="630" t="s">
        <v>546</v>
      </c>
      <c r="F406" s="630" t="s">
        <v>286</v>
      </c>
      <c r="M406" s="68"/>
      <c r="O406" s="135" t="s">
        <v>340</v>
      </c>
      <c r="P406" s="22"/>
      <c r="Q406" s="22"/>
      <c r="R406" s="22"/>
      <c r="S406" s="22"/>
      <c r="T406" s="22"/>
      <c r="U406" s="22"/>
      <c r="V406" s="22"/>
      <c r="W406" s="22"/>
      <c r="X406" s="22"/>
      <c r="Y406" s="23"/>
    </row>
    <row r="407" spans="1:25" ht="14.1" customHeight="1">
      <c r="A407" s="16">
        <v>47</v>
      </c>
      <c r="B407" s="66"/>
      <c r="C407" s="34" t="s">
        <v>562</v>
      </c>
      <c r="D407" s="631" t="str">
        <f t="shared" ref="D407:F409" si="106">IF(P313="","",P313)</f>
        <v/>
      </c>
      <c r="E407" s="632" t="str">
        <f t="shared" si="106"/>
        <v/>
      </c>
      <c r="F407" s="633" t="str">
        <f t="shared" si="106"/>
        <v/>
      </c>
      <c r="M407" s="68"/>
      <c r="O407" s="29"/>
      <c r="P407" s="34" t="s">
        <v>91</v>
      </c>
      <c r="Q407" s="685" t="str">
        <f>AK10&amp;"/"&amp;AL10</f>
        <v>/</v>
      </c>
      <c r="R407" s="34" t="s">
        <v>169</v>
      </c>
      <c r="S407" s="685">
        <f>AH15</f>
        <v>28</v>
      </c>
      <c r="T407" s="684"/>
      <c r="Y407" s="31"/>
    </row>
    <row r="408" spans="1:25" ht="14.1" customHeight="1">
      <c r="A408" s="16">
        <v>48</v>
      </c>
      <c r="B408" s="66"/>
      <c r="C408" s="34" t="s">
        <v>563</v>
      </c>
      <c r="D408" s="330" t="str">
        <f t="shared" si="106"/>
        <v/>
      </c>
      <c r="E408" s="289" t="str">
        <f t="shared" si="106"/>
        <v/>
      </c>
      <c r="F408" s="331" t="str">
        <f t="shared" si="106"/>
        <v/>
      </c>
      <c r="M408" s="68"/>
      <c r="O408" s="29"/>
      <c r="P408" s="684" t="s">
        <v>68</v>
      </c>
      <c r="Q408" s="684" t="s">
        <v>22</v>
      </c>
      <c r="R408" s="684" t="s">
        <v>23</v>
      </c>
      <c r="S408" s="684" t="s">
        <v>24</v>
      </c>
      <c r="T408" s="684" t="s">
        <v>330</v>
      </c>
      <c r="U408" s="684" t="s">
        <v>331</v>
      </c>
      <c r="V408" s="4"/>
      <c r="W408" s="4"/>
      <c r="X408" s="4"/>
      <c r="Y408" s="31"/>
    </row>
    <row r="409" spans="1:25" ht="14.1" customHeight="1" thickBot="1">
      <c r="A409" s="16">
        <v>49</v>
      </c>
      <c r="B409" s="66"/>
      <c r="C409" s="34" t="s">
        <v>564</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552</v>
      </c>
      <c r="M412" s="68"/>
      <c r="O412" s="29"/>
      <c r="P412" s="10">
        <f>IF(AI21="","",AI21)</f>
        <v>320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30" t="s">
        <v>597</v>
      </c>
      <c r="E413" s="630" t="s">
        <v>571</v>
      </c>
      <c r="F413" s="630" t="s">
        <v>572</v>
      </c>
      <c r="G413" s="630" t="s">
        <v>286</v>
      </c>
      <c r="M413" s="68"/>
      <c r="O413" s="29"/>
      <c r="S413" s="34" t="s">
        <v>341</v>
      </c>
      <c r="T413" s="179" t="str">
        <f>IF(OR(T409="",T410="",T411="",T412=""),"",(MAX(T409:T412)-MIN(T409:T412))/(MAX(T409:T412)+MIN(T409:T412)))</f>
        <v/>
      </c>
      <c r="V413" s="4"/>
      <c r="W413" s="4"/>
      <c r="X413" s="4"/>
      <c r="Y413" s="31"/>
    </row>
    <row r="414" spans="1:25" ht="14.1" customHeight="1">
      <c r="A414" s="16">
        <v>54</v>
      </c>
      <c r="B414" s="66"/>
      <c r="C414" s="34" t="s">
        <v>562</v>
      </c>
      <c r="D414" s="631" t="str">
        <f>IF(U319="","",U319)</f>
        <v/>
      </c>
      <c r="E414" s="426" t="str">
        <f>IF(Q349="","",Q349)</f>
        <v/>
      </c>
      <c r="F414" s="426" t="str">
        <f>IF(Q350="","",Q350)</f>
        <v/>
      </c>
      <c r="G414" s="633" t="str">
        <f>IF(OR(R349="",R350=""),"",IF(AND(R349="Pass",R350="Pass"),"Pass","Fail"))</f>
        <v/>
      </c>
      <c r="M414" s="68"/>
      <c r="O414" s="29"/>
      <c r="P414" s="112" t="s">
        <v>199</v>
      </c>
      <c r="Q414" s="26" t="s">
        <v>342</v>
      </c>
      <c r="Y414" s="31"/>
    </row>
    <row r="415" spans="1:25" ht="14.1" customHeight="1">
      <c r="A415" s="16">
        <v>55</v>
      </c>
      <c r="B415" s="66"/>
      <c r="C415" s="34" t="s">
        <v>563</v>
      </c>
      <c r="D415" s="330" t="str">
        <f>IF(U327="","",U327)</f>
        <v/>
      </c>
      <c r="E415" s="296" t="str">
        <f>IF(T349="","",T349)</f>
        <v/>
      </c>
      <c r="F415" s="296" t="str">
        <f>IF(T350="","",T350)</f>
        <v/>
      </c>
      <c r="G415" s="331" t="str">
        <f>IF(OR(U349="",U350=""),"",IF(AND(U349="Pass",U350="Pass"),"Pass","Fail"))</f>
        <v/>
      </c>
      <c r="M415" s="68"/>
      <c r="O415" s="268">
        <f>IF(R412="",3,IF(R412/1000&gt;=3,1,2))</f>
        <v>3</v>
      </c>
      <c r="P415" s="20" t="s">
        <v>343</v>
      </c>
      <c r="Y415" s="31"/>
    </row>
    <row r="416" spans="1:25" ht="14.1" customHeight="1" thickBot="1">
      <c r="A416" s="16">
        <v>56</v>
      </c>
      <c r="B416" s="66"/>
      <c r="C416" s="34" t="s">
        <v>564</v>
      </c>
      <c r="D416" s="379" t="str">
        <f>IF(U334="","",U334)</f>
        <v/>
      </c>
      <c r="E416" s="430" t="str">
        <f>IF(W349="","",W349)</f>
        <v/>
      </c>
      <c r="F416" s="430" t="str">
        <f>IF(W350="","",W350)</f>
        <v/>
      </c>
      <c r="G416" s="380" t="str">
        <f>IF(OR(X349="",X350=""),"",IF(AND(X349="Pass",X350="Pass"),"Pass","Fail"))</f>
        <v/>
      </c>
      <c r="M416" s="68"/>
      <c r="O416" s="321">
        <f>IF(U412="",3,IF(U412&gt;=2.7,1,2))</f>
        <v>3</v>
      </c>
      <c r="P416" s="40" t="s">
        <v>774</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345</v>
      </c>
      <c r="P417" s="22"/>
      <c r="Q417" s="615">
        <v>1</v>
      </c>
      <c r="R417" s="22" t="s">
        <v>489</v>
      </c>
      <c r="S417" s="22"/>
      <c r="T417" s="22"/>
      <c r="U417" s="22"/>
      <c r="V417" s="22"/>
      <c r="W417" s="22"/>
      <c r="X417" s="22"/>
      <c r="Y417" s="23"/>
    </row>
    <row r="418" spans="1:25" ht="14.1" customHeight="1">
      <c r="A418" s="16">
        <v>58</v>
      </c>
      <c r="B418" s="66"/>
      <c r="M418" s="68"/>
      <c r="O418" s="29"/>
      <c r="P418" s="611" t="s">
        <v>67</v>
      </c>
      <c r="Q418" s="612" t="str">
        <f>$P$371</f>
        <v>/</v>
      </c>
      <c r="R418" s="612" t="str">
        <f>$P$378</f>
        <v>/</v>
      </c>
      <c r="S418" s="688" t="str">
        <f>$P$384</f>
        <v>/</v>
      </c>
      <c r="T418"/>
      <c r="U418"/>
      <c r="V418"/>
      <c r="W418"/>
      <c r="X418"/>
      <c r="Y418" s="31"/>
    </row>
    <row r="419" spans="1:25" ht="14.1" customHeight="1">
      <c r="A419" s="16">
        <v>59</v>
      </c>
      <c r="B419" s="66"/>
      <c r="C419" s="74" t="s">
        <v>574</v>
      </c>
      <c r="M419" s="68"/>
      <c r="O419" s="29"/>
      <c r="P419" s="613" t="s">
        <v>264</v>
      </c>
      <c r="Q419" s="614">
        <f>AH16</f>
        <v>28</v>
      </c>
      <c r="R419" s="614">
        <f>AH27</f>
        <v>28</v>
      </c>
      <c r="S419" s="689">
        <f>AH37</f>
        <v>28</v>
      </c>
      <c r="T419"/>
      <c r="U419"/>
      <c r="V419"/>
      <c r="W419"/>
      <c r="X419"/>
      <c r="Y419" s="31"/>
    </row>
    <row r="420" spans="1:25" ht="14.1" customHeight="1" thickBot="1">
      <c r="A420" s="16">
        <v>60</v>
      </c>
      <c r="B420" s="66"/>
      <c r="D420" s="630" t="s">
        <v>575</v>
      </c>
      <c r="E420" s="630" t="s">
        <v>576</v>
      </c>
      <c r="G420"/>
      <c r="M420" s="68"/>
      <c r="O420" s="29"/>
      <c r="P420" s="613" t="s">
        <v>346</v>
      </c>
      <c r="Q420" s="980" t="s">
        <v>347</v>
      </c>
      <c r="R420" s="981"/>
      <c r="S420" s="982"/>
      <c r="T420"/>
      <c r="U420"/>
      <c r="V420"/>
      <c r="W420"/>
      <c r="X420"/>
      <c r="Y420" s="31"/>
    </row>
    <row r="421" spans="1:25" ht="14.1" customHeight="1">
      <c r="A421" s="16">
        <v>61</v>
      </c>
      <c r="B421" s="66"/>
      <c r="C421" s="160" t="s">
        <v>183</v>
      </c>
      <c r="D421" s="631" t="str">
        <f t="shared" ref="D421:D424" si="108">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185</v>
      </c>
      <c r="D422" s="330" t="str">
        <f t="shared" si="108"/>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187</v>
      </c>
      <c r="D423" s="330" t="str">
        <f t="shared" si="108"/>
        <v/>
      </c>
      <c r="E423" s="331" t="str">
        <f>IF(Q359="","",Q359)</f>
        <v/>
      </c>
      <c r="G423"/>
      <c r="M423" s="68"/>
      <c r="O423" s="29"/>
      <c r="P423" s="613" t="s">
        <v>348</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213</v>
      </c>
      <c r="D424" s="379" t="str">
        <f t="shared" si="108"/>
        <v/>
      </c>
      <c r="E424" s="380" t="str">
        <f>IF(Q360="","",Q360)</f>
        <v/>
      </c>
      <c r="G424"/>
      <c r="M424" s="68"/>
      <c r="O424" s="29"/>
      <c r="P424" s="613" t="s">
        <v>349</v>
      </c>
      <c r="Q424" s="662" t="str">
        <f>IF(OR(Q421="",Q422=""),"",ABS(Q422-Q421)/Q421)</f>
        <v/>
      </c>
      <c r="R424" s="662" t="str">
        <f t="shared" ref="R424:S424" si="109">IF(OR(R421="",R422=""),"",ABS(R422-R421)/R421)</f>
        <v/>
      </c>
      <c r="S424" s="691"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213</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199</v>
      </c>
      <c r="Q426" s="26" t="s">
        <v>602</v>
      </c>
      <c r="R426" s="551"/>
      <c r="S426" s="551"/>
      <c r="T426" s="551"/>
      <c r="U426" s="551"/>
      <c r="V426" s="551" t="s">
        <v>540</v>
      </c>
      <c r="W426" s="299" t="s">
        <v>540</v>
      </c>
      <c r="X426" s="299" t="s">
        <v>540</v>
      </c>
      <c r="Y426" s="31"/>
    </row>
    <row r="427" spans="1:25" ht="14.1" customHeight="1" thickBot="1">
      <c r="A427" s="16">
        <v>67</v>
      </c>
      <c r="B427" s="66"/>
      <c r="C427" s="327" t="str">
        <f>IF(O362="","",IF(O362=1,"Pass",IF(O362=2,"Fail","NA")))</f>
        <v/>
      </c>
      <c r="D427" s="67" t="s">
        <v>704</v>
      </c>
      <c r="M427" s="68"/>
      <c r="O427" s="39"/>
      <c r="Q427" s="26" t="s">
        <v>770</v>
      </c>
      <c r="R427" s="4"/>
      <c r="S427" s="4"/>
      <c r="T427" s="4"/>
      <c r="U427" s="4"/>
      <c r="V427" s="4"/>
      <c r="W427" s="4"/>
      <c r="X427" s="4"/>
      <c r="Y427" s="41"/>
    </row>
    <row r="428" spans="1:25" ht="14.1" customHeight="1">
      <c r="A428" s="16">
        <v>68</v>
      </c>
      <c r="B428" s="66"/>
      <c r="C428" s="327" t="str">
        <f>IF(O363="","",IF(O363=1,"Pass",IF(O363=2,"Fail","NA")))</f>
        <v/>
      </c>
      <c r="D428" s="20" t="s">
        <v>705</v>
      </c>
      <c r="M428" s="68"/>
      <c r="O428" s="135" t="s">
        <v>317</v>
      </c>
      <c r="P428" s="22"/>
      <c r="Q428" s="22"/>
      <c r="R428" s="22"/>
      <c r="S428" s="22"/>
      <c r="T428" s="22"/>
      <c r="U428" s="22"/>
      <c r="V428" s="22"/>
      <c r="W428" s="22"/>
      <c r="X428" s="22"/>
      <c r="Y428" s="23"/>
    </row>
    <row r="429" spans="1:25" ht="14.1" customHeight="1">
      <c r="A429" s="16">
        <v>69</v>
      </c>
      <c r="B429" s="66"/>
      <c r="C429" s="327" t="str">
        <f>IF(O364="","",IF(O364=1,"Pass",IF(O364=2,"Fail","NA")))</f>
        <v/>
      </c>
      <c r="D429" s="67" t="s">
        <v>703</v>
      </c>
      <c r="J429" s="67"/>
      <c r="K429" s="67"/>
      <c r="L429" s="67"/>
      <c r="M429" s="68"/>
      <c r="O429" s="273" t="s">
        <v>318</v>
      </c>
      <c r="P429" s="34" t="s">
        <v>41</v>
      </c>
      <c r="Q429" s="260"/>
      <c r="R429" s="34" t="s">
        <v>332</v>
      </c>
      <c r="S429" s="260"/>
      <c r="U429" s="34" t="s">
        <v>350</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8</v>
      </c>
      <c r="D431" s="367" t="str">
        <f>IF($P$7="","",$P$7)</f>
        <v/>
      </c>
      <c r="E431" s="26"/>
      <c r="F431" s="26"/>
      <c r="G431" s="26"/>
      <c r="H431" s="26"/>
      <c r="I431" s="26"/>
      <c r="J431" s="26"/>
      <c r="K431" s="26"/>
      <c r="L431" s="108" t="s">
        <v>9</v>
      </c>
      <c r="M431" s="368" t="str">
        <f>IF($X$7="","",$X$7)</f>
        <v>Eugene Mah</v>
      </c>
      <c r="O431" s="29"/>
      <c r="P431" s="34"/>
      <c r="R431" s="20" t="s">
        <v>316</v>
      </c>
      <c r="V431" s="20" t="s">
        <v>316</v>
      </c>
      <c r="Y431" s="31"/>
    </row>
    <row r="432" spans="1:25" ht="14.1" customHeight="1">
      <c r="A432" s="16">
        <v>72</v>
      </c>
      <c r="C432" s="108" t="s">
        <v>117</v>
      </c>
      <c r="D432" s="368" t="str">
        <f>IF($R$14="","",$R$14)</f>
        <v/>
      </c>
      <c r="E432" s="26"/>
      <c r="F432" s="26"/>
      <c r="G432" s="26"/>
      <c r="H432" s="26"/>
      <c r="I432" s="26"/>
      <c r="J432" s="26"/>
      <c r="K432" s="26"/>
      <c r="L432" s="108" t="s">
        <v>34</v>
      </c>
      <c r="M432" s="368" t="str">
        <f>IF($R$13="","",$R$13)</f>
        <v/>
      </c>
      <c r="O432" s="29"/>
      <c r="P432" s="34" t="s">
        <v>169</v>
      </c>
      <c r="Q432" s="143"/>
      <c r="R432" s="121" t="str">
        <f t="shared" ref="R432:R437" si="111">IF(AB93="","",AB93)</f>
        <v/>
      </c>
      <c r="T432" s="34" t="s">
        <v>183</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172</v>
      </c>
      <c r="Q433" s="143"/>
      <c r="R433" s="121" t="str">
        <f t="shared" si="111"/>
        <v/>
      </c>
      <c r="T433" s="34" t="s">
        <v>185</v>
      </c>
      <c r="U433" s="143"/>
      <c r="V433" s="121" t="str">
        <f>IF(AB100="","",AB100)</f>
        <v/>
      </c>
      <c r="Y433" s="31"/>
    </row>
    <row r="434" spans="1:25" ht="14.1" customHeight="1" thickBot="1">
      <c r="A434" s="16">
        <v>2</v>
      </c>
      <c r="C434" s="67"/>
      <c r="D434" s="67"/>
      <c r="E434" s="67"/>
      <c r="F434" s="67"/>
      <c r="G434" s="67"/>
      <c r="H434" s="679" t="s">
        <v>69</v>
      </c>
      <c r="I434" s="67"/>
      <c r="J434" s="67"/>
      <c r="K434" s="67"/>
      <c r="L434" s="67"/>
      <c r="M434" s="3" t="str">
        <f>$H$5</f>
        <v>Mammography System Compliance Inspection</v>
      </c>
      <c r="O434" s="29"/>
      <c r="P434" s="34" t="s">
        <v>324</v>
      </c>
      <c r="Q434" s="143"/>
      <c r="R434" s="121" t="str">
        <f t="shared" si="111"/>
        <v/>
      </c>
      <c r="T434" s="34" t="s">
        <v>187</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178</v>
      </c>
      <c r="Q435" s="143"/>
      <c r="R435" s="121" t="str">
        <f t="shared" si="111"/>
        <v/>
      </c>
      <c r="T435" s="34" t="s">
        <v>213</v>
      </c>
      <c r="U435" s="142" t="str">
        <f>IF(OR(U432="",U433="",U434=""),"",IF(AND(U432&gt;=5,U433&gt;=4,U434&gt;=4),"Pass","Fail"))</f>
        <v/>
      </c>
      <c r="Y435" s="31"/>
    </row>
    <row r="436" spans="1:25" ht="14.1" customHeight="1">
      <c r="A436" s="16">
        <v>4</v>
      </c>
      <c r="B436" s="66"/>
      <c r="C436" s="583" t="s">
        <v>219</v>
      </c>
      <c r="D436" s="524" t="str">
        <f>IF(Q491="","",IF(LEN(Q491)&lt;=135,Q491,IF(LEN(Q491)&lt;=260,LEFT(Q491,SEARCH(" ",Q491,125)),LEFT(Q491,SEARCH(" ",Q491,130)))))</f>
        <v/>
      </c>
      <c r="E436" s="584"/>
      <c r="F436" s="584"/>
      <c r="G436" s="584"/>
      <c r="H436" s="584"/>
      <c r="I436" s="584"/>
      <c r="J436" s="584"/>
      <c r="K436" s="584"/>
      <c r="L436" s="584"/>
      <c r="M436" s="68"/>
      <c r="O436" s="29"/>
      <c r="P436" s="34" t="s">
        <v>180</v>
      </c>
      <c r="Q436" s="143"/>
      <c r="R436" s="121" t="str">
        <f t="shared" si="111"/>
        <v/>
      </c>
      <c r="T436" s="112" t="s">
        <v>199</v>
      </c>
      <c r="U436" s="26" t="s">
        <v>351</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181</v>
      </c>
      <c r="Q437" s="15" t="str">
        <f>IF(OR(Q435="",Q436=""),"",Q436-Q435)</f>
        <v/>
      </c>
      <c r="R437" s="121" t="str">
        <f t="shared" si="111"/>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352</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322</v>
      </c>
      <c r="R440" s="260"/>
      <c r="U440" s="34" t="s">
        <v>322</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249</v>
      </c>
      <c r="R441" s="684" t="s">
        <v>250</v>
      </c>
      <c r="U441" s="684" t="s">
        <v>249</v>
      </c>
      <c r="V441" s="684" t="s">
        <v>250</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183</v>
      </c>
      <c r="Q442" s="143"/>
      <c r="R442" s="143"/>
      <c r="T442" s="34" t="s">
        <v>183</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185</v>
      </c>
      <c r="Q443" s="143"/>
      <c r="R443" s="143"/>
      <c r="T443" s="34" t="s">
        <v>185</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187</v>
      </c>
      <c r="Q444" s="143"/>
      <c r="R444" s="143"/>
      <c r="T444" s="34" t="s">
        <v>187</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353</v>
      </c>
      <c r="Q446" s="4"/>
      <c r="R446" s="34" t="s">
        <v>354</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778</v>
      </c>
      <c r="Q447" s="274" t="s">
        <v>603</v>
      </c>
      <c r="R447" s="275"/>
      <c r="S447" s="276" t="s">
        <v>779</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91</v>
      </c>
      <c r="Q448" s="274"/>
      <c r="R448" s="275"/>
      <c r="S448" s="276"/>
      <c r="T448" s="34" t="s">
        <v>316</v>
      </c>
      <c r="U448" s="34" t="s">
        <v>67</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169</v>
      </c>
      <c r="Q449" s="274"/>
      <c r="R449" s="275"/>
      <c r="S449" s="276"/>
      <c r="T449" s="4"/>
      <c r="U449" s="34" t="s">
        <v>264</v>
      </c>
      <c r="V449" s="277" t="str">
        <f t="shared" si="112"/>
        <v/>
      </c>
      <c r="W449" s="278" t="str">
        <f t="shared" si="113"/>
        <v/>
      </c>
      <c r="X449" s="279" t="str">
        <f t="shared" si="114"/>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214</v>
      </c>
      <c r="Q450" s="280"/>
      <c r="R450" s="281"/>
      <c r="S450" s="282"/>
      <c r="T450" s="4"/>
      <c r="U450" s="34" t="s">
        <v>68</v>
      </c>
      <c r="V450" s="283" t="str">
        <f t="shared" si="112"/>
        <v/>
      </c>
      <c r="W450" s="284" t="str">
        <f t="shared" si="113"/>
        <v/>
      </c>
      <c r="X450" s="285" t="str">
        <f t="shared" si="114"/>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183</v>
      </c>
      <c r="Q451" s="280"/>
      <c r="R451" s="281"/>
      <c r="S451" s="282"/>
      <c r="T451" s="4"/>
      <c r="U451" s="34" t="s">
        <v>355</v>
      </c>
      <c r="V451" s="283" t="str">
        <f t="shared" si="112"/>
        <v/>
      </c>
      <c r="W451" s="284" t="str">
        <f t="shared" si="113"/>
        <v/>
      </c>
      <c r="X451" s="285" t="str">
        <f t="shared" si="114"/>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185</v>
      </c>
      <c r="Q452" s="280"/>
      <c r="R452" s="281"/>
      <c r="S452" s="282"/>
      <c r="T452" s="4"/>
      <c r="U452" s="34" t="s">
        <v>356</v>
      </c>
      <c r="V452" s="283" t="str">
        <f t="shared" si="112"/>
        <v/>
      </c>
      <c r="W452" s="284" t="str">
        <f t="shared" si="113"/>
        <v/>
      </c>
      <c r="X452" s="285" t="str">
        <f t="shared" si="114"/>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187</v>
      </c>
      <c r="Q453" s="280"/>
      <c r="R453" s="281"/>
      <c r="S453" s="282"/>
      <c r="T453" s="4"/>
      <c r="U453" s="34" t="s">
        <v>357</v>
      </c>
      <c r="V453" s="283" t="str">
        <f t="shared" si="112"/>
        <v/>
      </c>
      <c r="W453" s="284" t="str">
        <f t="shared" si="113"/>
        <v/>
      </c>
      <c r="X453" s="285" t="str">
        <f t="shared" si="114"/>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9"/>
      <c r="AB454" s="939"/>
      <c r="AC454" s="939"/>
      <c r="AD454" s="939"/>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199</v>
      </c>
      <c r="Q455" s="26" t="s">
        <v>776</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777</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359</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360</v>
      </c>
      <c r="U458" s="684" t="s">
        <v>361</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169</v>
      </c>
      <c r="Q459" s="136">
        <f>U228</f>
        <v>28</v>
      </c>
      <c r="R459" s="34"/>
      <c r="S459" s="34" t="s">
        <v>362</v>
      </c>
      <c r="T459" s="143" t="str">
        <f>Q237</f>
        <v/>
      </c>
      <c r="U459" s="143"/>
      <c r="Y459" s="31"/>
    </row>
    <row r="460" spans="1:30" ht="14.1" customHeight="1">
      <c r="A460" s="16">
        <v>28</v>
      </c>
      <c r="B460" s="66"/>
      <c r="M460" s="68"/>
      <c r="O460" s="29"/>
      <c r="P460" s="34" t="s">
        <v>172</v>
      </c>
      <c r="Q460" s="136">
        <f>T260</f>
        <v>100</v>
      </c>
      <c r="R460" s="34"/>
      <c r="S460" s="34" t="s">
        <v>363</v>
      </c>
      <c r="T460" s="143" t="str">
        <f>R237</f>
        <v/>
      </c>
      <c r="U460" s="143" t="str">
        <f>S237</f>
        <v/>
      </c>
      <c r="Y460" s="31"/>
    </row>
    <row r="461" spans="1:30" ht="14.1" customHeight="1">
      <c r="A461" s="16">
        <v>29</v>
      </c>
      <c r="B461" s="66"/>
      <c r="M461" s="68"/>
      <c r="O461" s="29"/>
      <c r="P461" s="34" t="s">
        <v>48</v>
      </c>
      <c r="Q461" s="260" t="str">
        <f>V21</f>
        <v/>
      </c>
      <c r="Y461" s="31"/>
    </row>
    <row r="462" spans="1:30" ht="14.1" customHeight="1">
      <c r="A462" s="16">
        <v>30</v>
      </c>
      <c r="B462" s="66"/>
      <c r="M462" s="68"/>
      <c r="O462" s="29"/>
      <c r="P462" s="34" t="s">
        <v>50</v>
      </c>
      <c r="Q462" s="260" t="str">
        <f>V24</f>
        <v/>
      </c>
      <c r="T462" s="684" t="s">
        <v>315</v>
      </c>
      <c r="U462" s="684" t="s">
        <v>316</v>
      </c>
      <c r="V462" s="684" t="s">
        <v>285</v>
      </c>
      <c r="W462" s="684" t="s">
        <v>364</v>
      </c>
      <c r="X462" s="684" t="s">
        <v>286</v>
      </c>
      <c r="Y462" s="31"/>
    </row>
    <row r="463" spans="1:30" ht="14.1" customHeight="1">
      <c r="A463" s="16">
        <v>31</v>
      </c>
      <c r="B463" s="66"/>
      <c r="M463" s="68"/>
      <c r="O463" s="29"/>
      <c r="S463" s="34" t="s">
        <v>194</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195</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199</v>
      </c>
      <c r="Q465" s="190" t="s">
        <v>365</v>
      </c>
      <c r="R465" s="67"/>
      <c r="S465" s="67"/>
      <c r="T465" s="67"/>
      <c r="U465" s="67"/>
      <c r="V465" s="67"/>
      <c r="W465" s="67"/>
      <c r="X465" s="67"/>
      <c r="Y465" s="31"/>
    </row>
    <row r="466" spans="1:28" ht="14.1" customHeight="1">
      <c r="A466" s="16">
        <v>34</v>
      </c>
      <c r="B466" s="66"/>
      <c r="M466" s="68"/>
      <c r="O466" s="29"/>
      <c r="Q466" s="26" t="s">
        <v>366</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521</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522</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523</v>
      </c>
      <c r="T490" s="556"/>
      <c r="U490" s="556"/>
      <c r="V490" s="556"/>
      <c r="W490" s="556"/>
      <c r="X490" s="556"/>
      <c r="Y490" s="559"/>
    </row>
    <row r="491" spans="1:25" ht="14.1" customHeight="1" thickTop="1">
      <c r="A491" s="16">
        <v>59</v>
      </c>
      <c r="O491" s="560"/>
      <c r="P491" s="561" t="s">
        <v>219</v>
      </c>
      <c r="Q491" s="562"/>
      <c r="R491" s="563"/>
      <c r="S491" s="564" t="str">
        <f>IF(OR(AD720=0,AD720=""),"",AD720)</f>
        <v/>
      </c>
      <c r="T491" s="565"/>
      <c r="U491" s="565"/>
      <c r="V491" s="565"/>
      <c r="W491" s="565"/>
      <c r="X491" s="565"/>
      <c r="Y491" s="566"/>
    </row>
    <row r="492" spans="1:25" ht="14.1" customHeight="1">
      <c r="A492" s="16">
        <v>60</v>
      </c>
      <c r="O492" s="567"/>
      <c r="P492" s="568" t="s">
        <v>524</v>
      </c>
      <c r="Q492" s="569"/>
      <c r="R492" s="570">
        <f>LEN(Q491)</f>
        <v>0</v>
      </c>
      <c r="S492" s="571"/>
      <c r="T492" s="572">
        <f>LEN(S491)</f>
        <v>0</v>
      </c>
      <c r="U492" s="573"/>
      <c r="V492" s="574"/>
      <c r="W492" s="574"/>
      <c r="X492" s="574"/>
      <c r="Y492" s="575"/>
    </row>
    <row r="493" spans="1:25" ht="14.1" customHeight="1">
      <c r="A493" s="16">
        <v>61</v>
      </c>
      <c r="O493" s="567"/>
      <c r="P493" s="561" t="s">
        <v>525</v>
      </c>
      <c r="Q493" s="562"/>
      <c r="R493" s="563"/>
      <c r="S493" s="564" t="str">
        <f>IF(OR(AD722=0,AD722=""),"",AD722)</f>
        <v/>
      </c>
      <c r="T493" s="565"/>
      <c r="U493" s="565"/>
      <c r="V493" s="565"/>
      <c r="W493" s="565"/>
      <c r="X493" s="565"/>
      <c r="Y493" s="566"/>
    </row>
    <row r="494" spans="1:25" ht="14.1" customHeight="1">
      <c r="A494" s="16">
        <v>62</v>
      </c>
      <c r="O494" s="567"/>
      <c r="P494" s="568" t="s">
        <v>524</v>
      </c>
      <c r="Q494" s="569"/>
      <c r="R494" s="570">
        <f>LEN(Q493)</f>
        <v>0</v>
      </c>
      <c r="S494" s="571"/>
      <c r="T494" s="572">
        <f>LEN(S493)</f>
        <v>0</v>
      </c>
      <c r="U494" s="573"/>
      <c r="V494" s="565"/>
      <c r="W494" s="565"/>
      <c r="X494" s="565"/>
      <c r="Y494" s="566"/>
    </row>
    <row r="495" spans="1:25" ht="14.1" customHeight="1">
      <c r="A495" s="16">
        <v>63</v>
      </c>
      <c r="O495" s="576"/>
      <c r="P495" s="561" t="s">
        <v>525</v>
      </c>
      <c r="Q495" s="562"/>
      <c r="R495" s="563"/>
      <c r="S495" s="564" t="str">
        <f>IF(OR(AD724=0,AD724=""),"",AD724)</f>
        <v/>
      </c>
      <c r="T495" s="574"/>
      <c r="U495" s="574"/>
      <c r="V495" s="574"/>
      <c r="W495" s="574"/>
      <c r="X495" s="574"/>
      <c r="Y495" s="575"/>
    </row>
    <row r="496" spans="1:25" ht="14.1" customHeight="1">
      <c r="A496" s="16">
        <v>64</v>
      </c>
      <c r="O496" s="567"/>
      <c r="P496" s="568" t="s">
        <v>524</v>
      </c>
      <c r="Q496" s="569"/>
      <c r="R496" s="570">
        <f>LEN(Q495)</f>
        <v>0</v>
      </c>
      <c r="S496" s="571"/>
      <c r="T496" s="572">
        <f>LEN(S495)</f>
        <v>0</v>
      </c>
      <c r="U496" s="573"/>
      <c r="V496" s="565"/>
      <c r="W496" s="565"/>
      <c r="X496" s="565"/>
      <c r="Y496" s="566"/>
    </row>
    <row r="497" spans="1:25" ht="14.1" customHeight="1">
      <c r="A497" s="16">
        <v>65</v>
      </c>
      <c r="O497" s="567"/>
      <c r="P497" s="561" t="s">
        <v>525</v>
      </c>
      <c r="Q497" s="562"/>
      <c r="R497" s="563"/>
      <c r="S497" s="564" t="str">
        <f>IF(OR(AD726=0,AD726=""),"",AD726)</f>
        <v/>
      </c>
      <c r="T497" s="565"/>
      <c r="U497" s="565"/>
      <c r="V497" s="565"/>
      <c r="W497" s="565"/>
      <c r="X497" s="565"/>
      <c r="Y497" s="566"/>
    </row>
    <row r="498" spans="1:25" ht="14.1" customHeight="1">
      <c r="A498" s="16">
        <v>66</v>
      </c>
      <c r="O498" s="576"/>
      <c r="P498" s="568" t="s">
        <v>524</v>
      </c>
      <c r="Q498" s="569"/>
      <c r="R498" s="570">
        <f>LEN(Q497)</f>
        <v>0</v>
      </c>
      <c r="S498" s="571"/>
      <c r="T498" s="572">
        <f>LEN(S497)</f>
        <v>0</v>
      </c>
      <c r="U498" s="573"/>
      <c r="V498" s="574"/>
      <c r="W498" s="574"/>
      <c r="X498" s="574"/>
      <c r="Y498" s="575"/>
    </row>
    <row r="499" spans="1:25" ht="14.1" customHeight="1">
      <c r="A499" s="16">
        <v>67</v>
      </c>
      <c r="O499" s="567"/>
      <c r="P499" s="561" t="s">
        <v>525</v>
      </c>
      <c r="Q499" s="562"/>
      <c r="R499" s="563"/>
      <c r="S499" s="564" t="str">
        <f>IF(OR(AD728=0,AD728=""),"",AD728)</f>
        <v/>
      </c>
      <c r="T499" s="565"/>
      <c r="U499" s="565"/>
      <c r="V499" s="565"/>
      <c r="W499" s="565"/>
      <c r="X499" s="565"/>
      <c r="Y499" s="566"/>
    </row>
    <row r="500" spans="1:25" ht="14.1" customHeight="1">
      <c r="A500" s="16">
        <v>68</v>
      </c>
      <c r="O500" s="567"/>
      <c r="P500" s="568" t="s">
        <v>524</v>
      </c>
      <c r="Q500" s="569"/>
      <c r="R500" s="570">
        <f>LEN(Q499)</f>
        <v>0</v>
      </c>
      <c r="S500" s="571"/>
      <c r="T500" s="572">
        <f>LEN(S499)</f>
        <v>0</v>
      </c>
      <c r="U500" s="573"/>
      <c r="V500" s="565"/>
      <c r="W500" s="565"/>
      <c r="X500" s="565"/>
      <c r="Y500" s="566"/>
    </row>
    <row r="501" spans="1:25" ht="14.1" customHeight="1">
      <c r="A501" s="16">
        <v>69</v>
      </c>
      <c r="O501" s="576"/>
      <c r="P501" s="561" t="s">
        <v>525</v>
      </c>
      <c r="Q501" s="562"/>
      <c r="R501" s="563"/>
      <c r="S501" s="564" t="str">
        <f>IF(OR(AD730=0,AD730=""),"",AD730)</f>
        <v/>
      </c>
      <c r="T501" s="574"/>
      <c r="U501" s="574"/>
      <c r="V501" s="574"/>
      <c r="W501" s="574"/>
      <c r="X501" s="574"/>
      <c r="Y501" s="575"/>
    </row>
    <row r="502" spans="1:25" ht="14.1" customHeight="1">
      <c r="A502" s="16">
        <v>70</v>
      </c>
      <c r="O502" s="567"/>
      <c r="P502" s="568" t="s">
        <v>524</v>
      </c>
      <c r="Q502" s="577"/>
      <c r="R502" s="578">
        <f>LEN(Q501)</f>
        <v>0</v>
      </c>
      <c r="S502" s="579"/>
      <c r="T502" s="580">
        <f>LEN(S501)</f>
        <v>0</v>
      </c>
      <c r="U502" s="581"/>
      <c r="V502" s="582"/>
      <c r="W502" s="582"/>
      <c r="X502" s="582"/>
      <c r="Y502" s="566"/>
    </row>
    <row r="503" spans="1:25" ht="14.1" customHeight="1">
      <c r="A503" s="16">
        <v>71</v>
      </c>
      <c r="C503" s="108" t="s">
        <v>8</v>
      </c>
      <c r="D503" s="367" t="str">
        <f>IF($P$7="","",$P$7)</f>
        <v/>
      </c>
      <c r="E503" s="26"/>
      <c r="F503" s="26"/>
      <c r="G503" s="26"/>
      <c r="H503" s="26"/>
      <c r="I503" s="26"/>
      <c r="J503" s="26"/>
      <c r="K503" s="26"/>
      <c r="L503" s="108" t="s">
        <v>9</v>
      </c>
      <c r="M503" s="368" t="str">
        <f>IF($X$7="","",$X$7)</f>
        <v>Eugene Mah</v>
      </c>
      <c r="O503" s="567"/>
      <c r="P503" s="561" t="s">
        <v>525</v>
      </c>
      <c r="Q503" s="562"/>
      <c r="R503" s="563"/>
      <c r="S503" s="564" t="str">
        <f>IF(OR(AD732=0,AD732=""),"",AD732)</f>
        <v/>
      </c>
      <c r="T503" s="574"/>
      <c r="U503" s="574"/>
      <c r="V503" s="574"/>
      <c r="W503" s="574"/>
      <c r="X503" s="574"/>
      <c r="Y503" s="566"/>
    </row>
    <row r="504" spans="1:25" ht="14.1" customHeight="1">
      <c r="A504" s="16">
        <v>72</v>
      </c>
      <c r="C504" s="108" t="s">
        <v>117</v>
      </c>
      <c r="D504" s="368" t="str">
        <f>IF($R$14="","",$R$14)</f>
        <v/>
      </c>
      <c r="E504" s="26"/>
      <c r="F504" s="26"/>
      <c r="G504" s="26"/>
      <c r="H504" s="26"/>
      <c r="I504" s="26"/>
      <c r="J504" s="26"/>
      <c r="K504" s="26"/>
      <c r="L504" s="108" t="s">
        <v>34</v>
      </c>
      <c r="M504" s="368" t="str">
        <f>IF($R$13="","",$R$13)</f>
        <v/>
      </c>
      <c r="O504" s="576"/>
      <c r="P504" s="568" t="s">
        <v>524</v>
      </c>
      <c r="Q504" s="577"/>
      <c r="R504" s="578">
        <f>LEN(Q503)</f>
        <v>0</v>
      </c>
      <c r="S504" s="579"/>
      <c r="T504" s="580">
        <f>LEN(S503)</f>
        <v>0</v>
      </c>
      <c r="U504" s="581"/>
      <c r="V504" s="582"/>
      <c r="W504" s="582"/>
      <c r="X504" s="582"/>
      <c r="Y504" s="575"/>
    </row>
    <row r="505" spans="1:25" ht="14.1" customHeight="1">
      <c r="O505" s="567"/>
      <c r="P505" s="561" t="s">
        <v>525</v>
      </c>
      <c r="Q505" s="562"/>
      <c r="R505" s="563"/>
      <c r="S505" s="564" t="str">
        <f>IF(OR(AD734=0,AD734=""),"",AD734)</f>
        <v/>
      </c>
      <c r="T505" s="574"/>
      <c r="U505" s="574"/>
      <c r="V505" s="574"/>
      <c r="W505" s="574"/>
      <c r="X505" s="574"/>
      <c r="Y505" s="566"/>
    </row>
    <row r="506" spans="1:25" ht="14.1" customHeight="1">
      <c r="O506" s="567"/>
      <c r="P506" s="568" t="s">
        <v>524</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25"/>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64" zoomScale="75" zoomScaleNormal="75" workbookViewId="0">
      <selection activeCell="E89" sqref="E89"/>
    </sheetView>
  </sheetViews>
  <sheetFormatPr defaultColWidth="9" defaultRowHeight="14.1" customHeight="1"/>
  <cols>
    <col min="1" max="30" width="10.625" style="20" customWidth="1"/>
    <col min="31" max="16384" width="9" style="20"/>
  </cols>
  <sheetData>
    <row r="1" spans="1:30" ht="14.1" customHeight="1" thickBot="1">
      <c r="A1" s="74" t="s">
        <v>414</v>
      </c>
      <c r="K1" s="74" t="s">
        <v>415</v>
      </c>
      <c r="U1" s="20" t="s">
        <v>416</v>
      </c>
    </row>
    <row r="2" spans="1:30" ht="14.1" customHeight="1">
      <c r="A2" s="297"/>
      <c r="B2" s="983" t="s">
        <v>22</v>
      </c>
      <c r="C2" s="983"/>
      <c r="D2" s="983"/>
      <c r="E2" s="983"/>
      <c r="F2" s="983"/>
      <c r="G2" s="983"/>
      <c r="H2" s="983"/>
      <c r="I2" s="983"/>
      <c r="J2" s="983"/>
      <c r="K2" s="297"/>
      <c r="L2" s="983" t="s">
        <v>22</v>
      </c>
      <c r="M2" s="983"/>
      <c r="N2" s="983"/>
      <c r="O2" s="983"/>
      <c r="P2" s="983"/>
      <c r="Q2" s="983"/>
      <c r="R2" s="983"/>
      <c r="S2" s="983"/>
      <c r="T2" s="983"/>
      <c r="U2" s="297"/>
      <c r="V2" s="983" t="s">
        <v>22</v>
      </c>
      <c r="W2" s="983"/>
      <c r="X2" s="983"/>
      <c r="Y2" s="983"/>
      <c r="Z2" s="983"/>
      <c r="AA2" s="983"/>
      <c r="AB2" s="983"/>
      <c r="AC2" s="983"/>
      <c r="AD2" s="983"/>
    </row>
    <row r="3" spans="1:30" ht="14.1" customHeight="1">
      <c r="A3" s="203" t="s">
        <v>348</v>
      </c>
      <c r="B3" s="10">
        <v>23</v>
      </c>
      <c r="C3" s="10">
        <v>24</v>
      </c>
      <c r="D3" s="10">
        <v>25</v>
      </c>
      <c r="E3" s="10">
        <v>26</v>
      </c>
      <c r="F3" s="10">
        <v>27</v>
      </c>
      <c r="G3" s="10">
        <v>28</v>
      </c>
      <c r="H3" s="10">
        <v>29</v>
      </c>
      <c r="I3" s="10">
        <v>30</v>
      </c>
      <c r="J3" s="218">
        <v>31</v>
      </c>
      <c r="K3" s="203" t="s">
        <v>348</v>
      </c>
      <c r="L3" s="10">
        <v>23</v>
      </c>
      <c r="M3" s="10">
        <v>24</v>
      </c>
      <c r="N3" s="10">
        <v>25</v>
      </c>
      <c r="O3" s="10">
        <v>26</v>
      </c>
      <c r="P3" s="10">
        <v>27</v>
      </c>
      <c r="Q3" s="10">
        <v>28</v>
      </c>
      <c r="R3" s="10">
        <v>29</v>
      </c>
      <c r="S3" s="10">
        <v>30</v>
      </c>
      <c r="T3" s="218">
        <v>31</v>
      </c>
      <c r="U3" s="203" t="s">
        <v>348</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417</v>
      </c>
      <c r="N25" s="74" t="s">
        <v>418</v>
      </c>
    </row>
    <row r="26" spans="1:30" ht="14.1" customHeight="1">
      <c r="A26" s="297"/>
      <c r="B26" s="984" t="s">
        <v>22</v>
      </c>
      <c r="C26" s="984"/>
      <c r="D26" s="984"/>
      <c r="E26" s="984"/>
      <c r="F26" s="984"/>
      <c r="G26" s="984"/>
      <c r="H26" s="984"/>
      <c r="I26" s="984"/>
      <c r="J26" s="984"/>
      <c r="K26" s="984"/>
      <c r="L26" s="984"/>
      <c r="M26" s="215"/>
      <c r="N26" s="297"/>
      <c r="O26" s="983" t="s">
        <v>22</v>
      </c>
      <c r="P26" s="983"/>
      <c r="Q26" s="983"/>
      <c r="R26" s="983"/>
      <c r="S26" s="983"/>
      <c r="T26" s="983"/>
      <c r="U26" s="983"/>
      <c r="V26" s="983"/>
      <c r="W26" s="983"/>
      <c r="X26" s="983"/>
      <c r="Y26" s="983"/>
      <c r="Z26" s="983"/>
      <c r="AA26" s="983"/>
    </row>
    <row r="27" spans="1:30" ht="14.1" customHeight="1">
      <c r="A27" s="203" t="s">
        <v>348</v>
      </c>
      <c r="B27" s="10">
        <v>22</v>
      </c>
      <c r="C27" s="10">
        <v>23</v>
      </c>
      <c r="D27" s="10">
        <v>24</v>
      </c>
      <c r="E27" s="10">
        <v>25</v>
      </c>
      <c r="F27" s="10">
        <v>26</v>
      </c>
      <c r="G27" s="10">
        <v>27</v>
      </c>
      <c r="H27" s="10">
        <v>28</v>
      </c>
      <c r="I27" s="10">
        <v>29</v>
      </c>
      <c r="J27" s="10">
        <v>30</v>
      </c>
      <c r="K27" s="10">
        <v>31</v>
      </c>
      <c r="L27" s="10">
        <v>32</v>
      </c>
      <c r="M27" s="218">
        <v>33</v>
      </c>
      <c r="N27" s="203" t="s">
        <v>348</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419</v>
      </c>
    </row>
    <row r="51" spans="1:19" ht="14.1" customHeight="1">
      <c r="B51" s="985" t="s">
        <v>420</v>
      </c>
      <c r="C51" s="985" t="s">
        <v>421</v>
      </c>
      <c r="D51" s="987" t="s">
        <v>422</v>
      </c>
      <c r="E51" s="988"/>
      <c r="F51" s="988"/>
      <c r="G51" s="988"/>
      <c r="H51" s="988"/>
      <c r="I51" s="988"/>
      <c r="J51" s="988"/>
      <c r="K51" s="989"/>
    </row>
    <row r="52" spans="1:19" ht="14.1" customHeight="1">
      <c r="B52" s="986"/>
      <c r="C52" s="986"/>
      <c r="D52" s="230">
        <v>0.25</v>
      </c>
      <c r="E52" s="230">
        <v>0.3</v>
      </c>
      <c r="F52" s="230">
        <v>0.35</v>
      </c>
      <c r="G52" s="230">
        <v>0.4</v>
      </c>
      <c r="H52" s="230">
        <v>0.45</v>
      </c>
      <c r="I52" s="230">
        <v>0.5</v>
      </c>
      <c r="J52" s="230">
        <v>0.55000000000000004</v>
      </c>
      <c r="K52" s="230">
        <v>0.6</v>
      </c>
      <c r="L52" s="20" t="s">
        <v>423</v>
      </c>
      <c r="M52" s="20" t="s">
        <v>424</v>
      </c>
      <c r="N52" s="20" t="s">
        <v>616</v>
      </c>
    </row>
    <row r="53" spans="1:19" ht="14.1" customHeight="1">
      <c r="A53" s="104" t="s">
        <v>425</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426</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425</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426</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232</v>
      </c>
      <c r="C58" s="10" t="s">
        <v>257</v>
      </c>
      <c r="D58" s="10" t="s">
        <v>233</v>
      </c>
    </row>
    <row r="59" spans="1:19" ht="14.1" customHeight="1">
      <c r="A59" s="104" t="s">
        <v>427</v>
      </c>
      <c r="B59" s="10">
        <v>1</v>
      </c>
      <c r="C59" s="10">
        <v>1.0169999999999999</v>
      </c>
      <c r="D59" s="10">
        <v>1.042</v>
      </c>
    </row>
    <row r="61" spans="1:19" ht="14.1" customHeight="1">
      <c r="A61" s="74" t="s">
        <v>428</v>
      </c>
      <c r="C61" s="20" t="s">
        <v>780</v>
      </c>
      <c r="N61" s="144"/>
      <c r="O61" s="67"/>
      <c r="P61" s="67"/>
      <c r="Q61" s="67"/>
      <c r="R61" s="67"/>
      <c r="S61" s="67"/>
    </row>
    <row r="62" spans="1:19" ht="14.1" customHeight="1">
      <c r="A62" s="255" t="s">
        <v>67</v>
      </c>
      <c r="B62" s="650" t="s">
        <v>264</v>
      </c>
      <c r="C62" s="650" t="s">
        <v>330</v>
      </c>
      <c r="D62" s="255" t="s">
        <v>67</v>
      </c>
      <c r="E62" s="650" t="s">
        <v>264</v>
      </c>
      <c r="F62" s="650" t="s">
        <v>330</v>
      </c>
      <c r="G62" s="255" t="s">
        <v>67</v>
      </c>
      <c r="H62" s="650" t="s">
        <v>264</v>
      </c>
      <c r="I62" s="650" t="s">
        <v>330</v>
      </c>
      <c r="K62" s="650"/>
      <c r="O62" s="946"/>
      <c r="P62" s="946"/>
      <c r="Q62" s="946"/>
      <c r="R62" s="946"/>
      <c r="S62" s="946"/>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432</v>
      </c>
      <c r="B71" s="20" t="e">
        <f>SLOPE(C63:C69,$B$63:$B$69)</f>
        <v>#DIV/0!</v>
      </c>
      <c r="C71" s="20" t="e">
        <f>SLOPE(F63:F68,$E$63:$E$68)</f>
        <v>#DIV/0!</v>
      </c>
      <c r="D71" s="20" t="e">
        <f>SLOPE(I63:I67,$H$63:$H$67)</f>
        <v>#DIV/0!</v>
      </c>
      <c r="G71" s="34"/>
      <c r="K71" s="34"/>
      <c r="O71" s="266"/>
      <c r="P71" s="266"/>
      <c r="Q71" s="266"/>
      <c r="R71" s="266"/>
      <c r="S71" s="266"/>
    </row>
    <row r="72" spans="1:19" ht="14.1" customHeight="1">
      <c r="A72" s="34" t="s">
        <v>433</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526</v>
      </c>
      <c r="B73" s="20" t="e">
        <f>RSQ(C63:C69,B63:B69)</f>
        <v>#DIV/0!</v>
      </c>
      <c r="C73" s="20" t="e">
        <f>RSQ(F63:F68,E63:E68)</f>
        <v>#DIV/0!</v>
      </c>
      <c r="D73" s="20" t="e">
        <f>RSQ(I63:I67,H63:H67)</f>
        <v>#DIV/0!</v>
      </c>
      <c r="N73" s="67"/>
      <c r="O73" s="266"/>
      <c r="P73" s="266"/>
      <c r="Q73" s="266"/>
      <c r="R73" s="266"/>
      <c r="S73" s="266"/>
    </row>
    <row r="74" spans="1:19" ht="14.1" customHeight="1">
      <c r="A74" s="74" t="s">
        <v>345</v>
      </c>
      <c r="C74" s="20" t="s">
        <v>608</v>
      </c>
      <c r="N74" s="67"/>
      <c r="O74" s="266"/>
      <c r="P74" s="266"/>
      <c r="Q74" s="266"/>
      <c r="R74" s="266"/>
      <c r="S74" s="266"/>
    </row>
    <row r="75" spans="1:19" ht="14.1" customHeight="1">
      <c r="A75" s="255" t="s">
        <v>67</v>
      </c>
      <c r="B75" s="650" t="s">
        <v>264</v>
      </c>
      <c r="C75" s="650" t="s">
        <v>348</v>
      </c>
      <c r="D75" s="255" t="s">
        <v>67</v>
      </c>
      <c r="E75" s="650" t="s">
        <v>264</v>
      </c>
      <c r="F75" s="650" t="s">
        <v>348</v>
      </c>
      <c r="G75" s="255" t="s">
        <v>67</v>
      </c>
      <c r="H75" s="650" t="s">
        <v>264</v>
      </c>
      <c r="I75" s="650" t="s">
        <v>348</v>
      </c>
      <c r="K75" s="271" t="s">
        <v>20</v>
      </c>
      <c r="L75" s="271" t="s">
        <v>21</v>
      </c>
      <c r="M75" s="271" t="s">
        <v>434</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29</v>
      </c>
      <c r="L76" s="271" t="s">
        <v>29</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29</v>
      </c>
      <c r="L77" s="271" t="s">
        <v>51</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51</v>
      </c>
      <c r="L78" s="271" t="s">
        <v>51</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435</v>
      </c>
      <c r="L79" s="298" t="s">
        <v>436</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437</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438</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432</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433</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526</v>
      </c>
      <c r="B86" s="20" t="e">
        <f>RSQ(C76:C82,B76:B82)</f>
        <v>#DIV/0!</v>
      </c>
      <c r="C86" s="20" t="e">
        <f>RSQ(F76:F81,E76:E81)</f>
        <v>#DIV/0!</v>
      </c>
      <c r="D86" s="20" t="e">
        <f>RSQ(I76:I80,H76:H80)</f>
        <v>#DIV/0!</v>
      </c>
      <c r="N86" s="67"/>
      <c r="O86" s="266"/>
      <c r="P86" s="266"/>
      <c r="Q86" s="266"/>
      <c r="R86" s="266"/>
      <c r="S86" s="266"/>
    </row>
    <row r="87" spans="1:19" ht="14.1" customHeight="1">
      <c r="A87" s="74" t="s">
        <v>439</v>
      </c>
      <c r="B87" s="20" t="e">
        <f>"DGN values (mrad/R) for "&amp;Sheet1!$T$259&amp;" kV and HVL="&amp;ROUND(Sheet1!$X$262,2)&amp;" mm Al"</f>
        <v>#N/A</v>
      </c>
      <c r="N87" s="67"/>
      <c r="O87" s="266"/>
      <c r="P87" s="266"/>
      <c r="Q87" s="266"/>
      <c r="R87" s="266"/>
      <c r="S87" s="266"/>
    </row>
    <row r="88" spans="1:19" ht="14.1" customHeight="1">
      <c r="A88" s="272" t="s">
        <v>232</v>
      </c>
      <c r="B88" s="272" t="s">
        <v>257</v>
      </c>
      <c r="C88" s="272" t="s">
        <v>440</v>
      </c>
      <c r="D88" s="272" t="str">
        <f>Sheet1!R18</f>
        <v/>
      </c>
      <c r="E88" s="272" t="s">
        <v>430</v>
      </c>
      <c r="F88" s="272" t="s">
        <v>233</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441</v>
      </c>
      <c r="N91" s="67"/>
      <c r="O91" s="266"/>
      <c r="P91" s="266"/>
      <c r="Q91" s="266"/>
      <c r="R91" s="266"/>
      <c r="S91" s="266"/>
    </row>
    <row r="92" spans="1:19" ht="14.1" customHeight="1">
      <c r="B92" s="650" t="s">
        <v>264</v>
      </c>
      <c r="D92" s="10" t="s">
        <v>442</v>
      </c>
      <c r="E92" s="10" t="s">
        <v>443</v>
      </c>
      <c r="F92" s="10" t="s">
        <v>429</v>
      </c>
      <c r="G92" s="10" t="s">
        <v>444</v>
      </c>
      <c r="H92" s="10" t="s">
        <v>445</v>
      </c>
      <c r="I92" s="10" t="s">
        <v>446</v>
      </c>
      <c r="J92" s="10" t="s">
        <v>447</v>
      </c>
      <c r="N92" s="67"/>
      <c r="O92" s="266"/>
      <c r="P92" s="266"/>
      <c r="Q92" s="266"/>
      <c r="R92" s="266"/>
      <c r="S92" s="266"/>
    </row>
    <row r="93" spans="1:19" ht="14.1" customHeight="1">
      <c r="A93" s="20" t="s">
        <v>233</v>
      </c>
      <c r="B93" s="650" t="s">
        <v>448</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449</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450</v>
      </c>
      <c r="N95" s="67"/>
      <c r="O95" s="266"/>
      <c r="P95" s="266"/>
      <c r="Q95" s="266"/>
      <c r="R95" s="266"/>
      <c r="S95" s="266"/>
    </row>
    <row r="96" spans="1:19" ht="14.1" customHeight="1">
      <c r="C96" s="20" t="s">
        <v>451</v>
      </c>
      <c r="N96" s="67"/>
      <c r="O96" s="266"/>
      <c r="P96" s="266"/>
      <c r="Q96" s="266"/>
      <c r="R96" s="266"/>
      <c r="S96" s="266"/>
    </row>
    <row r="97" spans="1:19" ht="14.1" customHeight="1">
      <c r="B97" s="650" t="s">
        <v>264</v>
      </c>
      <c r="D97" s="10" t="s">
        <v>442</v>
      </c>
      <c r="E97" s="10" t="s">
        <v>443</v>
      </c>
      <c r="F97" s="10" t="s">
        <v>429</v>
      </c>
      <c r="G97" s="10" t="s">
        <v>444</v>
      </c>
      <c r="H97" s="10" t="s">
        <v>445</v>
      </c>
      <c r="I97" s="10" t="s">
        <v>446</v>
      </c>
      <c r="J97" s="10" t="s">
        <v>447</v>
      </c>
      <c r="N97" s="67"/>
      <c r="O97" s="266"/>
      <c r="P97" s="266"/>
      <c r="Q97" s="266"/>
      <c r="R97" s="266"/>
      <c r="S97" s="266"/>
    </row>
    <row r="98" spans="1:19" ht="14.1" customHeight="1">
      <c r="A98" s="20" t="s">
        <v>430</v>
      </c>
      <c r="B98" s="650" t="s">
        <v>448</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449</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452</v>
      </c>
      <c r="N100" s="67"/>
      <c r="O100" s="266"/>
      <c r="P100" s="266"/>
      <c r="Q100" s="266"/>
      <c r="R100" s="266"/>
      <c r="S100" s="266"/>
    </row>
    <row r="101" spans="1:19" ht="14.1" customHeight="1">
      <c r="C101" s="20" t="s">
        <v>453</v>
      </c>
      <c r="N101" s="67"/>
      <c r="O101" s="266"/>
      <c r="P101" s="266"/>
      <c r="Q101" s="266"/>
      <c r="R101" s="266"/>
      <c r="S101" s="266"/>
    </row>
    <row r="102" spans="1:19" ht="14.1" customHeight="1">
      <c r="N102" s="67"/>
      <c r="O102" s="266"/>
      <c r="P102" s="266"/>
      <c r="Q102" s="266"/>
      <c r="R102" s="266"/>
      <c r="S102" s="266"/>
    </row>
    <row r="103" spans="1:19" ht="14.1" customHeight="1">
      <c r="A103" s="74" t="s">
        <v>454</v>
      </c>
      <c r="N103" s="67"/>
      <c r="O103" s="266"/>
      <c r="P103" s="266"/>
      <c r="Q103" s="266"/>
      <c r="R103" s="266"/>
      <c r="S103" s="266"/>
    </row>
    <row r="104" spans="1:19" ht="14.1" customHeight="1">
      <c r="B104" s="650" t="s">
        <v>264</v>
      </c>
      <c r="D104" s="10" t="s">
        <v>442</v>
      </c>
      <c r="E104" s="10" t="s">
        <v>443</v>
      </c>
      <c r="F104" s="10" t="s">
        <v>429</v>
      </c>
      <c r="G104" s="10" t="s">
        <v>444</v>
      </c>
      <c r="H104" s="10" t="s">
        <v>445</v>
      </c>
      <c r="N104" s="67"/>
      <c r="O104" s="266"/>
      <c r="P104" s="266"/>
      <c r="Q104" s="266"/>
      <c r="R104" s="266"/>
      <c r="S104" s="266"/>
    </row>
    <row r="105" spans="1:19" ht="14.1" customHeight="1">
      <c r="A105" s="20" t="s">
        <v>233</v>
      </c>
      <c r="B105" s="650" t="s">
        <v>448</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449</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430</v>
      </c>
      <c r="B108" s="650" t="s">
        <v>264</v>
      </c>
      <c r="D108" s="10" t="s">
        <v>442</v>
      </c>
      <c r="E108" s="10" t="s">
        <v>443</v>
      </c>
      <c r="F108" s="10" t="s">
        <v>429</v>
      </c>
      <c r="G108" s="10" t="s">
        <v>444</v>
      </c>
      <c r="H108" s="10" t="s">
        <v>445</v>
      </c>
      <c r="N108" s="67"/>
      <c r="O108" s="266"/>
      <c r="P108" s="266"/>
      <c r="Q108" s="266"/>
      <c r="R108" s="266"/>
      <c r="S108" s="266"/>
    </row>
    <row r="109" spans="1:19" ht="14.1" customHeight="1">
      <c r="B109" s="650" t="s">
        <v>448</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449</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431</v>
      </c>
      <c r="D112" s="10" t="s">
        <v>442</v>
      </c>
      <c r="E112" s="10" t="s">
        <v>443</v>
      </c>
      <c r="F112" s="10" t="s">
        <v>429</v>
      </c>
      <c r="G112" s="10" t="s">
        <v>444</v>
      </c>
      <c r="H112" s="10" t="s">
        <v>445</v>
      </c>
      <c r="N112" s="67"/>
      <c r="O112" s="266"/>
      <c r="P112" s="266"/>
      <c r="Q112" s="266"/>
      <c r="R112" s="266"/>
      <c r="S112" s="266"/>
    </row>
    <row r="113" spans="1:19" ht="14.1" customHeight="1">
      <c r="B113" s="650" t="s">
        <v>448</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455</v>
      </c>
      <c r="D114" s="10">
        <v>-24.875</v>
      </c>
      <c r="E114" s="10">
        <v>1.8031999999999999</v>
      </c>
      <c r="F114" s="10"/>
      <c r="G114" s="10"/>
      <c r="H114" s="10"/>
      <c r="N114" s="67"/>
      <c r="O114" s="266"/>
      <c r="P114" s="266"/>
      <c r="Q114" s="266"/>
      <c r="R114" s="266"/>
      <c r="S114" s="266"/>
    </row>
    <row r="115" spans="1:19" ht="14.1" customHeight="1">
      <c r="B115" s="650" t="s">
        <v>449</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456</v>
      </c>
      <c r="N118" s="67"/>
      <c r="O118" s="266"/>
      <c r="P118" s="266"/>
      <c r="Q118" s="266"/>
      <c r="R118" s="266"/>
      <c r="S118" s="266"/>
    </row>
    <row r="119" spans="1:19" ht="14.1" customHeight="1">
      <c r="C119" s="650" t="s">
        <v>457</v>
      </c>
      <c r="D119" s="650" t="s">
        <v>458</v>
      </c>
      <c r="E119" s="650" t="s">
        <v>459</v>
      </c>
      <c r="F119" s="650" t="s">
        <v>460</v>
      </c>
      <c r="G119" s="650" t="s">
        <v>461</v>
      </c>
      <c r="N119" s="67"/>
      <c r="O119" s="266"/>
      <c r="P119" s="266"/>
      <c r="Q119" s="266"/>
      <c r="R119" s="266"/>
      <c r="S119" s="266"/>
    </row>
    <row r="120" spans="1:19" ht="14.1" customHeight="1">
      <c r="B120" s="34" t="s">
        <v>396</v>
      </c>
      <c r="C120" s="650" t="s">
        <v>462</v>
      </c>
      <c r="D120" s="650" t="s">
        <v>463</v>
      </c>
      <c r="E120" s="650" t="s">
        <v>464</v>
      </c>
      <c r="F120" s="650" t="s">
        <v>463</v>
      </c>
      <c r="G120" s="650" t="s">
        <v>321</v>
      </c>
      <c r="N120" s="67"/>
      <c r="O120" s="266"/>
      <c r="P120" s="266"/>
      <c r="Q120" s="266"/>
      <c r="R120" s="266"/>
      <c r="S120" s="266"/>
    </row>
    <row r="121" spans="1:19" ht="14.1" customHeight="1">
      <c r="B121" s="34" t="s">
        <v>400</v>
      </c>
      <c r="C121" s="650" t="s">
        <v>462</v>
      </c>
      <c r="D121" s="650" t="s">
        <v>463</v>
      </c>
      <c r="E121" s="650" t="s">
        <v>463</v>
      </c>
      <c r="F121" s="650" t="s">
        <v>463</v>
      </c>
      <c r="G121" s="650" t="s">
        <v>321</v>
      </c>
      <c r="N121" s="67"/>
      <c r="O121" s="266"/>
      <c r="P121" s="266"/>
      <c r="Q121" s="266"/>
      <c r="R121" s="266"/>
      <c r="S121" s="266"/>
    </row>
    <row r="122" spans="1:19" ht="14.1" customHeight="1">
      <c r="B122" s="34" t="s">
        <v>465</v>
      </c>
      <c r="C122" s="650" t="s">
        <v>462</v>
      </c>
      <c r="D122" s="650" t="s">
        <v>463</v>
      </c>
      <c r="E122" s="650" t="s">
        <v>464</v>
      </c>
      <c r="F122" s="650" t="s">
        <v>463</v>
      </c>
      <c r="G122" s="650" t="s">
        <v>321</v>
      </c>
      <c r="N122" s="67"/>
      <c r="O122" s="266"/>
      <c r="P122" s="266"/>
      <c r="Q122" s="266"/>
      <c r="R122" s="266"/>
      <c r="S122" s="266"/>
    </row>
    <row r="123" spans="1:19" ht="14.1" customHeight="1">
      <c r="B123" s="34" t="s">
        <v>466</v>
      </c>
      <c r="C123" s="650" t="s">
        <v>462</v>
      </c>
      <c r="D123" s="650" t="s">
        <v>463</v>
      </c>
      <c r="E123" s="650" t="s">
        <v>463</v>
      </c>
      <c r="F123" s="650" t="s">
        <v>463</v>
      </c>
      <c r="G123" s="650" t="s">
        <v>321</v>
      </c>
      <c r="N123" s="67"/>
      <c r="O123" s="266"/>
      <c r="P123" s="266"/>
      <c r="Q123" s="266"/>
      <c r="R123" s="266"/>
      <c r="S123" s="266"/>
    </row>
    <row r="124" spans="1:19" ht="14.1" customHeight="1">
      <c r="B124" s="34" t="s">
        <v>467</v>
      </c>
      <c r="C124" s="650" t="s">
        <v>462</v>
      </c>
      <c r="D124" s="650" t="s">
        <v>463</v>
      </c>
      <c r="E124" s="650" t="s">
        <v>463</v>
      </c>
      <c r="F124" s="650" t="s">
        <v>463</v>
      </c>
      <c r="G124" s="650" t="s">
        <v>321</v>
      </c>
      <c r="N124" s="67"/>
      <c r="O124" s="266"/>
      <c r="P124" s="266"/>
      <c r="Q124" s="266"/>
      <c r="R124" s="266"/>
      <c r="S124" s="266"/>
    </row>
    <row r="125" spans="1:19" ht="14.1" customHeight="1">
      <c r="B125" s="34" t="s">
        <v>468</v>
      </c>
      <c r="C125" s="650" t="s">
        <v>462</v>
      </c>
      <c r="D125" s="650" t="s">
        <v>463</v>
      </c>
      <c r="E125" s="650" t="s">
        <v>463</v>
      </c>
      <c r="F125" s="650" t="s">
        <v>463</v>
      </c>
      <c r="G125" s="650" t="s">
        <v>321</v>
      </c>
      <c r="N125" s="67"/>
      <c r="O125" s="266"/>
      <c r="P125" s="266"/>
      <c r="Q125" s="266"/>
      <c r="R125" s="266"/>
      <c r="S125" s="266"/>
    </row>
    <row r="126" spans="1:19" ht="14.1" customHeight="1">
      <c r="B126" s="34" t="s">
        <v>290</v>
      </c>
      <c r="C126" s="650" t="s">
        <v>462</v>
      </c>
      <c r="D126" s="650" t="s">
        <v>463</v>
      </c>
      <c r="E126" s="650" t="s">
        <v>463</v>
      </c>
      <c r="F126" s="650" t="s">
        <v>463</v>
      </c>
      <c r="G126" s="650" t="s">
        <v>321</v>
      </c>
      <c r="N126" s="67"/>
      <c r="O126" s="266"/>
      <c r="P126" s="266"/>
      <c r="Q126" s="266"/>
      <c r="R126" s="266"/>
      <c r="S126" s="266"/>
    </row>
    <row r="127" spans="1:19" ht="14.1" customHeight="1">
      <c r="B127" s="34" t="s">
        <v>469</v>
      </c>
      <c r="C127" s="650" t="s">
        <v>462</v>
      </c>
      <c r="D127" s="650" t="s">
        <v>463</v>
      </c>
      <c r="E127" s="650" t="s">
        <v>463</v>
      </c>
      <c r="F127" s="650" t="s">
        <v>463</v>
      </c>
      <c r="G127" s="650" t="s">
        <v>321</v>
      </c>
      <c r="N127" s="67"/>
      <c r="O127" s="266"/>
      <c r="P127" s="266"/>
      <c r="Q127" s="266"/>
      <c r="R127" s="266"/>
      <c r="S127" s="266"/>
    </row>
    <row r="128" spans="1:19" ht="14.1" customHeight="1">
      <c r="B128" s="34" t="s">
        <v>470</v>
      </c>
      <c r="C128" s="650" t="s">
        <v>462</v>
      </c>
      <c r="D128" s="650" t="s">
        <v>463</v>
      </c>
      <c r="E128" s="650" t="s">
        <v>463</v>
      </c>
      <c r="F128" s="650" t="s">
        <v>463</v>
      </c>
      <c r="G128" s="650" t="s">
        <v>321</v>
      </c>
      <c r="N128" s="67"/>
      <c r="O128" s="67"/>
      <c r="P128" s="67"/>
      <c r="Q128" s="67"/>
      <c r="R128" s="67"/>
      <c r="S128" s="67"/>
    </row>
    <row r="129" spans="2:7" ht="14.1" customHeight="1">
      <c r="B129" s="34" t="s">
        <v>348</v>
      </c>
      <c r="C129" s="650" t="s">
        <v>462</v>
      </c>
      <c r="D129" s="650" t="s">
        <v>463</v>
      </c>
      <c r="E129" s="650" t="s">
        <v>463</v>
      </c>
      <c r="F129" s="650" t="s">
        <v>463</v>
      </c>
      <c r="G129" s="650" t="s">
        <v>321</v>
      </c>
    </row>
    <row r="130" spans="2:7" ht="14.1" customHeight="1">
      <c r="B130" s="34" t="s">
        <v>264</v>
      </c>
      <c r="C130" s="650" t="s">
        <v>462</v>
      </c>
      <c r="D130" s="650" t="s">
        <v>463</v>
      </c>
      <c r="E130" s="650" t="s">
        <v>463</v>
      </c>
      <c r="F130" s="650" t="s">
        <v>463</v>
      </c>
      <c r="G130" s="650" t="s">
        <v>321</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4.25"/>
  <sheetData>
    <row r="1" spans="1:2">
      <c r="A1" t="s">
        <v>707</v>
      </c>
      <c r="B1" t="s">
        <v>708</v>
      </c>
    </row>
    <row r="2" spans="1:2">
      <c r="A2" s="713" t="s">
        <v>709</v>
      </c>
      <c r="B2" s="714"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2.75"/>
  <cols>
    <col min="1" max="1" width="9.125" style="483" customWidth="1"/>
    <col min="2" max="16384" width="9" style="483"/>
  </cols>
  <sheetData>
    <row r="1" spans="1:1">
      <c r="A1" s="520" t="s">
        <v>481</v>
      </c>
    </row>
    <row r="2" spans="1:1">
      <c r="A2" s="483" t="s">
        <v>482</v>
      </c>
    </row>
    <row r="3" spans="1:1">
      <c r="A3" s="483" t="s">
        <v>483</v>
      </c>
    </row>
    <row r="5" spans="1:1">
      <c r="A5" s="520" t="s">
        <v>484</v>
      </c>
    </row>
    <row r="6" spans="1:1">
      <c r="A6" s="483" t="s">
        <v>482</v>
      </c>
    </row>
    <row r="7" spans="1:1">
      <c r="A7" s="483" t="s">
        <v>483</v>
      </c>
    </row>
    <row r="8" spans="1:1">
      <c r="A8" s="483" t="s">
        <v>485</v>
      </c>
    </row>
    <row r="10" spans="1:1">
      <c r="A10" s="519" t="s">
        <v>486</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377</v>
      </c>
    </row>
    <row r="25" spans="1:1">
      <c r="A25" s="488" t="s">
        <v>745</v>
      </c>
    </row>
    <row r="26" spans="1:1">
      <c r="A26" s="488" t="s">
        <v>746</v>
      </c>
    </row>
    <row r="27" spans="1:1">
      <c r="A27" s="488" t="s">
        <v>747</v>
      </c>
    </row>
    <row r="28" spans="1:1">
      <c r="A28" s="488" t="s">
        <v>748</v>
      </c>
    </row>
    <row r="29" spans="1:1">
      <c r="A29" s="488" t="s">
        <v>762</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4.25"/>
  <cols>
    <col min="1" max="1024" width="8.375" customWidth="1"/>
  </cols>
  <sheetData>
    <row r="1" spans="1:3">
      <c r="A1" s="7" t="s">
        <v>471</v>
      </c>
    </row>
    <row r="2" spans="1:3">
      <c r="B2" t="s">
        <v>472</v>
      </c>
    </row>
    <row r="3" spans="1:3">
      <c r="B3" t="s">
        <v>473</v>
      </c>
    </row>
    <row r="4" spans="1:3">
      <c r="B4" t="s">
        <v>474</v>
      </c>
    </row>
    <row r="5" spans="1:3">
      <c r="B5" t="s">
        <v>475</v>
      </c>
    </row>
    <row r="6" spans="1:3">
      <c r="B6" t="s">
        <v>476</v>
      </c>
    </row>
    <row r="8" spans="1:3">
      <c r="A8" s="7" t="s">
        <v>477</v>
      </c>
    </row>
    <row r="9" spans="1:3">
      <c r="A9" s="7"/>
      <c r="B9" t="s">
        <v>450</v>
      </c>
    </row>
    <row r="10" spans="1:3">
      <c r="A10" s="7"/>
      <c r="B10" t="s">
        <v>451</v>
      </c>
    </row>
    <row r="11" spans="1:3">
      <c r="B11" s="5" t="s">
        <v>478</v>
      </c>
      <c r="C11" s="5" t="s">
        <v>479</v>
      </c>
    </row>
    <row r="12" spans="1:3">
      <c r="B12" s="8">
        <v>25.03</v>
      </c>
      <c r="C12" s="9">
        <f>IF(B12&lt;A22,B12+B22+B12*C22+B12^2*D22+B12^3*E22+B12^4*F22+B12^5*G22+B12^6*H22,B12+B23+B12*C23+B12^2*D23+B12^3*E23+B12^4*F23+B12^5*G23+B12^6*H23)</f>
        <v>21.808137925164374</v>
      </c>
    </row>
    <row r="14" spans="1:3">
      <c r="A14" s="7" t="s">
        <v>480</v>
      </c>
    </row>
    <row r="15" spans="1:3">
      <c r="A15" s="7"/>
      <c r="B15" t="s">
        <v>452</v>
      </c>
    </row>
    <row r="16" spans="1:3">
      <c r="A16" s="7"/>
      <c r="B16" t="s">
        <v>453</v>
      </c>
    </row>
    <row r="17" spans="1:8">
      <c r="B17" s="5" t="s">
        <v>478</v>
      </c>
      <c r="C17" s="5" t="s">
        <v>479</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Compg1</vt:lpstr>
      <vt:lpstr>ESE</vt:lpstr>
      <vt:lpstr>ExpLinHVL</vt:lpstr>
      <vt:lpstr>FiberLst</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2022-04-28T16:37:06Z</dcterms:modified>
</cp:coreProperties>
</file>