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Fluoro!$B$1:$M$528,Fluoro!$B$595:$M$792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O285" i="1" s="1"/>
  <c r="M265" i="1"/>
  <c r="AD264" i="1"/>
  <c r="AC264" i="1"/>
  <c r="V264" i="1"/>
  <c r="R284" i="1" s="1"/>
  <c r="S264" i="1"/>
  <c r="O284" i="1" s="1"/>
  <c r="V263" i="1"/>
  <c r="R283" i="1" s="1"/>
  <c r="S263" i="1"/>
  <c r="O283" i="1" s="1"/>
  <c r="D263" i="1"/>
  <c r="AD262" i="1"/>
  <c r="AC262" i="1" s="1"/>
  <c r="V262" i="1"/>
  <c r="R282" i="1" s="1"/>
  <c r="S262" i="1"/>
  <c r="O282" i="1" s="1"/>
  <c r="V261" i="1"/>
  <c r="R281" i="1" s="1"/>
  <c r="S261" i="1"/>
  <c r="O281" i="1" s="1"/>
  <c r="AD260" i="1"/>
  <c r="AC260" i="1"/>
  <c r="V260" i="1"/>
  <c r="R280" i="1" s="1"/>
  <c r="S260" i="1"/>
  <c r="O280" i="1" s="1"/>
  <c r="V259" i="1"/>
  <c r="R279" i="1" s="1"/>
  <c r="S259" i="1"/>
  <c r="O279" i="1" s="1"/>
  <c r="AD258" i="1"/>
  <c r="AC258" i="1" s="1"/>
  <c r="V258" i="1"/>
  <c r="R278" i="1" s="1"/>
  <c r="S258" i="1"/>
  <c r="O278" i="1" s="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s="1"/>
  <c r="L140" i="1" s="1"/>
  <c r="AD182" i="1"/>
  <c r="AC182" i="1" s="1"/>
  <c r="U182" i="1" a="1"/>
  <c r="U182" i="1" s="1"/>
  <c r="L139" i="1" s="1"/>
  <c r="Q182" i="1"/>
  <c r="AD181" i="1"/>
  <c r="AC181" i="1" s="1"/>
  <c r="X181" i="1"/>
  <c r="H139" i="1" s="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D70" i="3" s="1"/>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I421" i="1"/>
  <c r="I88" i="5" s="1"/>
  <c r="M421" i="1"/>
  <c r="I92" i="5" s="1"/>
  <c r="K423" i="1"/>
  <c r="K90" i="5" s="1"/>
  <c r="L424" i="1"/>
  <c r="L91" i="5" s="1"/>
  <c r="M425" i="1"/>
  <c r="M92" i="5" s="1"/>
  <c r="J426" i="1"/>
  <c r="N89" i="5" s="1"/>
  <c r="K419" i="1" l="1"/>
  <c r="G90" i="5" s="1"/>
  <c r="J61" i="3"/>
  <c r="H62" i="3"/>
  <c r="P66" i="3"/>
  <c r="H70" i="3"/>
  <c r="N67" i="3"/>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<sst xmlns="http://schemas.openxmlformats.org/spreadsheetml/2006/main" count="1164" uniqueCount="449">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</sst>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6">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5" borderId="12" xfId="0" applyNumberFormat="1" applyFont="1" applyFill="1" applyBorder="1" applyAlignment="1">
      <alignment horizontal="center"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6" borderId="13" xfId="0" applyNumberFormat="1" applyFont="1" applyFill="1" applyBorder="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120"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4" fillId="0" borderId="0" xfId="0" applyFont="1" applyAlignment="1">
      <alignment horizontal="center" vertical="center"/>
    </xf>
    <xf numFmtId="2" fontId="0" fillId="0" borderId="187" xfId="0" applyFont="1" applyBorder="1" applyAlignment="1">
      <alignment horizontal="center" vertical="center" wrapText="1"/>
    </xf>
    <xf numFmtId="2" fontId="0" fillId="0" borderId="188" xfId="0" applyFont="1" applyBorder="1" applyAlignment="1">
      <alignment horizontal="center" vertical="center" wrapText="1"/>
    </xf>
    <xf numFmtId="2" fontId="4" fillId="0" borderId="1" xfId="0" applyFont="1" applyBorder="1" applyAlignment="1">
      <alignment horizontal="center" vertical="center"/>
    </xf>
    <xf numFmtId="2" fontId="4" fillId="0" borderId="68" xfId="0" applyFont="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0" fontId="4" fillId="0" borderId="47" xfId="0" applyNumberFormat="1"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0" fontId="0" fillId="0" borderId="119"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0" fillId="0" borderId="118" xfId="0" applyFont="1" applyBorder="1" applyAlignment="1">
      <alignment horizontal="center" vertical="center"/>
    </xf>
    <xf numFmtId="166"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0" fillId="0" borderId="47" xfId="0" applyFont="1" applyBorder="1" applyAlignment="1">
      <alignment horizontal="center" vertical="center"/>
    </xf>
    <xf numFmtId="2" fontId="4" fillId="0" borderId="12"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8"/>
      <c r="C1" s="349"/>
      <c r="D1" s="349"/>
      <c r="E1" s="349"/>
      <c r="F1" s="349"/>
      <c r="G1" s="349"/>
      <c r="H1" s="349"/>
      <c r="I1" s="349"/>
      <c r="J1" s="349"/>
      <c r="K1" s="349"/>
      <c r="L1" s="349"/>
      <c r="M1" s="350"/>
      <c r="O1" s="7" t="s">
        <v>448</v>
      </c>
      <c r="P1" s="8"/>
      <c r="Q1" s="8"/>
      <c r="R1" s="8"/>
      <c r="S1" s="8"/>
      <c r="T1" s="8"/>
      <c r="U1" s="8"/>
      <c r="V1" s="8"/>
      <c r="W1" s="8"/>
      <c r="X1" s="8"/>
      <c r="Y1" s="9"/>
      <c r="AA1" s="10" t="s">
        <v>0</v>
      </c>
    </row>
    <row r="2" spans="1:30" ht="14.1" customHeight="1" x14ac:dyDescent="0.25">
      <c r="A2" s="3">
        <v>2</v>
      </c>
      <c r="B2" s="351"/>
      <c r="C2" s="138"/>
      <c r="D2" s="138"/>
      <c r="E2" s="138"/>
      <c r="F2" s="138"/>
      <c r="G2" s="138"/>
      <c r="H2" s="352" t="s">
        <v>1</v>
      </c>
      <c r="I2" s="138"/>
      <c r="J2" s="138"/>
      <c r="K2" s="138"/>
      <c r="L2" s="138"/>
      <c r="M2" s="353"/>
      <c r="O2" s="14"/>
      <c r="T2" s="12" t="s">
        <v>1</v>
      </c>
      <c r="Y2" s="15"/>
      <c r="AA2" s="16" t="s">
        <v>2</v>
      </c>
    </row>
    <row r="3" spans="1:30" ht="14.1" customHeight="1" x14ac:dyDescent="0.25">
      <c r="A3" s="3">
        <v>3</v>
      </c>
      <c r="B3" s="351"/>
      <c r="C3" s="138"/>
      <c r="D3" s="138"/>
      <c r="E3" s="138"/>
      <c r="F3" s="138"/>
      <c r="G3" s="138"/>
      <c r="H3" s="352" t="s">
        <v>3</v>
      </c>
      <c r="I3" s="138"/>
      <c r="J3" s="138"/>
      <c r="K3" s="138"/>
      <c r="L3" s="138"/>
      <c r="M3" s="353"/>
      <c r="O3" s="14"/>
      <c r="T3" s="12" t="s">
        <v>3</v>
      </c>
      <c r="Y3" s="15"/>
      <c r="AA3" s="17" t="str">
        <f>IF(AB7="","",AB7)</f>
        <v/>
      </c>
    </row>
    <row r="4" spans="1:30" ht="14.1" customHeight="1" x14ac:dyDescent="0.25">
      <c r="A4" s="3">
        <v>4</v>
      </c>
      <c r="B4" s="351"/>
      <c r="C4" s="138"/>
      <c r="D4" s="138"/>
      <c r="E4" s="138"/>
      <c r="F4" s="138"/>
      <c r="G4" s="138"/>
      <c r="H4" s="138"/>
      <c r="I4" s="138"/>
      <c r="J4" s="138"/>
      <c r="K4" s="138"/>
      <c r="L4" s="138"/>
      <c r="M4" s="353"/>
      <c r="O4" s="14"/>
      <c r="Y4" s="15"/>
      <c r="AA4" s="2" t="s">
        <v>4</v>
      </c>
      <c r="AB4" s="18" t="s">
        <v>5</v>
      </c>
    </row>
    <row r="5" spans="1:30" ht="14.1" customHeight="1" x14ac:dyDescent="0.25">
      <c r="A5" s="3">
        <v>5</v>
      </c>
      <c r="B5" s="351"/>
      <c r="C5" s="138"/>
      <c r="D5" s="138"/>
      <c r="E5" s="138"/>
      <c r="F5" s="138"/>
      <c r="G5" s="138"/>
      <c r="H5" s="352" t="s">
        <v>6</v>
      </c>
      <c r="I5" s="138"/>
      <c r="J5" s="138"/>
      <c r="K5" s="138"/>
      <c r="L5" s="138"/>
      <c r="M5" s="353"/>
      <c r="O5" s="14"/>
      <c r="T5" s="12" t="s">
        <v>6</v>
      </c>
      <c r="Y5" s="15"/>
    </row>
    <row r="6" spans="1:30" ht="14.1" customHeight="1" x14ac:dyDescent="0.25">
      <c r="A6" s="3">
        <v>6</v>
      </c>
      <c r="B6" s="354"/>
      <c r="C6" s="355"/>
      <c r="D6" s="355"/>
      <c r="E6" s="355"/>
      <c r="F6" s="355"/>
      <c r="G6" s="355"/>
      <c r="H6" s="355"/>
      <c r="I6" s="355"/>
      <c r="J6" s="355"/>
      <c r="K6" s="355"/>
      <c r="L6" s="355"/>
      <c r="M6" s="356"/>
      <c r="O6" s="22"/>
      <c r="P6" s="23"/>
      <c r="Q6" s="23"/>
      <c r="R6" s="23"/>
      <c r="S6" s="23"/>
      <c r="T6" s="23"/>
      <c r="U6" s="23"/>
      <c r="V6" s="23"/>
      <c r="W6" s="23"/>
      <c r="X6" s="23"/>
      <c r="Y6" s="24"/>
      <c r="AA6" s="25" t="s">
        <v>7</v>
      </c>
      <c r="AB6" s="1" t="s">
        <v>8</v>
      </c>
      <c r="AD6" s="1" t="s">
        <v>9</v>
      </c>
    </row>
    <row r="7" spans="1:30" ht="14.1" customHeight="1" x14ac:dyDescent="0.25">
      <c r="A7" s="3">
        <v>7</v>
      </c>
      <c r="O7" s="1" t="s">
        <v>10</v>
      </c>
      <c r="P7" s="26"/>
      <c r="Q7" s="27"/>
      <c r="W7" s="1" t="s">
        <v>11</v>
      </c>
      <c r="X7" s="28" t="str">
        <f>IF(Y7&lt;&gt;"",Y7,IF(AB9="","",AB9))</f>
        <v>Eugene Mah</v>
      </c>
      <c r="Y7" s="29" t="s">
        <v>12</v>
      </c>
      <c r="AA7" s="2" t="s">
        <v>0</v>
      </c>
      <c r="AB7" s="30"/>
      <c r="AC7" s="31" t="str">
        <f t="shared" ref="AC7:AC19" si="0">IF(AB7&lt;&gt;AD7,"Change","")</f>
        <v>Change</v>
      </c>
      <c r="AD7" s="32" t="str">
        <f>IF(OR(AA2="",AA2=0),"",AA2)</f>
        <v>Page1,HVLPage,ExpChart,ImgQuality,Compg1,GraphAcryl,LeedsTO10</v>
      </c>
    </row>
    <row r="8" spans="1:30" ht="14.1" customHeight="1" x14ac:dyDescent="0.25">
      <c r="A8" s="3">
        <v>8</v>
      </c>
      <c r="H8" s="33" t="s">
        <v>13</v>
      </c>
      <c r="O8" s="1" t="s">
        <v>14</v>
      </c>
      <c r="P8" s="34" t="str">
        <f>IF(AB8="","",AB8)</f>
        <v/>
      </c>
      <c r="Q8" s="35"/>
      <c r="T8" s="33" t="s">
        <v>13</v>
      </c>
      <c r="W8" s="36"/>
      <c r="X8" s="36"/>
      <c r="Y8" s="37"/>
      <c r="AA8" s="2" t="s">
        <v>15</v>
      </c>
      <c r="AB8" s="38"/>
      <c r="AC8" s="31" t="str">
        <f t="shared" si="0"/>
        <v/>
      </c>
      <c r="AD8" s="39" t="str">
        <f>IF(P7="","",P7)</f>
        <v/>
      </c>
    </row>
    <row r="9" spans="1:30" ht="14.1" customHeight="1" x14ac:dyDescent="0.25">
      <c r="A9" s="3">
        <v>9</v>
      </c>
      <c r="B9" s="357"/>
      <c r="C9" s="358"/>
      <c r="D9" s="359" t="s">
        <v>16</v>
      </c>
      <c r="E9" s="358"/>
      <c r="F9" s="358"/>
      <c r="G9" s="358"/>
      <c r="H9" s="358"/>
      <c r="I9" s="358"/>
      <c r="J9" s="358"/>
      <c r="K9" s="358"/>
      <c r="L9" s="358"/>
      <c r="M9" s="360"/>
      <c r="O9" s="40"/>
      <c r="P9" s="41" t="s">
        <v>16</v>
      </c>
      <c r="Q9" s="8"/>
      <c r="R9" s="8"/>
      <c r="S9" s="42" t="s">
        <v>17</v>
      </c>
      <c r="T9" s="8"/>
      <c r="U9" s="8"/>
      <c r="V9" s="8"/>
      <c r="W9" s="42" t="s">
        <v>17</v>
      </c>
      <c r="X9" s="8"/>
      <c r="Y9" s="9"/>
      <c r="AA9" s="2" t="s">
        <v>18</v>
      </c>
      <c r="AB9" s="43"/>
      <c r="AC9" s="31" t="str">
        <f t="shared" si="0"/>
        <v>Change</v>
      </c>
      <c r="AD9" s="44" t="str">
        <f>IF(X7="","",X7)</f>
        <v>Eugene Mah</v>
      </c>
    </row>
    <row r="10" spans="1:30" ht="14.1" customHeight="1" x14ac:dyDescent="0.25">
      <c r="A10" s="3">
        <v>10</v>
      </c>
      <c r="B10" s="361"/>
      <c r="C10" s="45"/>
      <c r="D10" s="45"/>
      <c r="E10" s="165" t="s">
        <v>19</v>
      </c>
      <c r="F10" s="628" t="str">
        <f>IF(R10="","",R10)</f>
        <v/>
      </c>
      <c r="G10" s="628"/>
      <c r="H10" s="45"/>
      <c r="I10" s="45"/>
      <c r="J10" s="165" t="s">
        <v>20</v>
      </c>
      <c r="K10" s="621" t="str">
        <f>IF(V10="","",V10)</f>
        <v/>
      </c>
      <c r="L10" s="621"/>
      <c r="M10" s="362"/>
      <c r="O10" s="14"/>
      <c r="Q10" s="2" t="s">
        <v>19</v>
      </c>
      <c r="R10" s="28" t="str">
        <f>IF(S10&lt;&gt;"",S10,IF(AB10="","",AB10))</f>
        <v/>
      </c>
      <c r="S10" s="29"/>
      <c r="U10" s="2" t="s">
        <v>20</v>
      </c>
      <c r="V10" s="28" t="str">
        <f>IF(W10&lt;&gt;"",W10,IF(AB15="","",AB15))</f>
        <v/>
      </c>
      <c r="W10" s="29"/>
      <c r="Y10" s="15"/>
      <c r="AA10" s="2" t="s">
        <v>19</v>
      </c>
      <c r="AB10" s="43"/>
      <c r="AC10" s="31" t="str">
        <f t="shared" si="0"/>
        <v/>
      </c>
      <c r="AD10" s="44" t="str">
        <f>IF(R10="","",R10)</f>
        <v/>
      </c>
    </row>
    <row r="11" spans="1:30" ht="14.1" customHeight="1" x14ac:dyDescent="0.25">
      <c r="A11" s="3">
        <v>11</v>
      </c>
      <c r="B11" s="361"/>
      <c r="C11" s="45"/>
      <c r="D11" s="45"/>
      <c r="E11" s="165" t="s">
        <v>21</v>
      </c>
      <c r="F11" s="622" t="str">
        <f>IF(R11="","",R11)</f>
        <v/>
      </c>
      <c r="G11" s="622"/>
      <c r="H11" s="45"/>
      <c r="I11" s="45"/>
      <c r="J11" s="165" t="s">
        <v>22</v>
      </c>
      <c r="K11" s="622" t="str">
        <f>IF(V11="","",V11)</f>
        <v/>
      </c>
      <c r="L11" s="622"/>
      <c r="M11" s="362"/>
      <c r="O11" s="14"/>
      <c r="Q11" s="2" t="s">
        <v>21</v>
      </c>
      <c r="R11" s="28" t="str">
        <f>IF(S11&lt;&gt;"",S11,IF(AB11="","",AB11))</f>
        <v/>
      </c>
      <c r="S11" s="29"/>
      <c r="U11" s="2" t="s">
        <v>22</v>
      </c>
      <c r="V11" s="28" t="str">
        <f>IF(W11&lt;&gt;"",W11,IF(AB16="","",AB16))</f>
        <v/>
      </c>
      <c r="W11" s="29"/>
      <c r="Y11" s="15"/>
      <c r="AA11" s="2" t="s">
        <v>21</v>
      </c>
      <c r="AB11" s="43"/>
      <c r="AC11" s="31" t="str">
        <f t="shared" si="0"/>
        <v/>
      </c>
      <c r="AD11" s="44" t="str">
        <f>IF(R11="","",R11)</f>
        <v/>
      </c>
    </row>
    <row r="12" spans="1:30" ht="14.1" customHeight="1" x14ac:dyDescent="0.25">
      <c r="A12" s="3">
        <v>12</v>
      </c>
      <c r="B12" s="361"/>
      <c r="C12" s="45"/>
      <c r="D12" s="45"/>
      <c r="E12" s="165" t="s">
        <v>23</v>
      </c>
      <c r="F12" s="622" t="str">
        <f>IF(R12="","",R12)</f>
        <v/>
      </c>
      <c r="G12" s="622"/>
      <c r="H12" s="45"/>
      <c r="I12" s="45"/>
      <c r="J12" s="165" t="s">
        <v>24</v>
      </c>
      <c r="K12" s="629" t="str">
        <f>IF(V12="","",V12)</f>
        <v/>
      </c>
      <c r="L12" s="629"/>
      <c r="M12" s="362"/>
      <c r="O12" s="14"/>
      <c r="Q12" s="2" t="s">
        <v>23</v>
      </c>
      <c r="R12" s="28" t="str">
        <f>IF(S12&lt;&gt;"",S12,IF(AB12="","",AB12))</f>
        <v/>
      </c>
      <c r="S12" s="29"/>
      <c r="U12" s="2" t="s">
        <v>24</v>
      </c>
      <c r="V12" s="48" t="str">
        <f>IF(W12&lt;&gt;"",W12,IF(AB17="","",AB17))</f>
        <v/>
      </c>
      <c r="W12" s="49"/>
      <c r="Y12" s="15"/>
      <c r="AA12" s="2" t="s">
        <v>23</v>
      </c>
      <c r="AB12" s="43"/>
      <c r="AC12" s="31" t="str">
        <f t="shared" si="0"/>
        <v/>
      </c>
      <c r="AD12" s="44" t="str">
        <f>IF(R12="","",R12)</f>
        <v/>
      </c>
    </row>
    <row r="13" spans="1:30" ht="14.1" customHeight="1" x14ac:dyDescent="0.25">
      <c r="A13" s="3">
        <v>13</v>
      </c>
      <c r="B13" s="361"/>
      <c r="C13" s="45"/>
      <c r="D13" s="45"/>
      <c r="E13" s="165" t="s">
        <v>25</v>
      </c>
      <c r="F13" s="623" t="str">
        <f>IF(R13="","",R13)</f>
        <v/>
      </c>
      <c r="G13" s="623"/>
      <c r="H13" s="45"/>
      <c r="I13" s="45"/>
      <c r="J13" s="165" t="s">
        <v>26</v>
      </c>
      <c r="K13" s="623" t="str">
        <f>IF(V13="","",V13)</f>
        <v/>
      </c>
      <c r="L13" s="623"/>
      <c r="M13" s="362"/>
      <c r="O13" s="14"/>
      <c r="Q13" s="2" t="s">
        <v>25</v>
      </c>
      <c r="R13" s="50" t="str">
        <f>IF(S13&lt;&gt;"",S13,IF(AB13="","",AB13))</f>
        <v/>
      </c>
      <c r="S13" s="51"/>
      <c r="U13" s="2" t="s">
        <v>26</v>
      </c>
      <c r="V13" s="50" t="str">
        <f>IF(W13&lt;&gt;"",W13,IF(AB18="","",AB18))</f>
        <v/>
      </c>
      <c r="W13" s="51"/>
      <c r="Y13" s="15"/>
      <c r="AA13" s="2" t="s">
        <v>25</v>
      </c>
      <c r="AB13" s="43"/>
      <c r="AC13" s="31" t="str">
        <f t="shared" si="0"/>
        <v/>
      </c>
      <c r="AD13" s="44" t="str">
        <f>IF(R13="","",R13)</f>
        <v/>
      </c>
    </row>
    <row r="14" spans="1:30" ht="14.1" customHeight="1" x14ac:dyDescent="0.25">
      <c r="A14" s="3">
        <v>14</v>
      </c>
      <c r="B14" s="361"/>
      <c r="C14" s="45"/>
      <c r="D14" s="45"/>
      <c r="E14" s="45"/>
      <c r="F14" s="45"/>
      <c r="G14" s="45"/>
      <c r="H14" s="45"/>
      <c r="I14" s="45"/>
      <c r="J14" s="45"/>
      <c r="K14" s="45"/>
      <c r="L14" s="45"/>
      <c r="M14" s="362"/>
      <c r="O14" s="14"/>
      <c r="Q14" s="2" t="s">
        <v>27</v>
      </c>
      <c r="R14" s="28" t="str">
        <f>IF(S14&lt;&gt;"",S14,IF(AB14="","",AB14))</f>
        <v/>
      </c>
      <c r="S14" s="29"/>
      <c r="U14" s="2" t="s">
        <v>28</v>
      </c>
      <c r="V14" s="50" t="str">
        <f>IF(W14&lt;&gt;"",W14,IF(AB19="","",AB19))</f>
        <v/>
      </c>
      <c r="W14" s="51"/>
      <c r="Y14" s="15"/>
      <c r="AA14" s="2" t="s">
        <v>27</v>
      </c>
      <c r="AB14" s="43"/>
      <c r="AC14" s="31" t="str">
        <f t="shared" si="0"/>
        <v/>
      </c>
      <c r="AD14" s="44" t="str">
        <f>IF(R14="","",R14)</f>
        <v/>
      </c>
    </row>
    <row r="15" spans="1:30" ht="14.1" customHeight="1" x14ac:dyDescent="0.25">
      <c r="A15" s="3">
        <v>15</v>
      </c>
      <c r="B15" s="361"/>
      <c r="C15" s="45"/>
      <c r="D15" s="363" t="s">
        <v>29</v>
      </c>
      <c r="E15" s="45"/>
      <c r="F15" s="45"/>
      <c r="G15" s="45"/>
      <c r="H15" s="45"/>
      <c r="I15" s="45"/>
      <c r="J15" s="45"/>
      <c r="K15" s="45"/>
      <c r="L15" s="45"/>
      <c r="M15" s="362"/>
      <c r="O15" s="14"/>
      <c r="Y15" s="15"/>
      <c r="AA15" s="2" t="s">
        <v>20</v>
      </c>
      <c r="AB15" s="43"/>
      <c r="AC15" s="31" t="str">
        <f t="shared" si="0"/>
        <v/>
      </c>
      <c r="AD15" s="44" t="str">
        <f>IF(V10="","",V10)</f>
        <v/>
      </c>
    </row>
    <row r="16" spans="1:30" ht="14.1" customHeight="1" x14ac:dyDescent="0.25">
      <c r="A16" s="3">
        <v>16</v>
      </c>
      <c r="B16" s="361"/>
      <c r="C16" s="45"/>
      <c r="D16" s="45"/>
      <c r="E16" s="165" t="s">
        <v>30</v>
      </c>
      <c r="F16" s="628" t="str">
        <f>IF(R17="","",R17)</f>
        <v/>
      </c>
      <c r="G16" s="628"/>
      <c r="H16" s="45"/>
      <c r="I16" s="45"/>
      <c r="J16" s="165" t="s">
        <v>31</v>
      </c>
      <c r="K16" s="630" t="str">
        <f>IF(V17="","",V17)</f>
        <v/>
      </c>
      <c r="L16" s="630"/>
      <c r="M16" s="362"/>
      <c r="O16" s="14"/>
      <c r="P16" s="53" t="s">
        <v>29</v>
      </c>
      <c r="Y16" s="15"/>
      <c r="AA16" s="2" t="s">
        <v>22</v>
      </c>
      <c r="AB16" s="43"/>
      <c r="AC16" s="31" t="str">
        <f t="shared" si="0"/>
        <v/>
      </c>
      <c r="AD16" s="44" t="str">
        <f>IF(V11="","",V11)</f>
        <v/>
      </c>
    </row>
    <row r="17" spans="1:30" ht="14.1" customHeight="1" x14ac:dyDescent="0.25">
      <c r="A17" s="3">
        <v>17</v>
      </c>
      <c r="B17" s="361"/>
      <c r="C17" s="45"/>
      <c r="D17" s="45"/>
      <c r="E17" s="165" t="s">
        <v>32</v>
      </c>
      <c r="F17" s="622" t="str">
        <f>IF(R18="","",R18)</f>
        <v/>
      </c>
      <c r="G17" s="622"/>
      <c r="H17" s="45"/>
      <c r="I17" s="45"/>
      <c r="J17" s="165" t="s">
        <v>33</v>
      </c>
      <c r="K17" s="623" t="str">
        <f>IF(V18="","",V18)</f>
        <v/>
      </c>
      <c r="L17" s="623"/>
      <c r="M17" s="362"/>
      <c r="O17" s="14"/>
      <c r="Q17" s="2" t="s">
        <v>30</v>
      </c>
      <c r="R17" s="28" t="str">
        <f>IF(S17&lt;&gt;"",S17,IF(AB21="","",AB21))</f>
        <v/>
      </c>
      <c r="S17" s="29"/>
      <c r="U17" s="2" t="s">
        <v>31</v>
      </c>
      <c r="V17" s="48" t="str">
        <f>IF(W17&lt;&gt;"",W17,IF(AB24="","",AB24))</f>
        <v/>
      </c>
      <c r="W17" s="49"/>
      <c r="Y17" s="15"/>
      <c r="AA17" s="2" t="s">
        <v>24</v>
      </c>
      <c r="AB17" s="54"/>
      <c r="AC17" s="31" t="str">
        <f t="shared" si="0"/>
        <v/>
      </c>
      <c r="AD17" s="55" t="str">
        <f>IF(V12="","",V12)</f>
        <v/>
      </c>
    </row>
    <row r="18" spans="1:30" ht="14.1" customHeight="1" x14ac:dyDescent="0.25">
      <c r="A18" s="3">
        <v>18</v>
      </c>
      <c r="B18" s="361"/>
      <c r="C18" s="45"/>
      <c r="D18" s="45"/>
      <c r="E18" s="165" t="s">
        <v>34</v>
      </c>
      <c r="F18" s="623" t="str">
        <f>IF(R19="","",R19)</f>
        <v/>
      </c>
      <c r="G18" s="623"/>
      <c r="H18" s="45"/>
      <c r="I18" s="45"/>
      <c r="J18" s="165" t="s">
        <v>35</v>
      </c>
      <c r="K18" s="623" t="str">
        <f>IF(V19="","",V19)</f>
        <v/>
      </c>
      <c r="L18" s="623"/>
      <c r="M18" s="362"/>
      <c r="O18" s="14"/>
      <c r="Q18" s="2" t="s">
        <v>32</v>
      </c>
      <c r="R18" s="28" t="str">
        <f>IF(S18&lt;&gt;"",S18,IF(AB22="","",AB22))</f>
        <v/>
      </c>
      <c r="S18" s="29"/>
      <c r="U18" s="2" t="s">
        <v>33</v>
      </c>
      <c r="V18" s="50" t="str">
        <f>IF(W18&lt;&gt;"",W18,IF(AB25="","",AB25))</f>
        <v/>
      </c>
      <c r="W18" s="29"/>
      <c r="Y18" s="15"/>
      <c r="AA18" s="2" t="s">
        <v>26</v>
      </c>
      <c r="AB18" s="43"/>
      <c r="AC18" s="31" t="str">
        <f t="shared" si="0"/>
        <v/>
      </c>
      <c r="AD18" s="44" t="str">
        <f>IF(V13="","",V13)</f>
        <v/>
      </c>
    </row>
    <row r="19" spans="1:30" ht="14.1" customHeight="1" x14ac:dyDescent="0.25">
      <c r="A19" s="3">
        <v>19</v>
      </c>
      <c r="B19" s="361"/>
      <c r="C19" s="45"/>
      <c r="D19" s="45"/>
      <c r="E19" s="45"/>
      <c r="F19" s="45"/>
      <c r="G19" s="45"/>
      <c r="H19" s="45"/>
      <c r="I19" s="45"/>
      <c r="J19" s="165" t="s">
        <v>36</v>
      </c>
      <c r="K19" s="623" t="str">
        <f>IF(V20="","",V20)</f>
        <v/>
      </c>
      <c r="L19" s="623"/>
      <c r="M19" s="362"/>
      <c r="O19" s="14"/>
      <c r="Q19" s="2" t="s">
        <v>34</v>
      </c>
      <c r="R19" s="50" t="str">
        <f>IF(S19&lt;&gt;"",S19,IF(AB23="","",AB23))</f>
        <v/>
      </c>
      <c r="S19" s="29"/>
      <c r="U19" s="2" t="s">
        <v>35</v>
      </c>
      <c r="V19" s="50" t="str">
        <f>IF(W19&lt;&gt;"",W19,IF(AB26="","",AB26))</f>
        <v/>
      </c>
      <c r="W19" s="29"/>
      <c r="Y19" s="15"/>
      <c r="AA19" s="2" t="s">
        <v>37</v>
      </c>
      <c r="AB19" s="43"/>
      <c r="AC19" s="31" t="str">
        <f t="shared" si="0"/>
        <v/>
      </c>
      <c r="AD19" s="44" t="str">
        <f>IF(V14="","",V14)</f>
        <v/>
      </c>
    </row>
    <row r="20" spans="1:30" ht="14.1" customHeight="1" x14ac:dyDescent="0.25">
      <c r="A20" s="3">
        <v>20</v>
      </c>
      <c r="B20" s="361"/>
      <c r="C20" s="45"/>
      <c r="D20" s="363" t="s">
        <v>38</v>
      </c>
      <c r="E20" s="45"/>
      <c r="F20" s="45"/>
      <c r="G20" s="45"/>
      <c r="H20" s="45"/>
      <c r="I20" s="45"/>
      <c r="J20" s="207"/>
      <c r="K20" s="207"/>
      <c r="L20" s="207"/>
      <c r="M20" s="362"/>
      <c r="O20" s="14"/>
      <c r="U20" s="2" t="s">
        <v>36</v>
      </c>
      <c r="V20" s="50" t="str">
        <f>IF(W20&lt;&gt;"",W20,IF(AB27="","",AB27))</f>
        <v/>
      </c>
      <c r="W20" s="29"/>
      <c r="Y20" s="15"/>
      <c r="AA20" s="25" t="s">
        <v>29</v>
      </c>
    </row>
    <row r="21" spans="1:30" ht="14.1" customHeight="1" x14ac:dyDescent="0.25">
      <c r="A21" s="3">
        <v>21</v>
      </c>
      <c r="B21" s="361"/>
      <c r="C21" s="45"/>
      <c r="D21" s="45"/>
      <c r="E21" s="165" t="s">
        <v>39</v>
      </c>
      <c r="F21" s="628" t="str">
        <f>IF(R22="","",R22)</f>
        <v/>
      </c>
      <c r="G21" s="628"/>
      <c r="H21" s="45"/>
      <c r="I21" s="45"/>
      <c r="J21" s="76" t="s">
        <v>40</v>
      </c>
      <c r="K21" s="45"/>
      <c r="L21" s="45"/>
      <c r="M21" s="362"/>
      <c r="O21" s="14"/>
      <c r="P21" s="53" t="s">
        <v>38</v>
      </c>
      <c r="U21" s="56"/>
      <c r="V21" s="56"/>
      <c r="W21" s="56"/>
      <c r="Y21" s="15"/>
      <c r="AA21" s="2" t="s">
        <v>30</v>
      </c>
      <c r="AB21" s="43"/>
      <c r="AC21" s="31" t="str">
        <f t="shared" ref="AC21:AC27" si="1">IF(AB21&lt;&gt;AD21,"Change","")</f>
        <v/>
      </c>
      <c r="AD21" s="44" t="str">
        <f>IF(R17="","",R17)</f>
        <v/>
      </c>
    </row>
    <row r="22" spans="1:30" ht="14.1" customHeight="1" x14ac:dyDescent="0.25">
      <c r="A22" s="3">
        <v>22</v>
      </c>
      <c r="B22" s="361"/>
      <c r="C22" s="45"/>
      <c r="D22" s="45"/>
      <c r="E22" s="165" t="s">
        <v>31</v>
      </c>
      <c r="F22" s="629" t="str">
        <f>IF(R23="","",R23)</f>
        <v/>
      </c>
      <c r="G22" s="629"/>
      <c r="H22" s="45"/>
      <c r="I22" s="45"/>
      <c r="J22" s="165" t="s">
        <v>41</v>
      </c>
      <c r="K22" s="628" t="str">
        <f>IF(V23="","",V23)</f>
        <v/>
      </c>
      <c r="L22" s="628"/>
      <c r="M22" s="362"/>
      <c r="O22" s="14"/>
      <c r="Q22" s="2" t="s">
        <v>39</v>
      </c>
      <c r="R22" s="28" t="str">
        <f>IF(S22&lt;&gt;"",S22,IF(AB29="","",AB29))</f>
        <v/>
      </c>
      <c r="S22" s="29"/>
      <c r="U22" s="57" t="s">
        <v>40</v>
      </c>
      <c r="Y22" s="15"/>
      <c r="AA22" s="2" t="s">
        <v>32</v>
      </c>
      <c r="AB22" s="43"/>
      <c r="AC22" s="31" t="str">
        <f t="shared" si="1"/>
        <v/>
      </c>
      <c r="AD22" s="44" t="str">
        <f>IF(R18="","",R18)</f>
        <v/>
      </c>
    </row>
    <row r="23" spans="1:30" ht="14.1" customHeight="1" x14ac:dyDescent="0.25">
      <c r="A23" s="3">
        <v>23</v>
      </c>
      <c r="B23" s="361"/>
      <c r="C23" s="45"/>
      <c r="D23" s="363" t="s">
        <v>42</v>
      </c>
      <c r="E23" s="45"/>
      <c r="F23" s="45"/>
      <c r="G23" s="45"/>
      <c r="H23" s="45"/>
      <c r="I23" s="45"/>
      <c r="J23" s="165" t="s">
        <v>43</v>
      </c>
      <c r="K23" s="622" t="str">
        <f>IF(V24="","",V24)</f>
        <v/>
      </c>
      <c r="L23" s="622"/>
      <c r="M23" s="362"/>
      <c r="O23" s="14"/>
      <c r="Q23" s="2" t="s">
        <v>31</v>
      </c>
      <c r="R23" s="48" t="str">
        <f>IF(S23&lt;&gt;"",S23,IF(AB30="","",AB30))</f>
        <v/>
      </c>
      <c r="S23" s="49"/>
      <c r="U23" s="2" t="s">
        <v>41</v>
      </c>
      <c r="V23" s="28" t="str">
        <f>IF(W23&lt;&gt;"",W23,IF(AB37="","",AB37))</f>
        <v/>
      </c>
      <c r="W23" s="29"/>
      <c r="Y23" s="15"/>
      <c r="AA23" s="2" t="s">
        <v>34</v>
      </c>
      <c r="AB23" s="43"/>
      <c r="AC23" s="31" t="str">
        <f t="shared" si="1"/>
        <v/>
      </c>
      <c r="AD23" s="44" t="str">
        <f>IF(R19="","",R19)</f>
        <v/>
      </c>
    </row>
    <row r="24" spans="1:30" ht="14.1" customHeight="1" x14ac:dyDescent="0.25">
      <c r="A24" s="3">
        <v>24</v>
      </c>
      <c r="B24" s="361"/>
      <c r="C24" s="45"/>
      <c r="D24" s="45"/>
      <c r="E24" s="165" t="s">
        <v>30</v>
      </c>
      <c r="F24" s="621" t="str">
        <f>IF(R25="","",R25)</f>
        <v/>
      </c>
      <c r="G24" s="621"/>
      <c r="H24" s="45"/>
      <c r="I24" s="45"/>
      <c r="J24" s="165" t="s">
        <v>44</v>
      </c>
      <c r="K24" s="622" t="str">
        <f>IF(V25="","",V25)</f>
        <v/>
      </c>
      <c r="L24" s="622"/>
      <c r="M24" s="362"/>
      <c r="O24" s="14"/>
      <c r="P24" s="53" t="s">
        <v>42</v>
      </c>
      <c r="U24" s="2" t="s">
        <v>43</v>
      </c>
      <c r="V24" s="28" t="str">
        <f>IF(W24&lt;&gt;"",W24,IF(AB38="","",AB38))</f>
        <v/>
      </c>
      <c r="W24" s="29"/>
      <c r="Y24" s="15"/>
      <c r="AA24" s="2" t="s">
        <v>31</v>
      </c>
      <c r="AB24" s="54"/>
      <c r="AC24" s="31" t="str">
        <f t="shared" si="1"/>
        <v/>
      </c>
      <c r="AD24" s="55" t="str">
        <f>IF(V17="","",V17)</f>
        <v/>
      </c>
    </row>
    <row r="25" spans="1:30" ht="14.1" customHeight="1" x14ac:dyDescent="0.25">
      <c r="A25" s="3">
        <v>25</v>
      </c>
      <c r="B25" s="361"/>
      <c r="C25" s="45"/>
      <c r="D25" s="45"/>
      <c r="E25" s="165" t="s">
        <v>32</v>
      </c>
      <c r="F25" s="623" t="str">
        <f>IF(R26="","",R26)</f>
        <v/>
      </c>
      <c r="G25" s="623"/>
      <c r="H25" s="45"/>
      <c r="I25" s="45"/>
      <c r="J25" s="45"/>
      <c r="K25" s="45"/>
      <c r="L25" s="45"/>
      <c r="M25" s="362"/>
      <c r="O25" s="14"/>
      <c r="Q25" s="2" t="s">
        <v>30</v>
      </c>
      <c r="R25" s="50" t="str">
        <f>IF(S25&lt;&gt;"",S25,IF(AB31="","",AB31))</f>
        <v/>
      </c>
      <c r="S25" s="29"/>
      <c r="U25" s="2" t="s">
        <v>44</v>
      </c>
      <c r="V25" s="28" t="str">
        <f>IF(W25&lt;&gt;"",W25,IF(AB39="","",AB39))</f>
        <v/>
      </c>
      <c r="W25" s="29"/>
      <c r="Y25" s="15"/>
      <c r="AA25" s="2" t="s">
        <v>33</v>
      </c>
      <c r="AB25" s="43"/>
      <c r="AC25" s="31" t="str">
        <f t="shared" si="1"/>
        <v/>
      </c>
      <c r="AD25" s="44" t="str">
        <f>IF(V18="","",V18)</f>
        <v/>
      </c>
    </row>
    <row r="26" spans="1:30" ht="14.1" customHeight="1" x14ac:dyDescent="0.25">
      <c r="A26" s="3">
        <v>26</v>
      </c>
      <c r="B26" s="361"/>
      <c r="C26" s="45"/>
      <c r="D26" s="45"/>
      <c r="E26" s="165" t="s">
        <v>33</v>
      </c>
      <c r="F26" s="623" t="str">
        <f>IF(R27="","",R27)</f>
        <v/>
      </c>
      <c r="G26" s="623"/>
      <c r="H26" s="45"/>
      <c r="I26" s="45"/>
      <c r="J26" s="363" t="s">
        <v>45</v>
      </c>
      <c r="K26" s="45"/>
      <c r="L26" s="45"/>
      <c r="M26" s="362"/>
      <c r="O26" s="14"/>
      <c r="Q26" s="2" t="s">
        <v>32</v>
      </c>
      <c r="R26" s="50" t="str">
        <f>IF(S26&lt;&gt;"",S26,IF(AB32="","",AB32))</f>
        <v/>
      </c>
      <c r="S26" s="51"/>
      <c r="Y26" s="15"/>
      <c r="AA26" s="2" t="s">
        <v>35</v>
      </c>
      <c r="AB26" s="43"/>
      <c r="AC26" s="31" t="str">
        <f t="shared" si="1"/>
        <v/>
      </c>
      <c r="AD26" s="44" t="str">
        <f>IF(V19="","",V19)</f>
        <v/>
      </c>
    </row>
    <row r="27" spans="1:30" ht="14.1" customHeight="1" x14ac:dyDescent="0.25">
      <c r="A27" s="3">
        <v>27</v>
      </c>
      <c r="B27" s="361"/>
      <c r="C27" s="45"/>
      <c r="D27" s="363" t="s">
        <v>46</v>
      </c>
      <c r="E27" s="45"/>
      <c r="F27" s="45"/>
      <c r="G27" s="45"/>
      <c r="H27" s="45"/>
      <c r="I27" s="45"/>
      <c r="J27" s="165" t="s">
        <v>47</v>
      </c>
      <c r="K27" s="628" t="str">
        <f>IF(V28="","",V28)</f>
        <v/>
      </c>
      <c r="L27" s="628"/>
      <c r="M27" s="362"/>
      <c r="O27" s="14"/>
      <c r="Q27" s="2" t="s">
        <v>33</v>
      </c>
      <c r="R27" s="50" t="str">
        <f>IF(S27&lt;&gt;"",S27,IF(AB33="","",AB33))</f>
        <v/>
      </c>
      <c r="S27" s="51"/>
      <c r="U27" s="53" t="s">
        <v>45</v>
      </c>
      <c r="Y27" s="15"/>
      <c r="AA27" s="2" t="s">
        <v>36</v>
      </c>
      <c r="AB27" s="43"/>
      <c r="AC27" s="31" t="str">
        <f t="shared" si="1"/>
        <v/>
      </c>
      <c r="AD27" s="44" t="str">
        <f>IF(V20="","",V20)</f>
        <v/>
      </c>
    </row>
    <row r="28" spans="1:30" ht="14.1" customHeight="1" x14ac:dyDescent="0.25">
      <c r="A28" s="3">
        <v>28</v>
      </c>
      <c r="B28" s="361"/>
      <c r="C28" s="45"/>
      <c r="D28" s="45"/>
      <c r="E28" s="165" t="s">
        <v>30</v>
      </c>
      <c r="F28" s="621" t="str">
        <f>IF(R29="","",R29)</f>
        <v/>
      </c>
      <c r="G28" s="621"/>
      <c r="H28" s="45"/>
      <c r="I28" s="45"/>
      <c r="J28" s="165" t="s">
        <v>48</v>
      </c>
      <c r="K28" s="622" t="str">
        <f>IF(V29="","",V29)</f>
        <v/>
      </c>
      <c r="L28" s="622"/>
      <c r="M28" s="362"/>
      <c r="O28" s="14"/>
      <c r="P28" s="53" t="s">
        <v>46</v>
      </c>
      <c r="U28" s="2" t="s">
        <v>47</v>
      </c>
      <c r="V28" s="28" t="str">
        <f>IF(W28&lt;&gt;"",W28,IF(AB40="","",AB40))</f>
        <v/>
      </c>
      <c r="W28" s="29"/>
      <c r="Y28" s="15"/>
      <c r="AA28" s="53" t="s">
        <v>38</v>
      </c>
    </row>
    <row r="29" spans="1:30" ht="14.1" customHeight="1" x14ac:dyDescent="0.25">
      <c r="A29" s="3">
        <v>29</v>
      </c>
      <c r="B29" s="361"/>
      <c r="C29" s="45"/>
      <c r="D29" s="45"/>
      <c r="E29" s="165" t="s">
        <v>32</v>
      </c>
      <c r="F29" s="623" t="str">
        <f>IF(R30="","",R30)</f>
        <v/>
      </c>
      <c r="G29" s="623"/>
      <c r="H29" s="45"/>
      <c r="I29" s="45"/>
      <c r="J29" s="45"/>
      <c r="K29" s="45"/>
      <c r="L29" s="45"/>
      <c r="M29" s="362"/>
      <c r="O29" s="14"/>
      <c r="Q29" s="2" t="s">
        <v>30</v>
      </c>
      <c r="R29" s="50" t="str">
        <f>IF(S29&lt;&gt;"",S29,IF(AB34="","",AB34))</f>
        <v/>
      </c>
      <c r="S29" s="29"/>
      <c r="U29" s="2" t="s">
        <v>48</v>
      </c>
      <c r="V29" s="28" t="str">
        <f>IF(W29&lt;&gt;"",W29,IF(AB41="","",AB41))</f>
        <v/>
      </c>
      <c r="W29" s="29"/>
      <c r="Y29" s="15"/>
      <c r="AA29" s="2" t="s">
        <v>39</v>
      </c>
      <c r="AB29" s="43"/>
      <c r="AC29" s="31" t="str">
        <f t="shared" ref="AC29:AC41" si="2">IF(AB29&lt;&gt;AD29,"Change","")</f>
        <v/>
      </c>
      <c r="AD29" s="44" t="str">
        <f>IF(R22="","",R22)</f>
        <v/>
      </c>
    </row>
    <row r="30" spans="1:30" ht="14.1" customHeight="1" x14ac:dyDescent="0.25">
      <c r="A30" s="3">
        <v>30</v>
      </c>
      <c r="B30" s="361"/>
      <c r="C30" s="45"/>
      <c r="D30" s="45"/>
      <c r="E30" s="165" t="s">
        <v>33</v>
      </c>
      <c r="F30" s="623" t="str">
        <f>IF(R31="","",R31)</f>
        <v/>
      </c>
      <c r="G30" s="623"/>
      <c r="H30" s="45"/>
      <c r="I30" s="45"/>
      <c r="J30" s="45"/>
      <c r="K30" s="45"/>
      <c r="L30" s="45"/>
      <c r="M30" s="362"/>
      <c r="O30" s="14"/>
      <c r="Q30" s="2" t="s">
        <v>32</v>
      </c>
      <c r="R30" s="50" t="str">
        <f>IF(S30&lt;&gt;"",S30,IF(AB35="","",AB35))</f>
        <v/>
      </c>
      <c r="S30" s="51"/>
      <c r="U30" s="56"/>
      <c r="Y30" s="15"/>
      <c r="AA30" s="2" t="s">
        <v>31</v>
      </c>
      <c r="AB30" s="54"/>
      <c r="AC30" s="31" t="str">
        <f t="shared" si="2"/>
        <v/>
      </c>
      <c r="AD30" s="55" t="str">
        <f>IF(R23="","",R23)</f>
        <v/>
      </c>
    </row>
    <row r="31" spans="1:30" ht="14.1" customHeight="1" x14ac:dyDescent="0.25">
      <c r="A31" s="3">
        <v>31</v>
      </c>
      <c r="B31" s="361"/>
      <c r="C31" s="45"/>
      <c r="D31" s="45"/>
      <c r="E31" s="45"/>
      <c r="F31" s="45"/>
      <c r="G31" s="45"/>
      <c r="H31" s="45"/>
      <c r="I31" s="45"/>
      <c r="J31" s="45"/>
      <c r="K31" s="45"/>
      <c r="L31" s="45"/>
      <c r="M31" s="362"/>
      <c r="O31" s="14"/>
      <c r="Q31" s="2" t="s">
        <v>33</v>
      </c>
      <c r="R31" s="50" t="str">
        <f>IF(S31&lt;&gt;"",S31,IF(AB36="","",AB36))</f>
        <v/>
      </c>
      <c r="S31" s="51"/>
      <c r="U31" s="56"/>
      <c r="Y31" s="15"/>
      <c r="AA31" s="2" t="s">
        <v>30</v>
      </c>
      <c r="AB31" s="43"/>
      <c r="AC31" s="31" t="str">
        <f t="shared" si="2"/>
        <v/>
      </c>
      <c r="AD31" s="44" t="str">
        <f>IF(R25="","",R25)</f>
        <v/>
      </c>
    </row>
    <row r="32" spans="1:30" ht="14.1" customHeight="1" x14ac:dyDescent="0.25">
      <c r="A32" s="3">
        <v>32</v>
      </c>
      <c r="B32" s="361"/>
      <c r="C32" s="45"/>
      <c r="D32" s="363" t="s">
        <v>49</v>
      </c>
      <c r="E32" s="45"/>
      <c r="F32" s="45"/>
      <c r="G32" s="45"/>
      <c r="H32" s="45"/>
      <c r="I32" s="45"/>
      <c r="J32" s="45"/>
      <c r="K32" s="45"/>
      <c r="L32" s="45"/>
      <c r="M32" s="362"/>
      <c r="O32" s="14"/>
      <c r="U32" s="56"/>
      <c r="Y32" s="15"/>
      <c r="AA32" s="2" t="s">
        <v>32</v>
      </c>
      <c r="AB32" s="43"/>
      <c r="AC32" s="31" t="str">
        <f t="shared" si="2"/>
        <v/>
      </c>
      <c r="AD32" s="44" t="str">
        <f>IF(R26="","",R26)</f>
        <v/>
      </c>
    </row>
    <row r="33" spans="1:30" ht="14.1" customHeight="1" x14ac:dyDescent="0.25">
      <c r="A33" s="3">
        <v>33</v>
      </c>
      <c r="B33" s="361"/>
      <c r="C33" s="45"/>
      <c r="D33" s="45"/>
      <c r="E33" s="165" t="s">
        <v>39</v>
      </c>
      <c r="F33" s="628" t="str">
        <f>IF(R34="","",R34)</f>
        <v/>
      </c>
      <c r="G33" s="628"/>
      <c r="H33" s="45"/>
      <c r="I33" s="45"/>
      <c r="J33" s="76" t="s">
        <v>40</v>
      </c>
      <c r="K33" s="45"/>
      <c r="L33" s="45"/>
      <c r="M33" s="362"/>
      <c r="O33" s="14"/>
      <c r="P33" s="53" t="s">
        <v>49</v>
      </c>
      <c r="Y33" s="15"/>
      <c r="AA33" s="2" t="s">
        <v>33</v>
      </c>
      <c r="AB33" s="43"/>
      <c r="AC33" s="31" t="str">
        <f t="shared" si="2"/>
        <v/>
      </c>
      <c r="AD33" s="44" t="str">
        <f>IF(R27="","",R27)</f>
        <v/>
      </c>
    </row>
    <row r="34" spans="1:30" ht="14.1" customHeight="1" x14ac:dyDescent="0.25">
      <c r="A34" s="3">
        <v>34</v>
      </c>
      <c r="B34" s="361"/>
      <c r="C34" s="45"/>
      <c r="D34" s="45"/>
      <c r="E34" s="165" t="s">
        <v>31</v>
      </c>
      <c r="F34" s="629" t="str">
        <f>IF(R35="","",R35)</f>
        <v/>
      </c>
      <c r="G34" s="629"/>
      <c r="H34" s="45"/>
      <c r="I34" s="45"/>
      <c r="J34" s="165" t="s">
        <v>41</v>
      </c>
      <c r="K34" s="628" t="str">
        <f>IF(V35="","",V35)</f>
        <v/>
      </c>
      <c r="L34" s="628"/>
      <c r="M34" s="362"/>
      <c r="O34" s="14"/>
      <c r="Q34" s="2" t="s">
        <v>39</v>
      </c>
      <c r="R34" s="28" t="str">
        <f>IF(S34&lt;&gt;"",S34,IF(AB43="","",AB43))</f>
        <v/>
      </c>
      <c r="S34" s="29"/>
      <c r="U34" s="57" t="s">
        <v>40</v>
      </c>
      <c r="Y34" s="15"/>
      <c r="AA34" s="2" t="s">
        <v>30</v>
      </c>
      <c r="AB34" s="43"/>
      <c r="AC34" s="31" t="str">
        <f t="shared" si="2"/>
        <v/>
      </c>
      <c r="AD34" s="44" t="str">
        <f>IF(R29="","",R29)</f>
        <v/>
      </c>
    </row>
    <row r="35" spans="1:30" ht="14.1" customHeight="1" x14ac:dyDescent="0.25">
      <c r="A35" s="3">
        <v>35</v>
      </c>
      <c r="B35" s="361"/>
      <c r="C35" s="45"/>
      <c r="D35" s="363" t="s">
        <v>42</v>
      </c>
      <c r="E35" s="45"/>
      <c r="F35" s="45"/>
      <c r="G35" s="45"/>
      <c r="H35" s="45"/>
      <c r="I35" s="45"/>
      <c r="J35" s="165" t="s">
        <v>43</v>
      </c>
      <c r="K35" s="622" t="str">
        <f>IF(V36="","",V36)</f>
        <v/>
      </c>
      <c r="L35" s="622"/>
      <c r="M35" s="362"/>
      <c r="O35" s="14"/>
      <c r="Q35" s="2" t="s">
        <v>31</v>
      </c>
      <c r="R35" s="48" t="str">
        <f>IF(S35&lt;&gt;"",S35,IF(AB44="","",AB44))</f>
        <v/>
      </c>
      <c r="S35" s="49"/>
      <c r="U35" s="2" t="s">
        <v>41</v>
      </c>
      <c r="V35" s="28" t="str">
        <f>IF(W35&lt;&gt;"",W35,IF(AB51="","",AB51))</f>
        <v/>
      </c>
      <c r="W35" s="29"/>
      <c r="Y35" s="15"/>
      <c r="AA35" s="2" t="s">
        <v>32</v>
      </c>
      <c r="AB35" s="43"/>
      <c r="AC35" s="31" t="str">
        <f t="shared" si="2"/>
        <v/>
      </c>
      <c r="AD35" s="44" t="str">
        <f>IF(R30="","",R30)</f>
        <v/>
      </c>
    </row>
    <row r="36" spans="1:30" ht="14.1" customHeight="1" x14ac:dyDescent="0.25">
      <c r="A36" s="3">
        <v>36</v>
      </c>
      <c r="B36" s="361"/>
      <c r="C36" s="45"/>
      <c r="D36" s="45"/>
      <c r="E36" s="165" t="s">
        <v>30</v>
      </c>
      <c r="F36" s="621" t="str">
        <f>IF(R37="","",R37)</f>
        <v/>
      </c>
      <c r="G36" s="621"/>
      <c r="H36" s="45"/>
      <c r="I36" s="45"/>
      <c r="J36" s="165" t="s">
        <v>44</v>
      </c>
      <c r="K36" s="622" t="str">
        <f>IF(V37="","",V37)</f>
        <v/>
      </c>
      <c r="L36" s="622"/>
      <c r="M36" s="362"/>
      <c r="O36" s="14"/>
      <c r="P36" s="53" t="s">
        <v>42</v>
      </c>
      <c r="U36" s="2" t="s">
        <v>43</v>
      </c>
      <c r="V36" s="28" t="str">
        <f>IF(W36&lt;&gt;"",W36,IF(AB52="","",AB52))</f>
        <v/>
      </c>
      <c r="W36" s="29"/>
      <c r="Y36" s="15"/>
      <c r="AA36" s="2" t="s">
        <v>33</v>
      </c>
      <c r="AB36" s="43"/>
      <c r="AC36" s="31" t="str">
        <f t="shared" si="2"/>
        <v/>
      </c>
      <c r="AD36" s="44" t="str">
        <f>IF(R31="","",R31)</f>
        <v/>
      </c>
    </row>
    <row r="37" spans="1:30" ht="14.1" customHeight="1" x14ac:dyDescent="0.25">
      <c r="A37" s="3">
        <v>37</v>
      </c>
      <c r="B37" s="361"/>
      <c r="C37" s="45"/>
      <c r="D37" s="45"/>
      <c r="E37" s="165" t="s">
        <v>32</v>
      </c>
      <c r="F37" s="623" t="str">
        <f>IF(R38="","",R38)</f>
        <v/>
      </c>
      <c r="G37" s="623"/>
      <c r="H37" s="45"/>
      <c r="I37" s="45"/>
      <c r="J37" s="45"/>
      <c r="K37" s="45"/>
      <c r="L37" s="45"/>
      <c r="M37" s="362"/>
      <c r="O37" s="14"/>
      <c r="Q37" s="2" t="s">
        <v>30</v>
      </c>
      <c r="R37" s="50" t="str">
        <f>IF(S37&lt;&gt;"",S37,IF(AB45="","",AB45))</f>
        <v/>
      </c>
      <c r="S37" s="29"/>
      <c r="U37" s="2" t="s">
        <v>44</v>
      </c>
      <c r="V37" s="28" t="str">
        <f>IF(W37&lt;&gt;"",W37,IF(AB53="","",AB53))</f>
        <v/>
      </c>
      <c r="W37" s="29"/>
      <c r="Y37" s="15"/>
      <c r="AA37" s="2" t="s">
        <v>41</v>
      </c>
      <c r="AB37" s="43"/>
      <c r="AC37" s="31" t="str">
        <f t="shared" si="2"/>
        <v/>
      </c>
      <c r="AD37" s="44" t="str">
        <f>IF(V23="","",V23)</f>
        <v/>
      </c>
    </row>
    <row r="38" spans="1:30" ht="14.1" customHeight="1" x14ac:dyDescent="0.25">
      <c r="A38" s="3">
        <v>38</v>
      </c>
      <c r="B38" s="361"/>
      <c r="C38" s="45"/>
      <c r="D38" s="45"/>
      <c r="E38" s="165" t="s">
        <v>33</v>
      </c>
      <c r="F38" s="623" t="str">
        <f>IF(R39="","",R39)</f>
        <v/>
      </c>
      <c r="G38" s="623"/>
      <c r="H38" s="45"/>
      <c r="I38" s="45"/>
      <c r="J38" s="363" t="s">
        <v>45</v>
      </c>
      <c r="K38" s="45"/>
      <c r="L38" s="45"/>
      <c r="M38" s="362"/>
      <c r="O38" s="14"/>
      <c r="Q38" s="2" t="s">
        <v>32</v>
      </c>
      <c r="R38" s="50" t="str">
        <f>IF(S38&lt;&gt;"",S38,IF(AB46="","",AB46))</f>
        <v/>
      </c>
      <c r="S38" s="51"/>
      <c r="Y38" s="15"/>
      <c r="AA38" s="2" t="s">
        <v>43</v>
      </c>
      <c r="AB38" s="43"/>
      <c r="AC38" s="31" t="str">
        <f t="shared" si="2"/>
        <v/>
      </c>
      <c r="AD38" s="44" t="str">
        <f>IF(V24="","",V24)</f>
        <v/>
      </c>
    </row>
    <row r="39" spans="1:30" ht="14.1" customHeight="1" x14ac:dyDescent="0.25">
      <c r="A39" s="3">
        <v>39</v>
      </c>
      <c r="B39" s="361"/>
      <c r="C39" s="45"/>
      <c r="D39" s="45"/>
      <c r="E39" s="45"/>
      <c r="F39" s="45"/>
      <c r="G39" s="45"/>
      <c r="H39" s="45"/>
      <c r="I39" s="45"/>
      <c r="J39" s="165" t="s">
        <v>47</v>
      </c>
      <c r="K39" s="628" t="str">
        <f>IF(V40="","",V40)</f>
        <v/>
      </c>
      <c r="L39" s="628"/>
      <c r="M39" s="362"/>
      <c r="O39" s="14"/>
      <c r="Q39" s="2" t="s">
        <v>33</v>
      </c>
      <c r="R39" s="50" t="str">
        <f>IF(S39&lt;&gt;"",S39,IF(AB47="","",AB47))</f>
        <v/>
      </c>
      <c r="S39" s="51"/>
      <c r="U39" s="1" t="s">
        <v>45</v>
      </c>
      <c r="Y39" s="15"/>
      <c r="AA39" s="2" t="s">
        <v>44</v>
      </c>
      <c r="AB39" s="43"/>
      <c r="AC39" s="31" t="str">
        <f t="shared" si="2"/>
        <v/>
      </c>
      <c r="AD39" s="44" t="str">
        <f>IF(V25="","",V25)</f>
        <v/>
      </c>
    </row>
    <row r="40" spans="1:30" ht="14.1" customHeight="1" x14ac:dyDescent="0.25">
      <c r="A40" s="3">
        <v>40</v>
      </c>
      <c r="B40" s="361"/>
      <c r="C40" s="45"/>
      <c r="D40" s="45"/>
      <c r="E40" s="165" t="s">
        <v>30</v>
      </c>
      <c r="F40" s="621" t="str">
        <f>IF(R41="","",R41)</f>
        <v/>
      </c>
      <c r="G40" s="621"/>
      <c r="H40" s="45"/>
      <c r="I40" s="45"/>
      <c r="J40" s="165" t="s">
        <v>48</v>
      </c>
      <c r="K40" s="622" t="str">
        <f>IF(V41="","",V41)</f>
        <v/>
      </c>
      <c r="L40" s="622"/>
      <c r="M40" s="362"/>
      <c r="O40" s="14"/>
      <c r="P40" s="53" t="s">
        <v>46</v>
      </c>
      <c r="U40" s="2" t="s">
        <v>47</v>
      </c>
      <c r="V40" s="28" t="str">
        <f>IF(W40&lt;&gt;"",W40,IF(AB54="","",AB54))</f>
        <v/>
      </c>
      <c r="W40" s="29"/>
      <c r="Y40" s="15"/>
      <c r="AA40" s="2" t="s">
        <v>47</v>
      </c>
      <c r="AB40" s="43"/>
      <c r="AC40" s="31" t="str">
        <f t="shared" si="2"/>
        <v/>
      </c>
      <c r="AD40" s="44" t="str">
        <f>IF(V28="","",V28)</f>
        <v/>
      </c>
    </row>
    <row r="41" spans="1:30" ht="14.1" customHeight="1" x14ac:dyDescent="0.25">
      <c r="A41" s="3">
        <v>41</v>
      </c>
      <c r="B41" s="361"/>
      <c r="C41" s="45"/>
      <c r="D41" s="45"/>
      <c r="E41" s="165" t="s">
        <v>32</v>
      </c>
      <c r="F41" s="623" t="str">
        <f>IF(R42="","",R42)</f>
        <v/>
      </c>
      <c r="G41" s="623"/>
      <c r="H41" s="45"/>
      <c r="I41" s="45"/>
      <c r="J41" s="45"/>
      <c r="K41" s="45"/>
      <c r="L41" s="45"/>
      <c r="M41" s="362"/>
      <c r="O41" s="14"/>
      <c r="Q41" s="2" t="s">
        <v>30</v>
      </c>
      <c r="R41" s="50" t="str">
        <f>IF(S41&lt;&gt;"",S41,IF(AB48="","",AB48))</f>
        <v/>
      </c>
      <c r="S41" s="29"/>
      <c r="U41" s="2" t="s">
        <v>48</v>
      </c>
      <c r="V41" s="28" t="str">
        <f>IF(W41&lt;&gt;"",W41,IF(AB55="","",AB55))</f>
        <v/>
      </c>
      <c r="W41" s="29"/>
      <c r="Y41" s="15"/>
      <c r="AA41" s="2" t="s">
        <v>48</v>
      </c>
      <c r="AB41" s="43"/>
      <c r="AC41" s="31" t="str">
        <f t="shared" si="2"/>
        <v/>
      </c>
      <c r="AD41" s="44" t="str">
        <f>IF(V29="","",V29)</f>
        <v/>
      </c>
    </row>
    <row r="42" spans="1:30" ht="14.1" customHeight="1" x14ac:dyDescent="0.25">
      <c r="A42" s="3">
        <v>42</v>
      </c>
      <c r="B42" s="361"/>
      <c r="C42" s="45"/>
      <c r="D42" s="45"/>
      <c r="E42" s="165" t="s">
        <v>33</v>
      </c>
      <c r="F42" s="623" t="str">
        <f>IF(R43="","",R43)</f>
        <v/>
      </c>
      <c r="G42" s="623"/>
      <c r="H42" s="45"/>
      <c r="I42" s="45"/>
      <c r="J42" s="45"/>
      <c r="K42" s="45"/>
      <c r="L42" s="45"/>
      <c r="M42" s="362"/>
      <c r="O42" s="14"/>
      <c r="Q42" s="2" t="s">
        <v>32</v>
      </c>
      <c r="R42" s="50" t="str">
        <f>IF(S42&lt;&gt;"",S42,IF(AB49="","",AB49))</f>
        <v/>
      </c>
      <c r="S42" s="51"/>
      <c r="U42" s="56"/>
      <c r="Y42" s="15"/>
      <c r="AA42" s="53" t="s">
        <v>49</v>
      </c>
    </row>
    <row r="43" spans="1:30" ht="14.1" customHeight="1" x14ac:dyDescent="0.25">
      <c r="A43" s="3">
        <v>43</v>
      </c>
      <c r="B43" s="364"/>
      <c r="C43" s="365"/>
      <c r="D43" s="365"/>
      <c r="E43" s="365"/>
      <c r="F43" s="365"/>
      <c r="G43" s="365"/>
      <c r="H43" s="365"/>
      <c r="I43" s="365"/>
      <c r="J43" s="365"/>
      <c r="K43" s="365"/>
      <c r="L43" s="365"/>
      <c r="M43" s="366"/>
      <c r="O43" s="14"/>
      <c r="Q43" s="2" t="s">
        <v>33</v>
      </c>
      <c r="R43" s="50" t="str">
        <f>IF(S43&lt;&gt;"",S43,IF(AB50="","",AB50))</f>
        <v/>
      </c>
      <c r="S43" s="51"/>
      <c r="U43" s="56"/>
      <c r="Y43" s="15"/>
      <c r="AA43" s="2" t="s">
        <v>39</v>
      </c>
      <c r="AB43" s="43"/>
      <c r="AC43" s="31" t="str">
        <f t="shared" ref="AC43:AC66" si="3">IF(AB43&lt;&gt;AD43,"Change","")</f>
        <v/>
      </c>
      <c r="AD43" s="44" t="str">
        <f>IF(R34="","",R34)</f>
        <v/>
      </c>
    </row>
    <row r="44" spans="1:30" ht="14.1" customHeight="1" x14ac:dyDescent="0.25">
      <c r="A44" s="3">
        <v>44</v>
      </c>
      <c r="C44" s="56"/>
      <c r="D44" s="56"/>
      <c r="E44" s="56"/>
      <c r="F44" s="56"/>
      <c r="G44" s="56"/>
      <c r="H44" s="56"/>
      <c r="I44" s="56"/>
      <c r="J44" s="56"/>
      <c r="K44" s="56"/>
      <c r="L44" s="56"/>
      <c r="M44" s="56"/>
      <c r="O44" s="22"/>
      <c r="P44" s="23"/>
      <c r="Q44" s="23"/>
      <c r="R44" s="23"/>
      <c r="S44" s="23"/>
      <c r="T44" s="23"/>
      <c r="U44" s="23"/>
      <c r="V44" s="23"/>
      <c r="W44" s="23"/>
      <c r="X44" s="23"/>
      <c r="Y44" s="24"/>
      <c r="AA44" s="2" t="s">
        <v>31</v>
      </c>
      <c r="AB44" s="54"/>
      <c r="AC44" s="31" t="str">
        <f t="shared" si="3"/>
        <v/>
      </c>
      <c r="AD44" s="55" t="str">
        <f>IF(R35="","",R35)</f>
        <v/>
      </c>
    </row>
    <row r="45" spans="1:30" ht="14.1" customHeight="1" x14ac:dyDescent="0.25">
      <c r="A45" s="3">
        <v>45</v>
      </c>
      <c r="H45" s="33"/>
      <c r="AA45" s="2" t="s">
        <v>30</v>
      </c>
      <c r="AB45" s="43"/>
      <c r="AC45" s="31" t="str">
        <f t="shared" si="3"/>
        <v/>
      </c>
      <c r="AD45" s="44" t="str">
        <f>IF(R37="","",R37)</f>
        <v/>
      </c>
    </row>
    <row r="46" spans="1:30" ht="14.1" customHeight="1" x14ac:dyDescent="0.25">
      <c r="A46" s="3">
        <v>46</v>
      </c>
      <c r="S46" s="53"/>
      <c r="T46" s="33" t="s">
        <v>50</v>
      </c>
      <c r="AA46" s="2" t="s">
        <v>32</v>
      </c>
      <c r="AB46" s="43"/>
      <c r="AC46" s="31" t="str">
        <f t="shared" si="3"/>
        <v/>
      </c>
      <c r="AD46" s="44" t="str">
        <f>IF(R38="","",R38)</f>
        <v/>
      </c>
    </row>
    <row r="47" spans="1:30" ht="14.1" customHeight="1" x14ac:dyDescent="0.25">
      <c r="A47" s="3">
        <v>47</v>
      </c>
      <c r="O47" s="58" t="s">
        <v>51</v>
      </c>
      <c r="P47" s="8"/>
      <c r="Q47" s="8"/>
      <c r="R47" s="8"/>
      <c r="S47" s="8"/>
      <c r="T47" s="8"/>
      <c r="U47" s="8"/>
      <c r="V47" s="8"/>
      <c r="W47" s="8"/>
      <c r="X47" s="8"/>
      <c r="Y47" s="9"/>
      <c r="AA47" s="2" t="s">
        <v>33</v>
      </c>
      <c r="AB47" s="43"/>
      <c r="AC47" s="31" t="str">
        <f t="shared" si="3"/>
        <v/>
      </c>
      <c r="AD47" s="44" t="str">
        <f>IF(R39="","",R39)</f>
        <v/>
      </c>
    </row>
    <row r="48" spans="1:30" ht="14.1" customHeight="1" x14ac:dyDescent="0.25">
      <c r="A48" s="3">
        <v>48</v>
      </c>
      <c r="O48" s="14"/>
      <c r="S48" s="56"/>
      <c r="T48" s="52" t="s">
        <v>52</v>
      </c>
      <c r="U48" s="56"/>
      <c r="V48" s="1" t="s">
        <v>53</v>
      </c>
      <c r="W48" s="50" t="str">
        <f>IF(X48&lt;&gt;"",X48,IF(AB56="","",AB56))</f>
        <v/>
      </c>
      <c r="X48" s="51"/>
      <c r="Y48" s="15"/>
      <c r="AA48" s="2" t="s">
        <v>30</v>
      </c>
      <c r="AB48" s="43"/>
      <c r="AC48" s="31" t="str">
        <f t="shared" si="3"/>
        <v/>
      </c>
      <c r="AD48" s="44" t="str">
        <f>IF(R41="","",R41)</f>
        <v/>
      </c>
    </row>
    <row r="49" spans="1:30" ht="14.1" customHeight="1" x14ac:dyDescent="0.25">
      <c r="A49" s="3">
        <v>49</v>
      </c>
      <c r="O49" s="59"/>
      <c r="P49" s="18" t="s">
        <v>54</v>
      </c>
      <c r="U49" s="56"/>
      <c r="W49" s="18" t="s">
        <v>55</v>
      </c>
      <c r="Y49" s="15"/>
      <c r="AA49" s="2" t="s">
        <v>32</v>
      </c>
      <c r="AB49" s="43"/>
      <c r="AC49" s="31" t="str">
        <f t="shared" si="3"/>
        <v/>
      </c>
      <c r="AD49" s="44" t="str">
        <f>IF(R42="","",R42)</f>
        <v/>
      </c>
    </row>
    <row r="50" spans="1:30" ht="14.1" customHeight="1" x14ac:dyDescent="0.25">
      <c r="A50" s="3">
        <v>50</v>
      </c>
      <c r="O50" s="59"/>
      <c r="P50" s="18" t="s">
        <v>56</v>
      </c>
      <c r="U50" s="56"/>
      <c r="W50" s="18" t="s">
        <v>57</v>
      </c>
      <c r="Y50" s="15"/>
      <c r="AA50" s="2" t="s">
        <v>33</v>
      </c>
      <c r="AB50" s="43"/>
      <c r="AC50" s="31" t="str">
        <f t="shared" si="3"/>
        <v/>
      </c>
      <c r="AD50" s="44" t="str">
        <f>IF(R43="","",R43)</f>
        <v/>
      </c>
    </row>
    <row r="51" spans="1:30" ht="14.1" customHeight="1" x14ac:dyDescent="0.25">
      <c r="A51" s="3">
        <v>51</v>
      </c>
      <c r="O51" s="59"/>
      <c r="P51" s="18" t="s">
        <v>58</v>
      </c>
      <c r="U51" s="56"/>
      <c r="W51" s="60">
        <f t="shared" ref="W51:W60" si="4">IF(X51&lt;&gt;"",X51,IF(AB57="","",AB57))</f>
        <v>1</v>
      </c>
      <c r="X51" s="61">
        <v>1</v>
      </c>
      <c r="Y51" s="15"/>
      <c r="AA51" s="2" t="s">
        <v>41</v>
      </c>
      <c r="AB51" s="43"/>
      <c r="AC51" s="31" t="str">
        <f t="shared" si="3"/>
        <v/>
      </c>
      <c r="AD51" s="44" t="str">
        <f>IF(V35="","",V35)</f>
        <v/>
      </c>
    </row>
    <row r="52" spans="1:30" ht="14.1" customHeight="1" x14ac:dyDescent="0.25">
      <c r="A52" s="3">
        <v>52</v>
      </c>
      <c r="O52" s="59"/>
      <c r="P52" s="18" t="s">
        <v>59</v>
      </c>
      <c r="U52" s="56"/>
      <c r="W52" s="62">
        <f t="shared" si="4"/>
        <v>2</v>
      </c>
      <c r="X52" s="63">
        <v>2</v>
      </c>
      <c r="Y52" s="15"/>
      <c r="AA52" s="2" t="s">
        <v>43</v>
      </c>
      <c r="AB52" s="43"/>
      <c r="AC52" s="31" t="str">
        <f t="shared" si="3"/>
        <v/>
      </c>
      <c r="AD52" s="44" t="str">
        <f>IF(V36="","",V36)</f>
        <v/>
      </c>
    </row>
    <row r="53" spans="1:30" ht="14.1" customHeight="1" x14ac:dyDescent="0.25">
      <c r="A53" s="3">
        <v>53</v>
      </c>
      <c r="O53" s="59"/>
      <c r="P53" s="18" t="s">
        <v>60</v>
      </c>
      <c r="U53" s="56"/>
      <c r="W53" s="62">
        <f t="shared" si="4"/>
        <v>3</v>
      </c>
      <c r="X53" s="63">
        <v>3</v>
      </c>
      <c r="Y53" s="15"/>
      <c r="AA53" s="2" t="s">
        <v>44</v>
      </c>
      <c r="AB53" s="43"/>
      <c r="AC53" s="31" t="str">
        <f t="shared" si="3"/>
        <v/>
      </c>
      <c r="AD53" s="44" t="str">
        <f>IF(V37="","",V37)</f>
        <v/>
      </c>
    </row>
    <row r="54" spans="1:30" ht="14.1" customHeight="1" x14ac:dyDescent="0.25">
      <c r="A54" s="3">
        <v>54</v>
      </c>
      <c r="O54" s="59"/>
      <c r="P54" s="18" t="s">
        <v>61</v>
      </c>
      <c r="U54" s="56"/>
      <c r="W54" s="62" t="str">
        <f t="shared" si="4"/>
        <v>AP</v>
      </c>
      <c r="X54" s="63" t="s">
        <v>62</v>
      </c>
      <c r="Y54" s="15"/>
      <c r="AA54" s="2" t="s">
        <v>47</v>
      </c>
      <c r="AB54" s="43"/>
      <c r="AC54" s="31" t="str">
        <f t="shared" si="3"/>
        <v/>
      </c>
      <c r="AD54" s="44" t="str">
        <f>IF(V40="","",V40)</f>
        <v/>
      </c>
    </row>
    <row r="55" spans="1:30" ht="14.1" customHeight="1" x14ac:dyDescent="0.25">
      <c r="A55" s="3">
        <v>55</v>
      </c>
      <c r="O55" s="59"/>
      <c r="P55" s="18" t="s">
        <v>63</v>
      </c>
      <c r="W55" s="62" t="str">
        <f t="shared" si="4"/>
        <v>Front</v>
      </c>
      <c r="X55" s="63" t="s">
        <v>64</v>
      </c>
      <c r="Y55" s="15"/>
      <c r="AA55" s="2" t="s">
        <v>48</v>
      </c>
      <c r="AB55" s="43"/>
      <c r="AC55" s="31" t="str">
        <f t="shared" si="3"/>
        <v/>
      </c>
      <c r="AD55" s="44" t="str">
        <f>IF(V41="","",V41)</f>
        <v/>
      </c>
    </row>
    <row r="56" spans="1:30" ht="14.1" customHeight="1" x14ac:dyDescent="0.25">
      <c r="A56" s="3">
        <v>56</v>
      </c>
      <c r="O56" s="14"/>
      <c r="S56" s="56"/>
      <c r="T56" s="52" t="s">
        <v>65</v>
      </c>
      <c r="W56" s="62" t="str">
        <f t="shared" si="4"/>
        <v>Frontal</v>
      </c>
      <c r="X56" s="63" t="s">
        <v>66</v>
      </c>
      <c r="Y56" s="15"/>
      <c r="AA56" s="1" t="s">
        <v>53</v>
      </c>
      <c r="AB56" s="43"/>
      <c r="AC56" s="31" t="str">
        <f t="shared" si="3"/>
        <v/>
      </c>
      <c r="AD56" s="64" t="str">
        <f>IF(W48="","",W48)</f>
        <v/>
      </c>
    </row>
    <row r="57" spans="1:30" ht="14.1" customHeight="1" x14ac:dyDescent="0.25">
      <c r="A57" s="3">
        <v>57</v>
      </c>
      <c r="O57" s="59"/>
      <c r="P57" s="18" t="s">
        <v>67</v>
      </c>
      <c r="W57" s="62" t="str">
        <f t="shared" si="4"/>
        <v>Lat</v>
      </c>
      <c r="X57" s="63" t="s">
        <v>68</v>
      </c>
      <c r="Y57" s="15"/>
      <c r="AA57" s="25" t="s">
        <v>69</v>
      </c>
      <c r="AB57" s="43"/>
      <c r="AC57" s="31" t="str">
        <f t="shared" si="3"/>
        <v>Change</v>
      </c>
      <c r="AD57" s="64">
        <f t="shared" ref="AD57:AD66" si="5">IF(W51="","",W51)</f>
        <v>1</v>
      </c>
    </row>
    <row r="58" spans="1:30" ht="14.1" customHeight="1" x14ac:dyDescent="0.25">
      <c r="A58" s="3">
        <v>58</v>
      </c>
      <c r="O58" s="59"/>
      <c r="P58" s="18" t="s">
        <v>70</v>
      </c>
      <c r="W58" s="62" t="str">
        <f t="shared" si="4"/>
        <v>Lateral</v>
      </c>
      <c r="X58" s="63" t="s">
        <v>71</v>
      </c>
      <c r="Y58" s="15"/>
      <c r="AB58" s="43"/>
      <c r="AC58" s="31" t="str">
        <f t="shared" si="3"/>
        <v>Change</v>
      </c>
      <c r="AD58" s="64">
        <f t="shared" si="5"/>
        <v>2</v>
      </c>
    </row>
    <row r="59" spans="1:30" ht="14.1" customHeight="1" x14ac:dyDescent="0.25">
      <c r="A59" s="3">
        <v>59</v>
      </c>
      <c r="O59" s="59"/>
      <c r="P59" s="18" t="s">
        <v>72</v>
      </c>
      <c r="W59" s="62" t="str">
        <f t="shared" si="4"/>
        <v/>
      </c>
      <c r="X59" s="63"/>
      <c r="Y59" s="15"/>
      <c r="AB59" s="43"/>
      <c r="AC59" s="31" t="str">
        <f t="shared" si="3"/>
        <v>Change</v>
      </c>
      <c r="AD59" s="64">
        <f t="shared" si="5"/>
        <v>3</v>
      </c>
    </row>
    <row r="60" spans="1:30" ht="14.1" customHeight="1" x14ac:dyDescent="0.25">
      <c r="A60" s="3">
        <v>60</v>
      </c>
      <c r="O60" s="59"/>
      <c r="P60" s="18" t="s">
        <v>73</v>
      </c>
      <c r="W60" s="65" t="str">
        <f t="shared" si="4"/>
        <v/>
      </c>
      <c r="X60" s="66"/>
      <c r="Y60" s="15"/>
      <c r="AB60" s="43"/>
      <c r="AC60" s="31" t="str">
        <f t="shared" si="3"/>
        <v>Change</v>
      </c>
      <c r="AD60" s="64" t="str">
        <f t="shared" si="5"/>
        <v>AP</v>
      </c>
    </row>
    <row r="61" spans="1:30" ht="14.1" customHeight="1" x14ac:dyDescent="0.25">
      <c r="A61" s="3">
        <v>61</v>
      </c>
      <c r="O61" s="59"/>
      <c r="P61" s="18" t="s">
        <v>74</v>
      </c>
      <c r="Y61" s="15"/>
      <c r="AB61" s="43"/>
      <c r="AC61" s="31" t="str">
        <f t="shared" si="3"/>
        <v>Change</v>
      </c>
      <c r="AD61" s="64" t="str">
        <f t="shared" si="5"/>
        <v>Front</v>
      </c>
    </row>
    <row r="62" spans="1:30" ht="14.1" customHeight="1" x14ac:dyDescent="0.25">
      <c r="A62" s="3">
        <v>62</v>
      </c>
      <c r="O62" s="67">
        <f>IF(AND(S126="NA",V126="NA"),"",IF(O102=1,IF(OR(S126="NO",V126="NO"),2,1),IF(OR(S126="NO",V126="NO",Y126="NO"),2,1)))</f>
        <v>1</v>
      </c>
      <c r="P62" s="18" t="s">
        <v>75</v>
      </c>
      <c r="Y62" s="15"/>
      <c r="AB62" s="43"/>
      <c r="AC62" s="31" t="str">
        <f t="shared" si="3"/>
        <v>Change</v>
      </c>
      <c r="AD62" s="64" t="str">
        <f t="shared" si="5"/>
        <v>Frontal</v>
      </c>
    </row>
    <row r="63" spans="1:30" ht="14.1" customHeight="1" x14ac:dyDescent="0.25">
      <c r="A63" s="3">
        <v>63</v>
      </c>
      <c r="O63" s="67">
        <f>IF(O102=2,3,IF(Y126="TBD","",IF(Y126="NO",2,IF(Y126="YES",1,3))))</f>
        <v>1</v>
      </c>
      <c r="P63" s="18" t="s">
        <v>76</v>
      </c>
      <c r="Y63" s="15"/>
      <c r="AB63" s="43"/>
      <c r="AC63" s="31" t="str">
        <f t="shared" si="3"/>
        <v>Change</v>
      </c>
      <c r="AD63" s="64" t="str">
        <f t="shared" si="5"/>
        <v>Lat</v>
      </c>
    </row>
    <row r="64" spans="1:30" ht="14.1" customHeight="1" x14ac:dyDescent="0.25">
      <c r="A64" s="3">
        <v>64</v>
      </c>
      <c r="O64" s="67">
        <f>IF(AND(I401="",I402="",I403="",I404="",I405=""),3,IF(OR(I401="NO",I402="NO",I403="NO",I404="NO",I405="NO"),2,1))</f>
        <v>3</v>
      </c>
      <c r="P64" s="18" t="s">
        <v>77</v>
      </c>
      <c r="Y64" s="15"/>
      <c r="AB64" s="43"/>
      <c r="AC64" s="31" t="str">
        <f t="shared" si="3"/>
        <v>Change</v>
      </c>
      <c r="AD64" s="64" t="str">
        <f t="shared" si="5"/>
        <v>Lateral</v>
      </c>
    </row>
    <row r="65" spans="1:30" ht="14.1" customHeight="1" x14ac:dyDescent="0.25">
      <c r="A65" s="3">
        <v>65</v>
      </c>
      <c r="C65" s="2" t="s">
        <v>10</v>
      </c>
      <c r="D65" s="68" t="str">
        <f>IF($P$7="","",$P$7)</f>
        <v/>
      </c>
      <c r="L65" s="2" t="s">
        <v>11</v>
      </c>
      <c r="M65" s="69" t="str">
        <f>IF($X$7="","",$X$7)</f>
        <v>Eugene Mah</v>
      </c>
      <c r="O65" s="67">
        <f>IF(OR(T324="",T324="NA"),3,IF(T324="TBD","",IF(T324="YES",1,2)))</f>
        <v>3</v>
      </c>
      <c r="P65" s="18" t="s">
        <v>78</v>
      </c>
      <c r="Y65" s="15"/>
      <c r="AB65" s="43"/>
      <c r="AC65" s="31" t="str">
        <f t="shared" si="3"/>
        <v/>
      </c>
      <c r="AD65" s="64" t="str">
        <f t="shared" si="5"/>
        <v/>
      </c>
    </row>
    <row r="66" spans="1:30" ht="14.1" customHeight="1" x14ac:dyDescent="0.25">
      <c r="A66" s="3">
        <v>66</v>
      </c>
      <c r="C66" s="2" t="s">
        <v>79</v>
      </c>
      <c r="D66" s="70" t="str">
        <f>IF($R$14="","",$R$14&amp;" Tube "&amp;$W$48)</f>
        <v/>
      </c>
      <c r="L66" s="2" t="s">
        <v>25</v>
      </c>
      <c r="M66" s="71" t="str">
        <f>IF($R$13="","",$R$13)</f>
        <v/>
      </c>
      <c r="O66" s="67">
        <f>IF(W237="TBD","",IF(W237="YES",1,IF(W237="NO",2,3)))</f>
        <v>1</v>
      </c>
      <c r="P66" s="18" t="s">
        <v>80</v>
      </c>
      <c r="Y66" s="15"/>
      <c r="AB66" s="43"/>
      <c r="AC66" s="31" t="str">
        <f t="shared" si="3"/>
        <v/>
      </c>
      <c r="AD66" s="64" t="str">
        <f t="shared" si="5"/>
        <v/>
      </c>
    </row>
    <row r="67" spans="1:30" ht="14.1" customHeight="1" x14ac:dyDescent="0.25">
      <c r="A67" s="3">
        <v>1</v>
      </c>
      <c r="M67" s="72" t="str">
        <f>$H$2</f>
        <v>Medical University of South Carolina</v>
      </c>
      <c r="O67" s="59"/>
      <c r="P67" s="18" t="s">
        <v>81</v>
      </c>
      <c r="Y67" s="15"/>
      <c r="AA67" s="25" t="s">
        <v>82</v>
      </c>
      <c r="AD67" s="56"/>
    </row>
    <row r="68" spans="1:30" ht="14.1" customHeight="1" x14ac:dyDescent="0.25">
      <c r="A68" s="3">
        <v>2</v>
      </c>
      <c r="H68" s="33" t="s">
        <v>50</v>
      </c>
      <c r="M68" s="25" t="str">
        <f>$H$5</f>
        <v>Fluoroscopy System Compliance Inspection</v>
      </c>
      <c r="O68" s="59"/>
      <c r="P68" s="18" t="s">
        <v>83</v>
      </c>
      <c r="Y68" s="15"/>
      <c r="AA68" s="2" t="s">
        <v>84</v>
      </c>
      <c r="AB68" s="43"/>
      <c r="AC68" s="31" t="str">
        <f>IF(AB68&lt;&gt;AD68,"Change","")</f>
        <v/>
      </c>
      <c r="AD68" s="44" t="str">
        <f>IF(O110="","",O110)</f>
        <v/>
      </c>
    </row>
    <row r="69" spans="1:30" ht="14.1" customHeight="1" x14ac:dyDescent="0.25">
      <c r="A69" s="3">
        <v>3</v>
      </c>
      <c r="B69" s="348"/>
      <c r="C69" s="367" t="s">
        <v>85</v>
      </c>
      <c r="D69" s="349"/>
      <c r="E69" s="368"/>
      <c r="F69" s="359" t="s">
        <v>52</v>
      </c>
      <c r="G69" s="349"/>
      <c r="H69" s="349"/>
      <c r="I69" s="349"/>
      <c r="J69" s="349"/>
      <c r="K69" s="349"/>
      <c r="L69" s="624" t="s">
        <v>86</v>
      </c>
      <c r="M69" s="625"/>
      <c r="O69" s="59"/>
      <c r="P69" s="18" t="s">
        <v>87</v>
      </c>
      <c r="Y69" s="15"/>
      <c r="AA69" s="2" t="s">
        <v>88</v>
      </c>
      <c r="AB69" s="43"/>
      <c r="AC69" s="31" t="str">
        <f>IF(AB69&lt;&gt;AD69,"Change","")</f>
        <v/>
      </c>
      <c r="AD69" s="44" t="str">
        <f>IF(O113="","",O113)</f>
        <v/>
      </c>
    </row>
    <row r="70" spans="1:30" ht="14.1" customHeight="1" x14ac:dyDescent="0.25">
      <c r="A70" s="3">
        <v>4</v>
      </c>
      <c r="B70" s="351"/>
      <c r="C70" s="73" t="s">
        <v>89</v>
      </c>
      <c r="D70" s="138"/>
      <c r="E70" s="73" t="s">
        <v>54</v>
      </c>
      <c r="F70" s="138"/>
      <c r="G70" s="138"/>
      <c r="H70" s="138"/>
      <c r="I70" s="138"/>
      <c r="J70" s="138"/>
      <c r="K70" s="138"/>
      <c r="L70" s="369" t="str">
        <f t="shared" ref="L70:L76" si="6">IF(O49="","TBD",IF(O49=1,"YES",IF(O49=3,"NA","")))</f>
        <v>TBD</v>
      </c>
      <c r="M70" s="370" t="str">
        <f t="shared" ref="M70:M76" si="7">IF(O49=2,"NO","")</f>
        <v/>
      </c>
      <c r="O70" s="59"/>
      <c r="P70" s="18" t="s">
        <v>90</v>
      </c>
      <c r="Y70" s="15"/>
      <c r="AA70" s="2" t="s">
        <v>91</v>
      </c>
      <c r="AB70" s="43"/>
      <c r="AC70" s="31" t="str">
        <f>IF(AB70&lt;&gt;AD70,"Change","")</f>
        <v/>
      </c>
      <c r="AD70" s="44" t="str">
        <f>IF(O116="","",O116)</f>
        <v/>
      </c>
    </row>
    <row r="71" spans="1:30" ht="14.1" customHeight="1" x14ac:dyDescent="0.25">
      <c r="A71" s="3">
        <v>5</v>
      </c>
      <c r="B71" s="351"/>
      <c r="C71" s="73" t="s">
        <v>92</v>
      </c>
      <c r="D71" s="138"/>
      <c r="E71" s="73" t="s">
        <v>56</v>
      </c>
      <c r="F71" s="138"/>
      <c r="G71" s="138"/>
      <c r="H71" s="138"/>
      <c r="I71" s="138"/>
      <c r="J71" s="138"/>
      <c r="K71" s="138"/>
      <c r="L71" s="369" t="str">
        <f t="shared" si="6"/>
        <v>TBD</v>
      </c>
      <c r="M71" s="370" t="str">
        <f t="shared" si="7"/>
        <v/>
      </c>
      <c r="O71" s="59"/>
      <c r="P71" s="18" t="s">
        <v>93</v>
      </c>
      <c r="Y71" s="15"/>
      <c r="AA71" s="2" t="s">
        <v>94</v>
      </c>
      <c r="AB71" s="43"/>
      <c r="AC71" s="31" t="str">
        <f>IF(AB71&lt;&gt;AD71,"Change","")</f>
        <v/>
      </c>
      <c r="AD71" s="44" t="str">
        <f>IF(O119="","",O119)</f>
        <v/>
      </c>
    </row>
    <row r="72" spans="1:30" ht="14.1" customHeight="1" x14ac:dyDescent="0.25">
      <c r="A72" s="3">
        <v>6</v>
      </c>
      <c r="B72" s="351"/>
      <c r="C72" s="73" t="s">
        <v>95</v>
      </c>
      <c r="D72" s="138"/>
      <c r="E72" s="73" t="s">
        <v>58</v>
      </c>
      <c r="F72" s="138"/>
      <c r="G72" s="138"/>
      <c r="H72" s="138"/>
      <c r="I72" s="138"/>
      <c r="J72" s="138"/>
      <c r="K72" s="138"/>
      <c r="L72" s="369" t="str">
        <f t="shared" si="6"/>
        <v>TBD</v>
      </c>
      <c r="M72" s="370" t="str">
        <f t="shared" si="7"/>
        <v/>
      </c>
      <c r="O72" s="14"/>
      <c r="S72" s="56"/>
      <c r="T72" s="52" t="s">
        <v>96</v>
      </c>
      <c r="Y72" s="15"/>
      <c r="AA72" s="2" t="s">
        <v>97</v>
      </c>
      <c r="AB72" s="43"/>
      <c r="AC72" s="31" t="str">
        <f>IF(AB72&lt;&gt;AD72,"Change","")</f>
        <v/>
      </c>
      <c r="AD72" s="44" t="str">
        <f>IF(O122="","",O122)</f>
        <v/>
      </c>
    </row>
    <row r="73" spans="1:30" ht="14.1" customHeight="1" x14ac:dyDescent="0.25">
      <c r="A73" s="3">
        <v>7</v>
      </c>
      <c r="B73" s="351"/>
      <c r="C73" s="73"/>
      <c r="D73" s="138"/>
      <c r="E73" s="73" t="s">
        <v>59</v>
      </c>
      <c r="F73" s="138"/>
      <c r="G73" s="138"/>
      <c r="H73" s="138"/>
      <c r="I73" s="138"/>
      <c r="J73" s="138"/>
      <c r="K73" s="138"/>
      <c r="L73" s="369" t="str">
        <f t="shared" si="6"/>
        <v>TBD</v>
      </c>
      <c r="M73" s="370" t="str">
        <f t="shared" si="7"/>
        <v/>
      </c>
      <c r="O73" s="59"/>
      <c r="P73" s="18" t="s">
        <v>98</v>
      </c>
      <c r="Y73" s="15"/>
      <c r="AA73" s="25" t="s">
        <v>99</v>
      </c>
      <c r="AD73" s="56"/>
    </row>
    <row r="74" spans="1:30" ht="14.1" customHeight="1" x14ac:dyDescent="0.25">
      <c r="A74" s="3">
        <v>8</v>
      </c>
      <c r="B74" s="351"/>
      <c r="C74" s="73"/>
      <c r="D74" s="138"/>
      <c r="E74" s="73" t="s">
        <v>60</v>
      </c>
      <c r="F74" s="138"/>
      <c r="G74" s="138"/>
      <c r="H74" s="138"/>
      <c r="I74" s="138"/>
      <c r="J74" s="138"/>
      <c r="K74" s="138"/>
      <c r="L74" s="369" t="str">
        <f t="shared" si="6"/>
        <v>TBD</v>
      </c>
      <c r="M74" s="370" t="str">
        <f t="shared" si="7"/>
        <v/>
      </c>
      <c r="O74" s="59"/>
      <c r="P74" s="18" t="s">
        <v>100</v>
      </c>
      <c r="Y74" s="15"/>
      <c r="AA74" s="2" t="s">
        <v>101</v>
      </c>
      <c r="AB74" s="43"/>
      <c r="AC74" s="31" t="str">
        <f t="shared" ref="AC74:AC82" si="8">IF(AB74&lt;&gt;AD74,"Change","")</f>
        <v/>
      </c>
      <c r="AD74" s="64" t="str">
        <f>IF(Q99="","",Q99)</f>
        <v/>
      </c>
    </row>
    <row r="75" spans="1:30" ht="14.1" customHeight="1" x14ac:dyDescent="0.25">
      <c r="A75" s="3">
        <v>9</v>
      </c>
      <c r="B75" s="351"/>
      <c r="C75" s="73"/>
      <c r="D75" s="138"/>
      <c r="E75" s="73" t="s">
        <v>61</v>
      </c>
      <c r="F75" s="138"/>
      <c r="G75" s="138"/>
      <c r="H75" s="138"/>
      <c r="I75" s="138"/>
      <c r="J75" s="138"/>
      <c r="K75" s="138"/>
      <c r="L75" s="369" t="str">
        <f t="shared" si="6"/>
        <v>TBD</v>
      </c>
      <c r="M75" s="370" t="str">
        <f t="shared" si="7"/>
        <v/>
      </c>
      <c r="O75" s="59"/>
      <c r="P75" s="18" t="s">
        <v>102</v>
      </c>
      <c r="Y75" s="15"/>
      <c r="AA75" s="2" t="s">
        <v>103</v>
      </c>
      <c r="AB75" s="43"/>
      <c r="AC75" s="31" t="str">
        <f t="shared" si="8"/>
        <v>Change</v>
      </c>
      <c r="AD75" s="64">
        <f>IF(Q100="","",Q100)</f>
        <v>1</v>
      </c>
    </row>
    <row r="76" spans="1:30" ht="14.1" customHeight="1" x14ac:dyDescent="0.25">
      <c r="A76" s="3">
        <v>10</v>
      </c>
      <c r="B76" s="351"/>
      <c r="C76" s="73"/>
      <c r="D76" s="138"/>
      <c r="E76" s="73" t="s">
        <v>63</v>
      </c>
      <c r="F76" s="138"/>
      <c r="G76" s="138"/>
      <c r="H76" s="138"/>
      <c r="I76" s="138"/>
      <c r="J76" s="138"/>
      <c r="K76" s="138"/>
      <c r="L76" s="369" t="str">
        <f t="shared" si="6"/>
        <v>TBD</v>
      </c>
      <c r="M76" s="370" t="str">
        <f t="shared" si="7"/>
        <v/>
      </c>
      <c r="O76" s="59"/>
      <c r="P76" s="18" t="s">
        <v>104</v>
      </c>
      <c r="Y76" s="15"/>
      <c r="AA76" s="2" t="s">
        <v>105</v>
      </c>
      <c r="AB76" s="43"/>
      <c r="AC76" s="31" t="str">
        <f t="shared" si="8"/>
        <v>Change</v>
      </c>
      <c r="AD76" s="44">
        <f>IF(O101="","",O101)</f>
        <v>2</v>
      </c>
    </row>
    <row r="77" spans="1:30" ht="14.1" customHeight="1" x14ac:dyDescent="0.25">
      <c r="A77" s="3">
        <v>11</v>
      </c>
      <c r="B77" s="351"/>
      <c r="C77" s="73"/>
      <c r="D77" s="138"/>
      <c r="E77" s="138"/>
      <c r="F77" s="138"/>
      <c r="G77" s="138"/>
      <c r="H77" s="138"/>
      <c r="I77" s="138"/>
      <c r="J77" s="138"/>
      <c r="K77" s="138"/>
      <c r="L77" s="138"/>
      <c r="M77" s="353"/>
      <c r="O77" s="59"/>
      <c r="P77" s="18" t="s">
        <v>106</v>
      </c>
      <c r="Y77" s="15"/>
      <c r="AA77" s="2" t="s">
        <v>107</v>
      </c>
      <c r="AB77" s="43"/>
      <c r="AC77" s="31" t="str">
        <f t="shared" si="8"/>
        <v>Change</v>
      </c>
      <c r="AD77" s="44">
        <f>IF(O102="","",O102)</f>
        <v>1</v>
      </c>
    </row>
    <row r="78" spans="1:30" ht="14.1" customHeight="1" x14ac:dyDescent="0.25">
      <c r="A78" s="3">
        <v>12</v>
      </c>
      <c r="B78" s="351"/>
      <c r="C78" s="73"/>
      <c r="D78" s="138"/>
      <c r="E78" s="138"/>
      <c r="F78" s="363" t="s">
        <v>96</v>
      </c>
      <c r="G78" s="138"/>
      <c r="H78" s="138"/>
      <c r="I78" s="138"/>
      <c r="J78" s="138"/>
      <c r="K78" s="138"/>
      <c r="L78" s="138"/>
      <c r="M78" s="353"/>
      <c r="O78" s="59"/>
      <c r="P78" s="18" t="s">
        <v>108</v>
      </c>
      <c r="Y78" s="15"/>
      <c r="AA78" s="2" t="s">
        <v>109</v>
      </c>
      <c r="AB78" s="43"/>
      <c r="AC78" s="31" t="str">
        <f t="shared" si="8"/>
        <v>Change</v>
      </c>
      <c r="AD78" s="44" t="str">
        <f>IF(O104="","",O104)</f>
        <v>cm</v>
      </c>
    </row>
    <row r="79" spans="1:30" ht="14.1" customHeight="1" x14ac:dyDescent="0.25">
      <c r="A79" s="3">
        <v>13</v>
      </c>
      <c r="B79" s="351"/>
      <c r="C79" s="73"/>
      <c r="D79" s="138"/>
      <c r="E79" s="73" t="s">
        <v>98</v>
      </c>
      <c r="F79" s="138"/>
      <c r="G79" s="138"/>
      <c r="H79" s="138"/>
      <c r="I79" s="138"/>
      <c r="J79" s="138"/>
      <c r="K79" s="138"/>
      <c r="L79" s="369" t="str">
        <f t="shared" ref="L79:L87" si="9">IF(O73="","TBD",IF(O73=1,"YES",IF(O73=3,"NA","")))</f>
        <v>TBD</v>
      </c>
      <c r="M79" s="370" t="str">
        <f t="shared" ref="M79:M87" si="10">IF(O73=2,"NO","")</f>
        <v/>
      </c>
      <c r="O79" s="59"/>
      <c r="P79" s="18" t="s">
        <v>110</v>
      </c>
      <c r="Y79" s="15"/>
      <c r="AA79" s="2" t="s">
        <v>111</v>
      </c>
      <c r="AB79" s="43"/>
      <c r="AC79" s="31" t="str">
        <f t="shared" si="8"/>
        <v>Change</v>
      </c>
      <c r="AD79" s="44" t="str">
        <f>IF(V99="","",V99)</f>
        <v>Auto</v>
      </c>
    </row>
    <row r="80" spans="1:30" ht="14.1" customHeight="1" x14ac:dyDescent="0.25">
      <c r="A80" s="3">
        <v>14</v>
      </c>
      <c r="B80" s="351"/>
      <c r="C80" s="73"/>
      <c r="D80" s="138"/>
      <c r="E80" s="73" t="s">
        <v>100</v>
      </c>
      <c r="F80" s="138"/>
      <c r="G80" s="138"/>
      <c r="H80" s="138"/>
      <c r="I80" s="138"/>
      <c r="J80" s="138"/>
      <c r="K80" s="138"/>
      <c r="L80" s="369" t="str">
        <f t="shared" si="9"/>
        <v>TBD</v>
      </c>
      <c r="M80" s="370" t="str">
        <f t="shared" si="10"/>
        <v/>
      </c>
      <c r="O80" s="59"/>
      <c r="P80" s="18" t="s">
        <v>112</v>
      </c>
      <c r="Y80" s="15"/>
      <c r="AA80" s="2" t="s">
        <v>113</v>
      </c>
      <c r="AB80" s="43"/>
      <c r="AC80" s="31" t="str">
        <f t="shared" si="8"/>
        <v/>
      </c>
      <c r="AD80" s="44" t="str">
        <f>IF(Q106="","",Q106)</f>
        <v/>
      </c>
    </row>
    <row r="81" spans="1:30" ht="14.1" customHeight="1" x14ac:dyDescent="0.25">
      <c r="A81" s="3">
        <v>15</v>
      </c>
      <c r="B81" s="351"/>
      <c r="C81" s="73"/>
      <c r="D81" s="138"/>
      <c r="E81" s="73" t="s">
        <v>102</v>
      </c>
      <c r="F81" s="138"/>
      <c r="G81" s="138"/>
      <c r="H81" s="138"/>
      <c r="I81" s="138"/>
      <c r="J81" s="138"/>
      <c r="K81" s="138"/>
      <c r="L81" s="369" t="str">
        <f t="shared" si="9"/>
        <v>TBD</v>
      </c>
      <c r="M81" s="370" t="str">
        <f t="shared" si="10"/>
        <v/>
      </c>
      <c r="O81" s="59"/>
      <c r="P81" s="18" t="s">
        <v>114</v>
      </c>
      <c r="Y81" s="15"/>
      <c r="AA81" s="2" t="s">
        <v>115</v>
      </c>
      <c r="AB81" s="43"/>
      <c r="AC81" s="31" t="str">
        <f t="shared" si="8"/>
        <v/>
      </c>
      <c r="AD81" s="44" t="str">
        <f>IF(T106="","",T106)</f>
        <v/>
      </c>
    </row>
    <row r="82" spans="1:30" ht="14.1" customHeight="1" x14ac:dyDescent="0.25">
      <c r="A82" s="3">
        <v>16</v>
      </c>
      <c r="B82" s="351"/>
      <c r="C82" s="73"/>
      <c r="D82" s="138"/>
      <c r="E82" s="73" t="s">
        <v>104</v>
      </c>
      <c r="F82" s="138"/>
      <c r="G82" s="138"/>
      <c r="H82" s="138"/>
      <c r="I82" s="138"/>
      <c r="J82" s="138"/>
      <c r="K82" s="138"/>
      <c r="L82" s="369" t="str">
        <f t="shared" si="9"/>
        <v>TBD</v>
      </c>
      <c r="M82" s="370" t="str">
        <f t="shared" si="10"/>
        <v/>
      </c>
      <c r="O82" s="14"/>
      <c r="S82" s="56"/>
      <c r="T82" s="52" t="s">
        <v>116</v>
      </c>
      <c r="Y82" s="15"/>
      <c r="AA82" s="2" t="s">
        <v>117</v>
      </c>
      <c r="AB82" s="43"/>
      <c r="AC82" s="31" t="str">
        <f t="shared" si="8"/>
        <v/>
      </c>
      <c r="AD82" s="44" t="str">
        <f>IF(W106="","",W106)</f>
        <v/>
      </c>
    </row>
    <row r="83" spans="1:30" ht="14.1" customHeight="1" x14ac:dyDescent="0.25">
      <c r="A83" s="3">
        <v>17</v>
      </c>
      <c r="B83" s="351"/>
      <c r="C83" s="73"/>
      <c r="D83" s="138"/>
      <c r="E83" s="73" t="s">
        <v>106</v>
      </c>
      <c r="F83" s="138"/>
      <c r="G83" s="138"/>
      <c r="H83" s="138"/>
      <c r="I83" s="138"/>
      <c r="J83" s="138"/>
      <c r="K83" s="138"/>
      <c r="L83" s="369" t="str">
        <f t="shared" si="9"/>
        <v>TBD</v>
      </c>
      <c r="M83" s="370" t="str">
        <f t="shared" si="10"/>
        <v/>
      </c>
      <c r="O83" s="59"/>
      <c r="P83" s="18" t="s">
        <v>118</v>
      </c>
      <c r="Y83" s="15"/>
      <c r="AA83" s="25" t="s">
        <v>119</v>
      </c>
    </row>
    <row r="84" spans="1:30" ht="14.1" customHeight="1" x14ac:dyDescent="0.25">
      <c r="A84" s="3">
        <v>18</v>
      </c>
      <c r="B84" s="351"/>
      <c r="C84" s="73"/>
      <c r="D84" s="138"/>
      <c r="E84" s="73" t="s">
        <v>108</v>
      </c>
      <c r="F84" s="138"/>
      <c r="G84" s="138"/>
      <c r="H84" s="138"/>
      <c r="I84" s="138"/>
      <c r="J84" s="138"/>
      <c r="K84" s="138"/>
      <c r="L84" s="369" t="str">
        <f t="shared" si="9"/>
        <v>TBD</v>
      </c>
      <c r="M84" s="370" t="str">
        <f t="shared" si="10"/>
        <v/>
      </c>
      <c r="O84" s="59"/>
      <c r="P84" s="18" t="s">
        <v>120</v>
      </c>
      <c r="Y84" s="15"/>
      <c r="AA84" s="2" t="s">
        <v>121</v>
      </c>
      <c r="AB84" s="43"/>
      <c r="AC84" s="31" t="str">
        <f t="shared" ref="AC84:AC92" si="11">IF(AB84&lt;&gt;AD84,"Change","")</f>
        <v/>
      </c>
      <c r="AD84" s="44">
        <f>IF(Q124="","",Q124)</f>
        <v>0</v>
      </c>
    </row>
    <row r="85" spans="1:30" ht="14.1" customHeight="1" x14ac:dyDescent="0.25">
      <c r="A85" s="3">
        <v>19</v>
      </c>
      <c r="B85" s="351"/>
      <c r="C85" s="73"/>
      <c r="D85" s="138"/>
      <c r="E85" s="73" t="s">
        <v>110</v>
      </c>
      <c r="F85" s="138"/>
      <c r="G85" s="138"/>
      <c r="H85" s="138"/>
      <c r="I85" s="138"/>
      <c r="J85" s="138"/>
      <c r="K85" s="138"/>
      <c r="L85" s="369" t="str">
        <f t="shared" si="9"/>
        <v>TBD</v>
      </c>
      <c r="M85" s="370" t="str">
        <f t="shared" si="10"/>
        <v/>
      </c>
      <c r="O85" s="59"/>
      <c r="P85" s="18" t="s">
        <v>122</v>
      </c>
      <c r="Y85" s="15"/>
      <c r="AA85" s="2" t="s">
        <v>123</v>
      </c>
      <c r="AB85" s="43"/>
      <c r="AC85" s="31" t="str">
        <f t="shared" si="11"/>
        <v/>
      </c>
      <c r="AD85" s="44">
        <f>IF(R124="","",R124)</f>
        <v>0</v>
      </c>
    </row>
    <row r="86" spans="1:30" ht="14.1" customHeight="1" x14ac:dyDescent="0.25">
      <c r="A86" s="3">
        <v>20</v>
      </c>
      <c r="B86" s="351"/>
      <c r="C86" s="73"/>
      <c r="D86" s="138"/>
      <c r="E86" s="73" t="s">
        <v>112</v>
      </c>
      <c r="F86" s="138"/>
      <c r="G86" s="138"/>
      <c r="H86" s="138"/>
      <c r="I86" s="138"/>
      <c r="J86" s="138"/>
      <c r="K86" s="138"/>
      <c r="L86" s="369" t="str">
        <f t="shared" si="9"/>
        <v>TBD</v>
      </c>
      <c r="M86" s="370" t="str">
        <f t="shared" si="10"/>
        <v/>
      </c>
      <c r="O86" s="59"/>
      <c r="P86" s="18" t="s">
        <v>124</v>
      </c>
      <c r="Y86" s="15"/>
      <c r="AA86" s="2" t="s">
        <v>125</v>
      </c>
      <c r="AB86" s="43"/>
      <c r="AC86" s="31" t="str">
        <f t="shared" si="11"/>
        <v/>
      </c>
      <c r="AD86" s="44">
        <f>IF(S124="","",S124)</f>
        <v>0</v>
      </c>
    </row>
    <row r="87" spans="1:30" ht="14.1" customHeight="1" x14ac:dyDescent="0.25">
      <c r="A87" s="3">
        <v>21</v>
      </c>
      <c r="B87" s="351"/>
      <c r="C87" s="73"/>
      <c r="D87" s="138"/>
      <c r="E87" s="73" t="s">
        <v>114</v>
      </c>
      <c r="F87" s="138"/>
      <c r="G87" s="138"/>
      <c r="H87" s="138"/>
      <c r="I87" s="138"/>
      <c r="J87" s="138"/>
      <c r="K87" s="138"/>
      <c r="L87" s="369" t="str">
        <f t="shared" si="9"/>
        <v>TBD</v>
      </c>
      <c r="M87" s="370" t="str">
        <f t="shared" si="10"/>
        <v/>
      </c>
      <c r="O87" s="59"/>
      <c r="P87" s="18" t="s">
        <v>126</v>
      </c>
      <c r="Y87" s="15"/>
      <c r="AA87" s="2" t="s">
        <v>121</v>
      </c>
      <c r="AB87" s="43"/>
      <c r="AC87" s="31" t="str">
        <f t="shared" si="11"/>
        <v/>
      </c>
      <c r="AD87" s="44">
        <f>IF(T124="","",T124)</f>
        <v>0</v>
      </c>
    </row>
    <row r="88" spans="1:30" ht="14.1" customHeight="1" x14ac:dyDescent="0.25">
      <c r="A88" s="3">
        <v>22</v>
      </c>
      <c r="B88" s="351"/>
      <c r="C88" s="73"/>
      <c r="D88" s="207"/>
      <c r="E88" s="207"/>
      <c r="F88" s="207"/>
      <c r="G88" s="207"/>
      <c r="H88" s="207"/>
      <c r="I88" s="207"/>
      <c r="J88" s="207"/>
      <c r="K88" s="207"/>
      <c r="L88" s="207"/>
      <c r="M88" s="371"/>
      <c r="O88" s="75"/>
      <c r="P88" s="18"/>
      <c r="S88" s="56"/>
      <c r="T88" s="52" t="s">
        <v>127</v>
      </c>
      <c r="Y88" s="15"/>
      <c r="AA88" s="2" t="s">
        <v>123</v>
      </c>
      <c r="AB88" s="43"/>
      <c r="AC88" s="31" t="str">
        <f t="shared" si="11"/>
        <v/>
      </c>
      <c r="AD88" s="44">
        <f>IF(U124="","",U124)</f>
        <v>0</v>
      </c>
    </row>
    <row r="89" spans="1:30" ht="14.1" customHeight="1" x14ac:dyDescent="0.25">
      <c r="A89" s="3">
        <v>23</v>
      </c>
      <c r="B89" s="351"/>
      <c r="C89" s="76"/>
      <c r="D89" s="138"/>
      <c r="E89" s="138"/>
      <c r="F89" s="363" t="s">
        <v>65</v>
      </c>
      <c r="G89" s="138"/>
      <c r="H89" s="138"/>
      <c r="I89" s="138"/>
      <c r="J89" s="138"/>
      <c r="K89" s="138"/>
      <c r="L89" s="138"/>
      <c r="M89" s="353"/>
      <c r="O89" s="59"/>
      <c r="P89" s="18" t="s">
        <v>128</v>
      </c>
      <c r="Y89" s="15"/>
      <c r="AA89" s="2" t="s">
        <v>125</v>
      </c>
      <c r="AB89" s="43"/>
      <c r="AC89" s="31" t="str">
        <f t="shared" si="11"/>
        <v/>
      </c>
      <c r="AD89" s="44">
        <f>IF(V124="","",V124)</f>
        <v>0</v>
      </c>
    </row>
    <row r="90" spans="1:30" ht="14.1" customHeight="1" x14ac:dyDescent="0.25">
      <c r="A90" s="3">
        <v>24</v>
      </c>
      <c r="B90" s="351"/>
      <c r="C90" s="73" t="s">
        <v>129</v>
      </c>
      <c r="D90" s="138"/>
      <c r="E90" s="73" t="s">
        <v>67</v>
      </c>
      <c r="F90" s="138"/>
      <c r="G90" s="138"/>
      <c r="H90" s="138"/>
      <c r="I90" s="138"/>
      <c r="J90" s="138"/>
      <c r="K90" s="138"/>
      <c r="L90" s="369" t="str">
        <f t="shared" ref="L90:L97" si="12">IF(O57="","TBD",IF(O57=1,"YES",IF(O57=3,"NA","")))</f>
        <v>TBD</v>
      </c>
      <c r="M90" s="370" t="str">
        <f t="shared" ref="M90:M104" si="13">IF(O57=2,"NO","")</f>
        <v/>
      </c>
      <c r="O90" s="59"/>
      <c r="P90" s="18" t="s">
        <v>130</v>
      </c>
      <c r="Y90" s="15"/>
      <c r="AA90" s="2" t="s">
        <v>121</v>
      </c>
      <c r="AB90" s="43"/>
      <c r="AC90" s="31" t="str">
        <f t="shared" si="11"/>
        <v/>
      </c>
      <c r="AD90" s="44">
        <f>IF(W124="","",W124)</f>
        <v>0</v>
      </c>
    </row>
    <row r="91" spans="1:30" ht="14.1" customHeight="1" x14ac:dyDescent="0.25">
      <c r="A91" s="3">
        <v>25</v>
      </c>
      <c r="B91" s="351"/>
      <c r="C91" s="73" t="s">
        <v>131</v>
      </c>
      <c r="D91" s="138"/>
      <c r="E91" s="73" t="s">
        <v>70</v>
      </c>
      <c r="F91" s="138"/>
      <c r="G91" s="138"/>
      <c r="H91" s="138"/>
      <c r="I91" s="138"/>
      <c r="J91" s="138"/>
      <c r="K91" s="138"/>
      <c r="L91" s="369" t="str">
        <f t="shared" si="12"/>
        <v>TBD</v>
      </c>
      <c r="M91" s="370" t="str">
        <f t="shared" si="13"/>
        <v/>
      </c>
      <c r="O91" s="59"/>
      <c r="P91" s="18" t="s">
        <v>132</v>
      </c>
      <c r="Y91" s="15"/>
      <c r="AA91" s="2" t="s">
        <v>123</v>
      </c>
      <c r="AB91" s="43"/>
      <c r="AC91" s="31" t="str">
        <f t="shared" si="11"/>
        <v/>
      </c>
      <c r="AD91" s="44">
        <f>IF(X124="","",X124)</f>
        <v>0</v>
      </c>
    </row>
    <row r="92" spans="1:30" ht="14.1" customHeight="1" x14ac:dyDescent="0.25">
      <c r="A92" s="3">
        <v>26</v>
      </c>
      <c r="B92" s="351"/>
      <c r="C92" s="73" t="s">
        <v>133</v>
      </c>
      <c r="D92" s="138"/>
      <c r="E92" s="73" t="s">
        <v>72</v>
      </c>
      <c r="F92" s="138"/>
      <c r="G92" s="138"/>
      <c r="H92" s="138"/>
      <c r="I92" s="138"/>
      <c r="J92" s="138"/>
      <c r="K92" s="138"/>
      <c r="L92" s="369" t="str">
        <f t="shared" si="12"/>
        <v>TBD</v>
      </c>
      <c r="M92" s="370" t="str">
        <f t="shared" si="13"/>
        <v/>
      </c>
      <c r="O92" s="59"/>
      <c r="P92" s="18" t="s">
        <v>134</v>
      </c>
      <c r="Y92" s="15"/>
      <c r="AA92" s="2" t="s">
        <v>125</v>
      </c>
      <c r="AB92" s="43"/>
      <c r="AC92" s="31" t="str">
        <f t="shared" si="11"/>
        <v/>
      </c>
      <c r="AD92" s="44">
        <f>IF(Y124="","",Y124)</f>
        <v>0</v>
      </c>
    </row>
    <row r="93" spans="1:30" ht="14.1" customHeight="1" x14ac:dyDescent="0.25">
      <c r="A93" s="3">
        <v>27</v>
      </c>
      <c r="B93" s="351"/>
      <c r="C93" s="73" t="s">
        <v>129</v>
      </c>
      <c r="D93" s="138"/>
      <c r="E93" s="73" t="s">
        <v>73</v>
      </c>
      <c r="F93" s="138"/>
      <c r="G93" s="138"/>
      <c r="H93" s="138"/>
      <c r="I93" s="138"/>
      <c r="J93" s="138"/>
      <c r="K93" s="138"/>
      <c r="L93" s="369" t="str">
        <f t="shared" si="12"/>
        <v>TBD</v>
      </c>
      <c r="M93" s="370" t="str">
        <f t="shared" si="13"/>
        <v/>
      </c>
      <c r="O93" s="59"/>
      <c r="P93" s="18" t="s">
        <v>135</v>
      </c>
      <c r="Y93" s="15"/>
      <c r="AA93" s="25" t="s">
        <v>136</v>
      </c>
      <c r="AB93" s="56"/>
      <c r="AC93" s="56"/>
      <c r="AD93" s="56"/>
    </row>
    <row r="94" spans="1:30" ht="14.1" customHeight="1" x14ac:dyDescent="0.25">
      <c r="A94" s="3">
        <v>28</v>
      </c>
      <c r="B94" s="351"/>
      <c r="C94" s="73" t="s">
        <v>137</v>
      </c>
      <c r="D94" s="138"/>
      <c r="E94" s="73" t="s">
        <v>74</v>
      </c>
      <c r="F94" s="138"/>
      <c r="G94" s="138"/>
      <c r="H94" s="138"/>
      <c r="I94" s="138"/>
      <c r="J94" s="138"/>
      <c r="K94" s="138"/>
      <c r="L94" s="369" t="str">
        <f t="shared" si="12"/>
        <v>TBD</v>
      </c>
      <c r="M94" s="370" t="str">
        <f t="shared" si="13"/>
        <v/>
      </c>
      <c r="O94" s="59"/>
      <c r="P94" s="18" t="s">
        <v>138</v>
      </c>
      <c r="Y94" s="15"/>
      <c r="AA94" s="2" t="s">
        <v>121</v>
      </c>
      <c r="AB94" s="43"/>
      <c r="AC94" s="31" t="str">
        <f t="shared" ref="AC94:AC102" si="14">IF(AB94&lt;&gt;AD94,"Change","")</f>
        <v/>
      </c>
      <c r="AD94" s="44">
        <f>IF(Q156="","",Q156)</f>
        <v>0</v>
      </c>
    </row>
    <row r="95" spans="1:30" ht="14.1" customHeight="1" x14ac:dyDescent="0.25">
      <c r="A95" s="3">
        <v>29</v>
      </c>
      <c r="B95" s="351"/>
      <c r="C95" s="73" t="s">
        <v>139</v>
      </c>
      <c r="D95" s="138"/>
      <c r="E95" s="73" t="s">
        <v>75</v>
      </c>
      <c r="F95" s="138"/>
      <c r="G95" s="138"/>
      <c r="H95" s="138"/>
      <c r="I95" s="138"/>
      <c r="J95" s="138"/>
      <c r="K95" s="138"/>
      <c r="L95" s="369" t="str">
        <f t="shared" si="12"/>
        <v>YES</v>
      </c>
      <c r="M95" s="370" t="str">
        <f t="shared" si="13"/>
        <v/>
      </c>
      <c r="O95" s="22"/>
      <c r="P95" s="23"/>
      <c r="Q95" s="23"/>
      <c r="R95" s="23"/>
      <c r="S95" s="23"/>
      <c r="T95" s="23"/>
      <c r="U95" s="23"/>
      <c r="V95" s="23"/>
      <c r="W95" s="23"/>
      <c r="X95" s="23"/>
      <c r="Y95" s="24"/>
      <c r="AA95" s="2" t="s">
        <v>123</v>
      </c>
      <c r="AB95" s="43"/>
      <c r="AC95" s="31" t="str">
        <f t="shared" si="14"/>
        <v/>
      </c>
      <c r="AD95" s="44">
        <f>IF(R156="","",R156)</f>
        <v>0</v>
      </c>
    </row>
    <row r="96" spans="1:30" ht="14.1" customHeight="1" x14ac:dyDescent="0.25">
      <c r="A96" s="3">
        <v>30</v>
      </c>
      <c r="B96" s="351"/>
      <c r="C96" s="73" t="s">
        <v>140</v>
      </c>
      <c r="D96" s="138"/>
      <c r="E96" s="73" t="s">
        <v>76</v>
      </c>
      <c r="F96" s="138"/>
      <c r="G96" s="138"/>
      <c r="H96" s="138"/>
      <c r="I96" s="138"/>
      <c r="J96" s="138"/>
      <c r="K96" s="138"/>
      <c r="L96" s="369" t="str">
        <f t="shared" si="12"/>
        <v>YES</v>
      </c>
      <c r="M96" s="370" t="str">
        <f t="shared" si="13"/>
        <v/>
      </c>
      <c r="AA96" s="2" t="s">
        <v>125</v>
      </c>
      <c r="AB96" s="43"/>
      <c r="AC96" s="31" t="str">
        <f t="shared" si="14"/>
        <v/>
      </c>
      <c r="AD96" s="44">
        <f>IF(S156="","",S156)</f>
        <v>0</v>
      </c>
    </row>
    <row r="97" spans="1:30" ht="14.1" customHeight="1" x14ac:dyDescent="0.25">
      <c r="A97" s="3">
        <v>31</v>
      </c>
      <c r="B97" s="351"/>
      <c r="C97" s="73"/>
      <c r="D97" s="138"/>
      <c r="E97" s="73" t="s">
        <v>77</v>
      </c>
      <c r="F97" s="138"/>
      <c r="G97" s="138"/>
      <c r="H97" s="138"/>
      <c r="I97" s="138"/>
      <c r="J97" s="138"/>
      <c r="K97" s="138"/>
      <c r="L97" s="369" t="str">
        <f t="shared" si="12"/>
        <v>NA</v>
      </c>
      <c r="M97" s="370" t="str">
        <f t="shared" si="13"/>
        <v/>
      </c>
      <c r="S97" s="56"/>
      <c r="T97" s="33" t="s">
        <v>50</v>
      </c>
      <c r="AA97" s="2" t="s">
        <v>121</v>
      </c>
      <c r="AB97" s="43"/>
      <c r="AC97" s="31" t="str">
        <f t="shared" si="14"/>
        <v/>
      </c>
      <c r="AD97" s="44">
        <f>IF(T156="","",T156)</f>
        <v>0</v>
      </c>
    </row>
    <row r="98" spans="1:30" ht="14.1" customHeight="1" x14ac:dyDescent="0.25">
      <c r="A98" s="3">
        <v>32</v>
      </c>
      <c r="B98" s="351"/>
      <c r="C98" s="73"/>
      <c r="D98" s="138"/>
      <c r="E98" s="73" t="s">
        <v>78</v>
      </c>
      <c r="F98" s="138"/>
      <c r="G98" s="138"/>
      <c r="H98" s="138"/>
      <c r="I98" s="138"/>
      <c r="J98" s="138"/>
      <c r="K98" s="138"/>
      <c r="L98" s="369" t="str">
        <f>IF(O65="","NA",IF(O65=1,"YES",IF(O65=3,"NA","")))</f>
        <v>NA</v>
      </c>
      <c r="M98" s="370" t="str">
        <f t="shared" si="13"/>
        <v/>
      </c>
      <c r="AA98" s="2" t="s">
        <v>123</v>
      </c>
      <c r="AB98" s="43"/>
      <c r="AC98" s="31" t="str">
        <f t="shared" si="14"/>
        <v/>
      </c>
      <c r="AD98" s="44">
        <f>IF(U156="","",U156)</f>
        <v>0</v>
      </c>
    </row>
    <row r="99" spans="1:30" ht="14.1" customHeight="1" x14ac:dyDescent="0.25">
      <c r="A99" s="3">
        <v>33</v>
      </c>
      <c r="B99" s="351"/>
      <c r="C99" s="73" t="s">
        <v>141</v>
      </c>
      <c r="D99" s="138"/>
      <c r="E99" s="73" t="s">
        <v>80</v>
      </c>
      <c r="F99" s="138"/>
      <c r="G99" s="138"/>
      <c r="H99" s="138"/>
      <c r="I99" s="138"/>
      <c r="J99" s="138"/>
      <c r="K99" s="138"/>
      <c r="L99" s="369" t="str">
        <f t="shared" ref="L99:L104" si="15">IF(O66="","TBD",IF(O66=1,"YES",IF(O66=3,"NA","")))</f>
        <v>YES</v>
      </c>
      <c r="M99" s="370" t="str">
        <f t="shared" si="13"/>
        <v/>
      </c>
      <c r="O99" s="58" t="s">
        <v>142</v>
      </c>
      <c r="P99" s="8"/>
      <c r="Q99" s="77" t="str">
        <f>IF(R99&lt;&gt;"",R99,IF(AB74="","",AB74))</f>
        <v/>
      </c>
      <c r="R99" s="78"/>
      <c r="S99" s="79" t="s">
        <v>143</v>
      </c>
      <c r="T99" s="80"/>
      <c r="U99" s="8"/>
      <c r="V99" s="77" t="str">
        <f>IF(W99&lt;&gt;"",W99,IF(AB79="","",AB79))</f>
        <v>Auto</v>
      </c>
      <c r="W99" s="78" t="s">
        <v>144</v>
      </c>
      <c r="X99" s="79" t="s">
        <v>145</v>
      </c>
      <c r="Y99" s="9"/>
      <c r="AA99" s="2" t="s">
        <v>125</v>
      </c>
      <c r="AB99" s="43"/>
      <c r="AC99" s="31" t="str">
        <f t="shared" si="14"/>
        <v/>
      </c>
      <c r="AD99" s="44">
        <f>IF(V156="","",V156)</f>
        <v>0</v>
      </c>
    </row>
    <row r="100" spans="1:30" ht="14.1" customHeight="1" x14ac:dyDescent="0.25">
      <c r="A100" s="3">
        <v>34</v>
      </c>
      <c r="B100" s="351"/>
      <c r="C100" s="73" t="s">
        <v>146</v>
      </c>
      <c r="D100" s="138"/>
      <c r="E100" s="73" t="s">
        <v>81</v>
      </c>
      <c r="F100" s="138"/>
      <c r="G100" s="138"/>
      <c r="H100" s="138"/>
      <c r="I100" s="138"/>
      <c r="J100" s="138"/>
      <c r="K100" s="138"/>
      <c r="L100" s="369" t="str">
        <f t="shared" si="15"/>
        <v>TBD</v>
      </c>
      <c r="M100" s="370" t="str">
        <f t="shared" si="13"/>
        <v/>
      </c>
      <c r="O100" s="14"/>
      <c r="Q100" s="50">
        <f>IF(R100&lt;&gt;"",R100,IF(AB75="","",AB75))</f>
        <v>1</v>
      </c>
      <c r="R100" s="51">
        <v>1</v>
      </c>
      <c r="S100" s="18" t="s">
        <v>147</v>
      </c>
      <c r="T100" s="56"/>
      <c r="Y100" s="15"/>
      <c r="AA100" s="2" t="s">
        <v>121</v>
      </c>
      <c r="AB100" s="43"/>
      <c r="AC100" s="31" t="str">
        <f t="shared" si="14"/>
        <v/>
      </c>
      <c r="AD100" s="44">
        <f>IF(W156="","",W156)</f>
        <v>0</v>
      </c>
    </row>
    <row r="101" spans="1:30" ht="14.1" customHeight="1" x14ac:dyDescent="0.25">
      <c r="A101" s="3">
        <v>35</v>
      </c>
      <c r="B101" s="351"/>
      <c r="C101" s="73"/>
      <c r="D101" s="138"/>
      <c r="E101" s="73" t="s">
        <v>83</v>
      </c>
      <c r="F101" s="138"/>
      <c r="G101" s="138"/>
      <c r="H101" s="138"/>
      <c r="I101" s="138"/>
      <c r="J101" s="138"/>
      <c r="K101" s="138"/>
      <c r="L101" s="369" t="str">
        <f t="shared" si="15"/>
        <v>TBD</v>
      </c>
      <c r="M101" s="370" t="str">
        <f t="shared" si="13"/>
        <v/>
      </c>
      <c r="O101" s="62">
        <f>IF(P101&lt;&gt;"",P101,IF(AB76="","",AB76))</f>
        <v>2</v>
      </c>
      <c r="P101" s="51">
        <v>2</v>
      </c>
      <c r="Q101" s="18" t="s">
        <v>148</v>
      </c>
      <c r="Y101" s="15"/>
      <c r="AA101" s="2" t="s">
        <v>123</v>
      </c>
      <c r="AB101" s="43"/>
      <c r="AC101" s="31" t="str">
        <f t="shared" si="14"/>
        <v/>
      </c>
      <c r="AD101" s="44">
        <f>IF(X156="","",X156)</f>
        <v>0</v>
      </c>
    </row>
    <row r="102" spans="1:30" ht="14.1" customHeight="1" x14ac:dyDescent="0.25">
      <c r="A102" s="3">
        <v>36</v>
      </c>
      <c r="B102" s="351"/>
      <c r="C102" s="73" t="s">
        <v>146</v>
      </c>
      <c r="D102" s="138"/>
      <c r="E102" s="73" t="s">
        <v>87</v>
      </c>
      <c r="F102" s="138"/>
      <c r="G102" s="138"/>
      <c r="H102" s="138"/>
      <c r="I102" s="138"/>
      <c r="J102" s="138"/>
      <c r="K102" s="138"/>
      <c r="L102" s="369" t="str">
        <f t="shared" si="15"/>
        <v>TBD</v>
      </c>
      <c r="M102" s="370" t="str">
        <f t="shared" si="13"/>
        <v/>
      </c>
      <c r="O102" s="62">
        <f>IF(P102&lt;&gt;"",P102,IF(AB77="","",AB77))</f>
        <v>1</v>
      </c>
      <c r="P102" s="51">
        <v>1</v>
      </c>
      <c r="Q102" s="18" t="s">
        <v>149</v>
      </c>
      <c r="Y102" s="15"/>
      <c r="AA102" s="2" t="s">
        <v>125</v>
      </c>
      <c r="AB102" s="43"/>
      <c r="AC102" s="31" t="str">
        <f t="shared" si="14"/>
        <v/>
      </c>
      <c r="AD102" s="44">
        <f>IF(Y156="","",Y156)</f>
        <v>0</v>
      </c>
    </row>
    <row r="103" spans="1:30" ht="14.1" customHeight="1" x14ac:dyDescent="0.25">
      <c r="A103" s="3">
        <v>37</v>
      </c>
      <c r="B103" s="351"/>
      <c r="C103" s="73" t="s">
        <v>150</v>
      </c>
      <c r="D103" s="138"/>
      <c r="E103" s="73" t="s">
        <v>90</v>
      </c>
      <c r="F103" s="138"/>
      <c r="G103" s="138"/>
      <c r="H103" s="138"/>
      <c r="I103" s="138"/>
      <c r="J103" s="138"/>
      <c r="K103" s="138"/>
      <c r="L103" s="369" t="str">
        <f t="shared" si="15"/>
        <v>TBD</v>
      </c>
      <c r="M103" s="370" t="str">
        <f t="shared" si="13"/>
        <v/>
      </c>
      <c r="O103" s="81" t="str">
        <f>IF(AND(O101&gt;2,O102=1),"NOTE:  Record data for lowest and highest regular dose rate settings, and the ""High Level"" setting",IF(AND(O101&gt;2,O102=2),"NOTE:  Record data for lowest, medium, and highest regular dose rate settings.","Blank"))</f>
        <v>Blank</v>
      </c>
      <c r="Y103" s="15"/>
      <c r="AA103" s="25" t="s">
        <v>151</v>
      </c>
      <c r="AB103" s="56"/>
    </row>
    <row r="104" spans="1:30" ht="14.1" customHeight="1" x14ac:dyDescent="0.25">
      <c r="A104" s="3">
        <v>38</v>
      </c>
      <c r="B104" s="351"/>
      <c r="C104" s="73" t="s">
        <v>152</v>
      </c>
      <c r="D104" s="138"/>
      <c r="E104" s="73" t="s">
        <v>93</v>
      </c>
      <c r="F104" s="138"/>
      <c r="G104" s="138"/>
      <c r="H104" s="138"/>
      <c r="I104" s="138"/>
      <c r="J104" s="138"/>
      <c r="K104" s="138"/>
      <c r="L104" s="369" t="str">
        <f t="shared" si="15"/>
        <v>TBD</v>
      </c>
      <c r="M104" s="370" t="str">
        <f t="shared" si="13"/>
        <v/>
      </c>
      <c r="O104" s="82" t="str">
        <f>IF(P104&lt;&gt;"",P104,IF(AB78="","",AB78))</f>
        <v>cm</v>
      </c>
      <c r="P104" s="29" t="s">
        <v>153</v>
      </c>
      <c r="Q104" s="18" t="s">
        <v>154</v>
      </c>
      <c r="Y104" s="15"/>
      <c r="AA104" s="2" t="s">
        <v>155</v>
      </c>
      <c r="AB104" s="43"/>
      <c r="AC104" s="31" t="str">
        <f>IF(AB104&lt;&gt;AD104,"Change","")</f>
        <v>Change</v>
      </c>
      <c r="AD104" s="64">
        <f>IF(O173="","",O173)</f>
        <v>80</v>
      </c>
    </row>
    <row r="105" spans="1:30" ht="14.1" customHeight="1" x14ac:dyDescent="0.25">
      <c r="A105" s="3">
        <v>39</v>
      </c>
      <c r="B105" s="351"/>
      <c r="C105" s="73" t="s">
        <v>156</v>
      </c>
      <c r="D105" s="138"/>
      <c r="E105" s="73" t="s">
        <v>157</v>
      </c>
      <c r="F105" s="138"/>
      <c r="G105" s="138"/>
      <c r="H105" s="138"/>
      <c r="I105" s="138"/>
      <c r="J105" s="138"/>
      <c r="K105" s="138"/>
      <c r="L105" s="369" t="str">
        <f>IF(X181="TBD","TBD",IF(X181="YES","YES",IF(X181="NA","NA","")))</f>
        <v>TBD</v>
      </c>
      <c r="M105" s="370" t="str">
        <f>IF(X181="NO","NO","")</f>
        <v/>
      </c>
      <c r="O105" s="83" t="s">
        <v>158</v>
      </c>
      <c r="Y105" s="15"/>
      <c r="AA105" s="2" t="s">
        <v>159</v>
      </c>
      <c r="AB105" s="43"/>
      <c r="AC105" s="31" t="str">
        <f>IF(AB105&lt;&gt;AD105,"Change","")</f>
        <v>Change</v>
      </c>
      <c r="AD105" s="44" t="str">
        <f>IF(X174="","",X174)</f>
        <v>TBD</v>
      </c>
    </row>
    <row r="106" spans="1:30" ht="14.1" customHeight="1" x14ac:dyDescent="0.25">
      <c r="A106" s="3">
        <v>40</v>
      </c>
      <c r="B106" s="351"/>
      <c r="C106" s="45"/>
      <c r="D106" s="138"/>
      <c r="E106" s="73" t="s">
        <v>160</v>
      </c>
      <c r="F106" s="138"/>
      <c r="G106" s="138"/>
      <c r="H106" s="138"/>
      <c r="I106" s="138"/>
      <c r="J106" s="138"/>
      <c r="K106" s="138"/>
      <c r="L106" s="369" t="str">
        <f>IF(Q286="","NA",IF(Q286="YES",Q286,IF(Q286="NA",Q286,"")))</f>
        <v>NA</v>
      </c>
      <c r="M106" s="370" t="str">
        <f>IF(Q286="NO",Q286,"")</f>
        <v/>
      </c>
      <c r="O106" s="84" t="s">
        <v>161</v>
      </c>
      <c r="P106" s="15" t="str">
        <f>IF($Q$100=1,"Acrylic","Aluminum")</f>
        <v>Acrylic</v>
      </c>
      <c r="Q106" s="50" t="str">
        <f>IF(R106&lt;&gt;"",R106,IF(AB80="","",AB80))</f>
        <v/>
      </c>
      <c r="R106" s="51"/>
      <c r="S106" s="15"/>
      <c r="T106" s="50" t="str">
        <f>IF(U106&lt;&gt;"",U106,IF(AB81="","",AB81))</f>
        <v/>
      </c>
      <c r="U106" s="51"/>
      <c r="V106" s="15"/>
      <c r="W106" s="50" t="str">
        <f>IF(X106&lt;&gt;"",X106,IF(AB82="","",AB82))</f>
        <v/>
      </c>
      <c r="X106" s="51"/>
      <c r="Y106" s="15"/>
      <c r="AA106" s="25" t="s">
        <v>162</v>
      </c>
      <c r="AB106" s="56"/>
    </row>
    <row r="107" spans="1:30" ht="14.1" customHeight="1" x14ac:dyDescent="0.25">
      <c r="A107" s="3">
        <v>41</v>
      </c>
      <c r="B107" s="351"/>
      <c r="C107" s="45"/>
      <c r="D107" s="138"/>
      <c r="E107" s="73" t="s">
        <v>163</v>
      </c>
      <c r="F107" s="207"/>
      <c r="G107" s="207"/>
      <c r="H107" s="207"/>
      <c r="I107" s="207"/>
      <c r="J107" s="207"/>
      <c r="K107" s="207"/>
      <c r="L107" s="369" t="str">
        <f>IF(T286="","NA",IF(T286="YES",T286,IF(T286="NA",T286,"")))</f>
        <v>NA</v>
      </c>
      <c r="M107" s="370" t="str">
        <f>IF(T286="NO",T286,"")</f>
        <v/>
      </c>
      <c r="O107" s="84" t="s">
        <v>164</v>
      </c>
      <c r="P107" s="15" t="s">
        <v>165</v>
      </c>
      <c r="Q107" s="626" t="str">
        <f>IF(Q106&lt;&gt;"",Q106,IF($Q$99=1,"Manual 1",IF(AUTO_MA="","",AUTO_MA&amp;" 1")))</f>
        <v>Auto 1</v>
      </c>
      <c r="R107" s="626"/>
      <c r="S107" s="626"/>
      <c r="T107" s="627" t="str">
        <f>IF(T106&lt;&gt;"",T106,IF($R$1399=1,"Manual 2",IF(OR(AUTO_MA="",O101="",O101=1),"",AUTO_MA&amp;" "&amp;IF(O101=2,2,IF(AND(O102=2,O101&gt;2),ROUND(O101/2,0),O101)))))</f>
        <v>Auto 2</v>
      </c>
      <c r="U107" s="627"/>
      <c r="V107" s="627"/>
      <c r="W107" s="627" t="str">
        <f>IF(W106&lt;&gt;"",W106,IF(OR(O102=1,O101&lt;3),IF(O102=1,"High Level","No High Level"),IF(AUTO_MA="","",AUTO_MA&amp;" "&amp;O101)))</f>
        <v>High Level</v>
      </c>
      <c r="X107" s="627"/>
      <c r="Y107" s="627"/>
      <c r="AA107" s="2" t="s">
        <v>113</v>
      </c>
      <c r="AB107" s="43"/>
      <c r="AC107" s="31" t="str">
        <f>IF(AB107&lt;&gt;AD107,"Change","")</f>
        <v/>
      </c>
      <c r="AD107" s="44" t="str">
        <f>IF(Q138="","",Q138)</f>
        <v/>
      </c>
    </row>
    <row r="108" spans="1:30" ht="14.1" customHeight="1" x14ac:dyDescent="0.25">
      <c r="A108" s="3">
        <v>42</v>
      </c>
      <c r="B108" s="351"/>
      <c r="C108" s="45"/>
      <c r="D108" s="138"/>
      <c r="E108" s="73" t="s">
        <v>166</v>
      </c>
      <c r="F108" s="207"/>
      <c r="G108" s="207"/>
      <c r="H108" s="207"/>
      <c r="I108" s="207"/>
      <c r="J108" s="207"/>
      <c r="K108" s="207"/>
      <c r="L108" s="369" t="str">
        <f>IF(W286="","NA",IF(W286="YES",W286,IF(W286="NA",W286,"")))</f>
        <v>NA</v>
      </c>
      <c r="M108" s="370" t="str">
        <f>IF(W286="NO",W286,"")</f>
        <v/>
      </c>
      <c r="O108" s="84" t="str">
        <f>IF(flocm_in="","","("&amp;flocm_in&amp;")")</f>
        <v>(cm)</v>
      </c>
      <c r="P108" s="24" t="s">
        <v>167</v>
      </c>
      <c r="Q108" s="1" t="s">
        <v>168</v>
      </c>
      <c r="R108" s="1" t="s">
        <v>169</v>
      </c>
      <c r="S108" s="15" t="s">
        <v>170</v>
      </c>
      <c r="T108" s="1" t="s">
        <v>168</v>
      </c>
      <c r="U108" s="1" t="s">
        <v>169</v>
      </c>
      <c r="V108" s="15" t="s">
        <v>170</v>
      </c>
      <c r="W108" s="1" t="s">
        <v>168</v>
      </c>
      <c r="X108" s="1" t="s">
        <v>169</v>
      </c>
      <c r="Y108" s="15" t="s">
        <v>170</v>
      </c>
      <c r="AA108" s="2" t="s">
        <v>115</v>
      </c>
      <c r="AB108" s="43"/>
      <c r="AC108" s="31" t="str">
        <f>IF(AB108&lt;&gt;AD108,"Change","")</f>
        <v/>
      </c>
      <c r="AD108" s="44" t="str">
        <f>IF(T138="","",T138)</f>
        <v/>
      </c>
    </row>
    <row r="109" spans="1:30" ht="14.1" customHeight="1" x14ac:dyDescent="0.25">
      <c r="A109" s="3">
        <v>43</v>
      </c>
      <c r="B109" s="351"/>
      <c r="C109" s="45"/>
      <c r="D109" s="138"/>
      <c r="E109" s="372" t="s">
        <v>171</v>
      </c>
      <c r="F109" s="373"/>
      <c r="G109" s="373"/>
      <c r="H109" s="373"/>
      <c r="I109" s="373"/>
      <c r="J109" s="373"/>
      <c r="K109" s="373"/>
      <c r="L109" s="369" t="str">
        <f>IF(T299="","NA",IF(T299="YES",T299,IF(T299="NA",T299,"")))</f>
        <v>NA</v>
      </c>
      <c r="M109" s="370" t="str">
        <f>IF(T299="NO",T299,"")</f>
        <v/>
      </c>
      <c r="O109" s="85" t="s">
        <v>172</v>
      </c>
      <c r="P109" s="85">
        <v>10</v>
      </c>
      <c r="Q109" s="86">
        <f>DataEntry!C5</f>
        <v>0</v>
      </c>
      <c r="R109" s="87">
        <f>DataEntry!D5</f>
        <v>0</v>
      </c>
      <c r="S109" s="88">
        <f>DataEntry!E5*60/1000</f>
        <v>0</v>
      </c>
      <c r="T109" s="86">
        <f>DataEntry!F5</f>
        <v>0</v>
      </c>
      <c r="U109" s="87">
        <f>DataEntry!G5</f>
        <v>0</v>
      </c>
      <c r="V109" s="88">
        <f>DataEntry!H5*60/1000</f>
        <v>0</v>
      </c>
      <c r="W109" s="86">
        <f>DataEntry!I5</f>
        <v>0</v>
      </c>
      <c r="X109" s="87">
        <f>DataEntry!J5</f>
        <v>0</v>
      </c>
      <c r="Y109" s="88">
        <f>DataEntry!K5*60/1000</f>
        <v>0</v>
      </c>
      <c r="AA109" s="2" t="s">
        <v>117</v>
      </c>
      <c r="AB109" s="43"/>
      <c r="AC109" s="31" t="str">
        <f>IF(AB109&lt;&gt;AD109,"Change","")</f>
        <v/>
      </c>
      <c r="AD109" s="44" t="str">
        <f>IF(W138="","",W138)</f>
        <v/>
      </c>
    </row>
    <row r="110" spans="1:30" ht="14.1" customHeight="1" x14ac:dyDescent="0.25">
      <c r="A110" s="3">
        <v>44</v>
      </c>
      <c r="B110" s="351"/>
      <c r="C110" s="45"/>
      <c r="D110" s="138"/>
      <c r="E110" s="372" t="s">
        <v>173</v>
      </c>
      <c r="F110" s="373"/>
      <c r="G110" s="373"/>
      <c r="H110" s="373"/>
      <c r="I110" s="373"/>
      <c r="J110" s="373"/>
      <c r="K110" s="373"/>
      <c r="L110" s="369" t="str">
        <f>IF(P312="","NA",IF(P312="YES",P312,IF(P312="NA",T300,"")))</f>
        <v>NA</v>
      </c>
      <c r="M110" s="370" t="str">
        <f>IF(P312="NO",P312,"")</f>
        <v/>
      </c>
      <c r="O110" s="89" t="str">
        <f>IF(O111&lt;&gt;"",O111,IF(AB68="","",AB68))</f>
        <v/>
      </c>
      <c r="P110" s="84">
        <v>20</v>
      </c>
      <c r="Q110" s="90">
        <f>DataEntry!C6</f>
        <v>0</v>
      </c>
      <c r="R110" s="91">
        <f>DataEntry!D6</f>
        <v>0</v>
      </c>
      <c r="S110" s="92">
        <f>DataEntry!E6*60/1000</f>
        <v>0</v>
      </c>
      <c r="T110" s="90">
        <f>DataEntry!F6</f>
        <v>0</v>
      </c>
      <c r="U110" s="91">
        <f>DataEntry!G6</f>
        <v>0</v>
      </c>
      <c r="V110" s="92">
        <f>DataEntry!H6*60/1000</f>
        <v>0</v>
      </c>
      <c r="W110" s="90">
        <f>DataEntry!I6</f>
        <v>0</v>
      </c>
      <c r="X110" s="91">
        <f>DataEntry!J6</f>
        <v>0</v>
      </c>
      <c r="Y110" s="92">
        <f>DataEntry!K6*60/1000</f>
        <v>0</v>
      </c>
      <c r="AA110" s="25" t="s">
        <v>174</v>
      </c>
    </row>
    <row r="111" spans="1:30" ht="14.1" customHeight="1" x14ac:dyDescent="0.25">
      <c r="A111" s="3">
        <v>45</v>
      </c>
      <c r="B111" s="351"/>
      <c r="C111" s="45"/>
      <c r="D111" s="138"/>
      <c r="E111" s="373"/>
      <c r="F111" s="373"/>
      <c r="G111" s="373"/>
      <c r="H111" s="373"/>
      <c r="I111" s="373"/>
      <c r="J111" s="373"/>
      <c r="K111" s="373"/>
      <c r="L111" s="373"/>
      <c r="M111" s="353"/>
      <c r="O111" s="93"/>
      <c r="P111" s="94">
        <v>30</v>
      </c>
      <c r="Q111" s="95">
        <f>DataEntry!C7</f>
        <v>0</v>
      </c>
      <c r="R111" s="96">
        <f>DataEntry!D7</f>
        <v>0</v>
      </c>
      <c r="S111" s="97">
        <f>DataEntry!E7*60/1000</f>
        <v>0</v>
      </c>
      <c r="T111" s="95">
        <f>DataEntry!F7</f>
        <v>0</v>
      </c>
      <c r="U111" s="96">
        <f>DataEntry!G7</f>
        <v>0</v>
      </c>
      <c r="V111" s="97">
        <f>DataEntry!H7*60/1000</f>
        <v>0</v>
      </c>
      <c r="W111" s="95">
        <f>DataEntry!I7</f>
        <v>0</v>
      </c>
      <c r="X111" s="96">
        <f>DataEntry!J7</f>
        <v>0</v>
      </c>
      <c r="Y111" s="97">
        <f>DataEntry!K7*60/1000</f>
        <v>0</v>
      </c>
      <c r="AA111" s="2" t="str">
        <f>$Q$107&amp;" Normal"</f>
        <v>Auto 1 Normal</v>
      </c>
      <c r="AB111" s="43"/>
      <c r="AC111" s="31" t="str">
        <f t="shared" ref="AC111:AC125" si="16">IF(AB111&lt;&gt;AD111,"Change","")</f>
        <v/>
      </c>
      <c r="AD111" s="64" t="str">
        <f t="shared" ref="AD111:AD125" si="17">IF(T190="","",T190)</f>
        <v/>
      </c>
    </row>
    <row r="112" spans="1:30" ht="14.1" customHeight="1" x14ac:dyDescent="0.25">
      <c r="A112" s="3">
        <v>46</v>
      </c>
      <c r="B112" s="351"/>
      <c r="C112" s="45"/>
      <c r="D112" s="138"/>
      <c r="E112" s="138"/>
      <c r="F112" s="363" t="s">
        <v>127</v>
      </c>
      <c r="G112" s="138"/>
      <c r="H112" s="138"/>
      <c r="I112" s="138"/>
      <c r="J112" s="138"/>
      <c r="K112" s="138"/>
      <c r="L112" s="138"/>
      <c r="M112" s="353"/>
      <c r="O112" s="85" t="s">
        <v>175</v>
      </c>
      <c r="P112" s="85">
        <v>10</v>
      </c>
      <c r="Q112" s="86">
        <f>DataEntry!C8</f>
        <v>0</v>
      </c>
      <c r="R112" s="87">
        <f>DataEntry!D8</f>
        <v>0</v>
      </c>
      <c r="S112" s="88">
        <f>DataEntry!E8*60/1000</f>
        <v>0</v>
      </c>
      <c r="T112" s="86">
        <f>DataEntry!F8</f>
        <v>0</v>
      </c>
      <c r="U112" s="87">
        <f>DataEntry!G8</f>
        <v>0</v>
      </c>
      <c r="V112" s="88">
        <f>DataEntry!H8*60/1000</f>
        <v>0</v>
      </c>
      <c r="W112" s="86">
        <f>DataEntry!I8</f>
        <v>0</v>
      </c>
      <c r="X112" s="87">
        <f>DataEntry!J8</f>
        <v>0</v>
      </c>
      <c r="Y112" s="88">
        <f>DataEntry!K8*60/1000</f>
        <v>0</v>
      </c>
      <c r="AA112" s="2" t="str">
        <f>$Q$107&amp;" Mag 1"</f>
        <v>Auto 1 Mag 1</v>
      </c>
      <c r="AB112" s="43"/>
      <c r="AC112" s="31" t="str">
        <f t="shared" si="16"/>
        <v/>
      </c>
      <c r="AD112" s="64" t="str">
        <f t="shared" si="17"/>
        <v/>
      </c>
    </row>
    <row r="113" spans="1:30" ht="14.1" customHeight="1" x14ac:dyDescent="0.25">
      <c r="A113" s="3">
        <v>47</v>
      </c>
      <c r="B113" s="351"/>
      <c r="C113" s="45"/>
      <c r="D113" s="138"/>
      <c r="E113" s="73" t="s">
        <v>128</v>
      </c>
      <c r="F113" s="138"/>
      <c r="G113" s="138"/>
      <c r="H113" s="138"/>
      <c r="I113" s="138"/>
      <c r="J113" s="138"/>
      <c r="K113" s="138"/>
      <c r="L113" s="369" t="str">
        <f t="shared" ref="L113:L118" si="18">IF(O89="","TBD",IF(O89=1,"YES",IF(O89=3,"NA","")))</f>
        <v>TBD</v>
      </c>
      <c r="M113" s="370" t="str">
        <f t="shared" ref="M113:M118" si="19">IF(O89=2,"NO","")</f>
        <v/>
      </c>
      <c r="O113" s="89" t="str">
        <f>IF(O114&lt;&gt;"",O114,IF(AB69="","",AB69))</f>
        <v/>
      </c>
      <c r="P113" s="84">
        <v>20</v>
      </c>
      <c r="Q113" s="90">
        <f>DataEntry!C9</f>
        <v>0</v>
      </c>
      <c r="R113" s="91">
        <f>DataEntry!D9</f>
        <v>0</v>
      </c>
      <c r="S113" s="92">
        <f>DataEntry!E9*60/1000</f>
        <v>0</v>
      </c>
      <c r="T113" s="90">
        <f>DataEntry!F9</f>
        <v>0</v>
      </c>
      <c r="U113" s="91">
        <f>DataEntry!G9</f>
        <v>0</v>
      </c>
      <c r="V113" s="92">
        <f>DataEntry!H9*60/1000</f>
        <v>0</v>
      </c>
      <c r="W113" s="90">
        <f>DataEntry!I9</f>
        <v>0</v>
      </c>
      <c r="X113" s="91">
        <f>DataEntry!J9</f>
        <v>0</v>
      </c>
      <c r="Y113" s="92">
        <f>DataEntry!K9*60/1000</f>
        <v>0</v>
      </c>
      <c r="AA113" s="2" t="str">
        <f>$Q$107&amp;" Mag 2"</f>
        <v>Auto 1 Mag 2</v>
      </c>
      <c r="AB113" s="43"/>
      <c r="AC113" s="31" t="str">
        <f t="shared" si="16"/>
        <v/>
      </c>
      <c r="AD113" s="64" t="str">
        <f t="shared" si="17"/>
        <v/>
      </c>
    </row>
    <row r="114" spans="1:30" ht="14.1" customHeight="1" x14ac:dyDescent="0.25">
      <c r="A114" s="3">
        <v>48</v>
      </c>
      <c r="B114" s="351"/>
      <c r="C114" s="45"/>
      <c r="D114" s="138"/>
      <c r="E114" s="73" t="s">
        <v>130</v>
      </c>
      <c r="F114" s="138"/>
      <c r="G114" s="138"/>
      <c r="H114" s="138"/>
      <c r="I114" s="138"/>
      <c r="J114" s="138"/>
      <c r="K114" s="138"/>
      <c r="L114" s="369" t="str">
        <f t="shared" si="18"/>
        <v>TBD</v>
      </c>
      <c r="M114" s="370" t="str">
        <f t="shared" si="19"/>
        <v/>
      </c>
      <c r="O114" s="93"/>
      <c r="P114" s="94">
        <v>30</v>
      </c>
      <c r="Q114" s="95">
        <f>DataEntry!C10</f>
        <v>0</v>
      </c>
      <c r="R114" s="96">
        <f>DataEntry!D10</f>
        <v>0</v>
      </c>
      <c r="S114" s="97">
        <f>DataEntry!E10*60/1000</f>
        <v>0</v>
      </c>
      <c r="T114" s="95">
        <f>DataEntry!F10</f>
        <v>0</v>
      </c>
      <c r="U114" s="96">
        <f>DataEntry!G10</f>
        <v>0</v>
      </c>
      <c r="V114" s="97">
        <f>DataEntry!H10*60/1000</f>
        <v>0</v>
      </c>
      <c r="W114" s="95">
        <f>DataEntry!I10</f>
        <v>0</v>
      </c>
      <c r="X114" s="96">
        <f>DataEntry!J10</f>
        <v>0</v>
      </c>
      <c r="Y114" s="97">
        <f>DataEntry!K10*60/1000</f>
        <v>0</v>
      </c>
      <c r="AA114" s="2" t="str">
        <f>$Q$107&amp;" Mag 3"</f>
        <v>Auto 1 Mag 3</v>
      </c>
      <c r="AB114" s="43"/>
      <c r="AC114" s="31" t="str">
        <f t="shared" si="16"/>
        <v/>
      </c>
      <c r="AD114" s="64" t="str">
        <f t="shared" si="17"/>
        <v/>
      </c>
    </row>
    <row r="115" spans="1:30" ht="14.1" customHeight="1" x14ac:dyDescent="0.25">
      <c r="A115" s="3">
        <v>49</v>
      </c>
      <c r="B115" s="351"/>
      <c r="C115" s="45"/>
      <c r="D115" s="138"/>
      <c r="E115" s="73" t="s">
        <v>132</v>
      </c>
      <c r="F115" s="138"/>
      <c r="G115" s="138"/>
      <c r="H115" s="138"/>
      <c r="I115" s="138"/>
      <c r="J115" s="138"/>
      <c r="K115" s="138"/>
      <c r="L115" s="369" t="str">
        <f t="shared" si="18"/>
        <v>TBD</v>
      </c>
      <c r="M115" s="370" t="str">
        <f t="shared" si="19"/>
        <v/>
      </c>
      <c r="O115" s="85" t="s">
        <v>176</v>
      </c>
      <c r="P115" s="85">
        <v>10</v>
      </c>
      <c r="Q115" s="86">
        <f>DataEntry!C11</f>
        <v>0</v>
      </c>
      <c r="R115" s="87">
        <f>DataEntry!D11</f>
        <v>0</v>
      </c>
      <c r="S115" s="88">
        <f>DataEntry!E11*60/1000</f>
        <v>0</v>
      </c>
      <c r="T115" s="86">
        <f>DataEntry!F11</f>
        <v>0</v>
      </c>
      <c r="U115" s="87">
        <f>DataEntry!G11</f>
        <v>0</v>
      </c>
      <c r="V115" s="88">
        <f>DataEntry!H11*60/1000</f>
        <v>0</v>
      </c>
      <c r="W115" s="86">
        <f>DataEntry!I11</f>
        <v>0</v>
      </c>
      <c r="X115" s="87">
        <f>DataEntry!J11</f>
        <v>0</v>
      </c>
      <c r="Y115" s="88">
        <f>DataEntry!K11*60/1000</f>
        <v>0</v>
      </c>
      <c r="AA115" s="2" t="str">
        <f>$Q$107&amp;" Mag 4"</f>
        <v>Auto 1 Mag 4</v>
      </c>
      <c r="AB115" s="43"/>
      <c r="AC115" s="31" t="str">
        <f t="shared" si="16"/>
        <v/>
      </c>
      <c r="AD115" s="64" t="str">
        <f t="shared" si="17"/>
        <v/>
      </c>
    </row>
    <row r="116" spans="1:30" ht="14.1" customHeight="1" x14ac:dyDescent="0.25">
      <c r="A116" s="3">
        <v>50</v>
      </c>
      <c r="B116" s="351"/>
      <c r="C116" s="45"/>
      <c r="D116" s="138"/>
      <c r="E116" s="73" t="s">
        <v>134</v>
      </c>
      <c r="F116" s="138"/>
      <c r="G116" s="138"/>
      <c r="H116" s="138"/>
      <c r="I116" s="138"/>
      <c r="J116" s="138"/>
      <c r="K116" s="138"/>
      <c r="L116" s="369" t="str">
        <f t="shared" si="18"/>
        <v>TBD</v>
      </c>
      <c r="M116" s="370" t="str">
        <f t="shared" si="19"/>
        <v/>
      </c>
      <c r="O116" s="89" t="str">
        <f>IF(O117&lt;&gt;"",O117,IF(AB70="","",AB70))</f>
        <v/>
      </c>
      <c r="P116" s="84">
        <v>20</v>
      </c>
      <c r="Q116" s="90">
        <f>DataEntry!C12</f>
        <v>0</v>
      </c>
      <c r="R116" s="91">
        <f>DataEntry!D12</f>
        <v>0</v>
      </c>
      <c r="S116" s="92">
        <f>DataEntry!E12*60/1000</f>
        <v>0</v>
      </c>
      <c r="T116" s="90">
        <f>DataEntry!F12</f>
        <v>0</v>
      </c>
      <c r="U116" s="91">
        <f>DataEntry!G12</f>
        <v>0</v>
      </c>
      <c r="V116" s="92">
        <f>DataEntry!H12*60/1000</f>
        <v>0</v>
      </c>
      <c r="W116" s="90">
        <f>DataEntry!I12</f>
        <v>0</v>
      </c>
      <c r="X116" s="91">
        <f>DataEntry!J12</f>
        <v>0</v>
      </c>
      <c r="Y116" s="92">
        <f>DataEntry!K12*60/1000</f>
        <v>0</v>
      </c>
      <c r="AA116" s="2" t="str">
        <f>$T$107&amp;" Normal"</f>
        <v>Auto 2 Normal</v>
      </c>
      <c r="AB116" s="43"/>
      <c r="AC116" s="31" t="str">
        <f t="shared" si="16"/>
        <v/>
      </c>
      <c r="AD116" s="64" t="str">
        <f t="shared" si="17"/>
        <v/>
      </c>
    </row>
    <row r="117" spans="1:30" ht="14.1" customHeight="1" x14ac:dyDescent="0.25">
      <c r="A117" s="3">
        <v>51</v>
      </c>
      <c r="B117" s="351"/>
      <c r="C117" s="45"/>
      <c r="D117" s="138"/>
      <c r="E117" s="73" t="s">
        <v>135</v>
      </c>
      <c r="F117" s="138"/>
      <c r="G117" s="138"/>
      <c r="H117" s="138"/>
      <c r="I117" s="138"/>
      <c r="J117" s="138"/>
      <c r="K117" s="138"/>
      <c r="L117" s="369" t="str">
        <f t="shared" si="18"/>
        <v>TBD</v>
      </c>
      <c r="M117" s="370" t="str">
        <f t="shared" si="19"/>
        <v/>
      </c>
      <c r="O117" s="93"/>
      <c r="P117" s="94">
        <v>30</v>
      </c>
      <c r="Q117" s="95">
        <f>DataEntry!C13</f>
        <v>0</v>
      </c>
      <c r="R117" s="96">
        <f>DataEntry!D13</f>
        <v>0</v>
      </c>
      <c r="S117" s="97">
        <f>DataEntry!E13*60/1000</f>
        <v>0</v>
      </c>
      <c r="T117" s="95">
        <f>DataEntry!F13</f>
        <v>0</v>
      </c>
      <c r="U117" s="96">
        <f>DataEntry!G13</f>
        <v>0</v>
      </c>
      <c r="V117" s="97">
        <f>DataEntry!H13*60/1000</f>
        <v>0</v>
      </c>
      <c r="W117" s="95">
        <f>DataEntry!I13</f>
        <v>0</v>
      </c>
      <c r="X117" s="96">
        <f>DataEntry!J13</f>
        <v>0</v>
      </c>
      <c r="Y117" s="97">
        <f>DataEntry!K13*60/1000</f>
        <v>0</v>
      </c>
      <c r="AA117" s="2" t="str">
        <f>$T$107&amp;" Mag 1"</f>
        <v>Auto 2 Mag 1</v>
      </c>
      <c r="AB117" s="43"/>
      <c r="AC117" s="31" t="str">
        <f t="shared" si="16"/>
        <v/>
      </c>
      <c r="AD117" s="64" t="str">
        <f t="shared" si="17"/>
        <v/>
      </c>
    </row>
    <row r="118" spans="1:30" ht="14.1" customHeight="1" x14ac:dyDescent="0.25">
      <c r="A118" s="3">
        <v>52</v>
      </c>
      <c r="B118" s="351"/>
      <c r="C118" s="45"/>
      <c r="D118" s="138"/>
      <c r="E118" s="73" t="s">
        <v>138</v>
      </c>
      <c r="F118" s="138"/>
      <c r="G118" s="138"/>
      <c r="H118" s="138"/>
      <c r="I118" s="138"/>
      <c r="J118" s="138"/>
      <c r="K118" s="138"/>
      <c r="L118" s="369" t="str">
        <f t="shared" si="18"/>
        <v>TBD</v>
      </c>
      <c r="M118" s="370" t="str">
        <f t="shared" si="19"/>
        <v/>
      </c>
      <c r="O118" s="85" t="s">
        <v>177</v>
      </c>
      <c r="P118" s="85">
        <v>10</v>
      </c>
      <c r="Q118" s="86">
        <f>DataEntry!C14</f>
        <v>0</v>
      </c>
      <c r="R118" s="87">
        <f>DataEntry!D14</f>
        <v>0</v>
      </c>
      <c r="S118" s="88">
        <f>DataEntry!E14*60/1000</f>
        <v>0</v>
      </c>
      <c r="T118" s="86">
        <f>DataEntry!F14</f>
        <v>0</v>
      </c>
      <c r="U118" s="87">
        <f>DataEntry!G14</f>
        <v>0</v>
      </c>
      <c r="V118" s="88">
        <f>DataEntry!H14*60/1000</f>
        <v>0</v>
      </c>
      <c r="W118" s="86">
        <f>DataEntry!I14</f>
        <v>0</v>
      </c>
      <c r="X118" s="87">
        <f>DataEntry!J14</f>
        <v>0</v>
      </c>
      <c r="Y118" s="88">
        <f>DataEntry!K14*60/1000</f>
        <v>0</v>
      </c>
      <c r="AA118" s="2" t="str">
        <f>$T$107&amp;" Mag 2"</f>
        <v>Auto 2 Mag 2</v>
      </c>
      <c r="AB118" s="43"/>
      <c r="AC118" s="31" t="str">
        <f t="shared" si="16"/>
        <v/>
      </c>
      <c r="AD118" s="64" t="str">
        <f t="shared" si="17"/>
        <v/>
      </c>
    </row>
    <row r="119" spans="1:30" ht="14.1" customHeight="1" x14ac:dyDescent="0.25">
      <c r="A119" s="3">
        <v>53</v>
      </c>
      <c r="B119" s="351"/>
      <c r="C119" s="45"/>
      <c r="D119" s="138"/>
      <c r="E119" s="138"/>
      <c r="F119" s="138"/>
      <c r="G119" s="138"/>
      <c r="H119" s="138"/>
      <c r="I119" s="138"/>
      <c r="J119" s="138"/>
      <c r="K119" s="138"/>
      <c r="L119" s="138"/>
      <c r="M119" s="353"/>
      <c r="O119" s="89" t="str">
        <f>IF(O120&lt;&gt;"",O120,IF(AB71="","",AB71))</f>
        <v/>
      </c>
      <c r="P119" s="84">
        <v>20</v>
      </c>
      <c r="Q119" s="90">
        <f>DataEntry!C15</f>
        <v>0</v>
      </c>
      <c r="R119" s="91">
        <f>DataEntry!D15</f>
        <v>0</v>
      </c>
      <c r="S119" s="92">
        <f>DataEntry!E15*60/1000</f>
        <v>0</v>
      </c>
      <c r="T119" s="90">
        <f>DataEntry!F15</f>
        <v>0</v>
      </c>
      <c r="U119" s="91">
        <f>DataEntry!G15</f>
        <v>0</v>
      </c>
      <c r="V119" s="92">
        <f>DataEntry!H15*60/1000</f>
        <v>0</v>
      </c>
      <c r="W119" s="90">
        <f>DataEntry!I15</f>
        <v>0</v>
      </c>
      <c r="X119" s="91">
        <f>DataEntry!J15</f>
        <v>0</v>
      </c>
      <c r="Y119" s="92">
        <f>DataEntry!K15*60/1000</f>
        <v>0</v>
      </c>
      <c r="AA119" s="2" t="str">
        <f>$T$107&amp;" Mag 3"</f>
        <v>Auto 2 Mag 3</v>
      </c>
      <c r="AB119" s="43"/>
      <c r="AC119" s="31" t="str">
        <f t="shared" si="16"/>
        <v/>
      </c>
      <c r="AD119" s="64" t="str">
        <f t="shared" si="17"/>
        <v/>
      </c>
    </row>
    <row r="120" spans="1:30" ht="14.1" customHeight="1" x14ac:dyDescent="0.25">
      <c r="A120" s="3">
        <v>54</v>
      </c>
      <c r="B120" s="351"/>
      <c r="C120" s="45"/>
      <c r="D120" s="138"/>
      <c r="E120" s="138"/>
      <c r="F120" s="363" t="s">
        <v>116</v>
      </c>
      <c r="G120" s="138"/>
      <c r="H120" s="138"/>
      <c r="I120" s="138"/>
      <c r="J120" s="138"/>
      <c r="K120" s="138"/>
      <c r="L120" s="138"/>
      <c r="M120" s="353"/>
      <c r="O120" s="93"/>
      <c r="P120" s="94">
        <v>30</v>
      </c>
      <c r="Q120" s="95">
        <f>DataEntry!C16</f>
        <v>0</v>
      </c>
      <c r="R120" s="96">
        <f>DataEntry!D16</f>
        <v>0</v>
      </c>
      <c r="S120" s="97">
        <f>DataEntry!E16*60/1000</f>
        <v>0</v>
      </c>
      <c r="T120" s="95">
        <f>DataEntry!F16</f>
        <v>0</v>
      </c>
      <c r="U120" s="96">
        <f>DataEntry!G16</f>
        <v>0</v>
      </c>
      <c r="V120" s="97">
        <f>DataEntry!H16*60/1000</f>
        <v>0</v>
      </c>
      <c r="W120" s="95">
        <f>DataEntry!I16</f>
        <v>0</v>
      </c>
      <c r="X120" s="96">
        <f>DataEntry!J16</f>
        <v>0</v>
      </c>
      <c r="Y120" s="97">
        <f>DataEntry!K16*60/1000</f>
        <v>0</v>
      </c>
      <c r="AA120" s="2" t="str">
        <f>$T$107&amp;" Mag 4"</f>
        <v>Auto 2 Mag 4</v>
      </c>
      <c r="AB120" s="43"/>
      <c r="AC120" s="31" t="str">
        <f t="shared" si="16"/>
        <v/>
      </c>
      <c r="AD120" s="64" t="str">
        <f t="shared" si="17"/>
        <v/>
      </c>
    </row>
    <row r="121" spans="1:30" ht="14.1" customHeight="1" x14ac:dyDescent="0.25">
      <c r="A121" s="3">
        <v>55</v>
      </c>
      <c r="B121" s="351"/>
      <c r="C121" s="45"/>
      <c r="D121" s="138"/>
      <c r="E121" s="73" t="s">
        <v>118</v>
      </c>
      <c r="F121" s="138"/>
      <c r="G121" s="138"/>
      <c r="H121" s="138"/>
      <c r="I121" s="138"/>
      <c r="J121" s="138"/>
      <c r="K121" s="138"/>
      <c r="L121" s="369" t="str">
        <f>IF(O83="","TBD",IF(O83=1,"YES",IF(O83=3,"NA","")))</f>
        <v>TBD</v>
      </c>
      <c r="M121" s="370" t="str">
        <f>IF(O83=2,"NO","")</f>
        <v/>
      </c>
      <c r="O121" s="85" t="s">
        <v>178</v>
      </c>
      <c r="P121" s="85">
        <v>10</v>
      </c>
      <c r="Q121" s="86">
        <f>DataEntry!C17</f>
        <v>0</v>
      </c>
      <c r="R121" s="87">
        <f>DataEntry!D17</f>
        <v>0</v>
      </c>
      <c r="S121" s="88">
        <f>DataEntry!E17*60/1000</f>
        <v>0</v>
      </c>
      <c r="T121" s="86">
        <f>DataEntry!F17</f>
        <v>0</v>
      </c>
      <c r="U121" s="87">
        <f>DataEntry!G17</f>
        <v>0</v>
      </c>
      <c r="V121" s="88">
        <f>DataEntry!H17*60/1000</f>
        <v>0</v>
      </c>
      <c r="W121" s="86">
        <f>DataEntry!I17</f>
        <v>0</v>
      </c>
      <c r="X121" s="87">
        <f>DataEntry!J17</f>
        <v>0</v>
      </c>
      <c r="Y121" s="88">
        <f>DataEntry!K17*60/1000</f>
        <v>0</v>
      </c>
      <c r="AA121" s="2" t="str">
        <f>$W$107&amp;" Normal"</f>
        <v>High Level Normal</v>
      </c>
      <c r="AB121" s="43"/>
      <c r="AC121" s="31" t="str">
        <f t="shared" si="16"/>
        <v/>
      </c>
      <c r="AD121" s="64" t="str">
        <f t="shared" si="17"/>
        <v/>
      </c>
    </row>
    <row r="122" spans="1:30" ht="14.1" customHeight="1" x14ac:dyDescent="0.25">
      <c r="A122" s="3">
        <v>56</v>
      </c>
      <c r="B122" s="351"/>
      <c r="C122" s="45"/>
      <c r="D122" s="138"/>
      <c r="E122" s="73" t="s">
        <v>120</v>
      </c>
      <c r="F122" s="138"/>
      <c r="G122" s="138"/>
      <c r="H122" s="138"/>
      <c r="I122" s="138"/>
      <c r="J122" s="138"/>
      <c r="K122" s="138"/>
      <c r="L122" s="369" t="str">
        <f>IF(O84="","TBD",IF(O84=1,"YES",IF(O84=3,"NA","")))</f>
        <v>TBD</v>
      </c>
      <c r="M122" s="370" t="str">
        <f>IF(O84=2,"NO","")</f>
        <v/>
      </c>
      <c r="O122" s="89" t="str">
        <f>IF(O123&lt;&gt;"",O123,IF(AB72="","",AB72))</f>
        <v/>
      </c>
      <c r="P122" s="84">
        <v>20</v>
      </c>
      <c r="Q122" s="90">
        <f>DataEntry!C18</f>
        <v>0</v>
      </c>
      <c r="R122" s="91">
        <f>DataEntry!D18</f>
        <v>0</v>
      </c>
      <c r="S122" s="92">
        <f>DataEntry!E18*60/1000</f>
        <v>0</v>
      </c>
      <c r="T122" s="90">
        <f>DataEntry!F18</f>
        <v>0</v>
      </c>
      <c r="U122" s="91">
        <f>DataEntry!G18</f>
        <v>0</v>
      </c>
      <c r="V122" s="92">
        <f>DataEntry!H18*60/1000</f>
        <v>0</v>
      </c>
      <c r="W122" s="90">
        <f>DataEntry!I18</f>
        <v>0</v>
      </c>
      <c r="X122" s="91">
        <f>DataEntry!J18</f>
        <v>0</v>
      </c>
      <c r="Y122" s="92">
        <f>DataEntry!K18*60/1000</f>
        <v>0</v>
      </c>
      <c r="AA122" s="2" t="str">
        <f>$W$107&amp;" Mag 1"</f>
        <v>High Level Mag 1</v>
      </c>
      <c r="AB122" s="43"/>
      <c r="AC122" s="31" t="str">
        <f t="shared" si="16"/>
        <v/>
      </c>
      <c r="AD122" s="64" t="str">
        <f t="shared" si="17"/>
        <v/>
      </c>
    </row>
    <row r="123" spans="1:30" ht="14.1" customHeight="1" x14ac:dyDescent="0.25">
      <c r="A123" s="3">
        <v>57</v>
      </c>
      <c r="B123" s="351"/>
      <c r="C123" s="45"/>
      <c r="D123" s="138"/>
      <c r="E123" s="73" t="s">
        <v>122</v>
      </c>
      <c r="F123" s="138"/>
      <c r="G123" s="138"/>
      <c r="H123" s="138"/>
      <c r="I123" s="138"/>
      <c r="J123" s="138"/>
      <c r="K123" s="138"/>
      <c r="L123" s="369" t="str">
        <f>IF(O85="","TBD",IF(O85=1,"YES",IF(O85=3,"NA","")))</f>
        <v>TBD</v>
      </c>
      <c r="M123" s="370" t="str">
        <f>IF(O85=2,"NO","")</f>
        <v/>
      </c>
      <c r="O123" s="93"/>
      <c r="P123" s="94">
        <v>30</v>
      </c>
      <c r="Q123" s="95">
        <f>DataEntry!C19</f>
        <v>0</v>
      </c>
      <c r="R123" s="96">
        <f>DataEntry!D19</f>
        <v>0</v>
      </c>
      <c r="S123" s="97">
        <f>DataEntry!E19*60/1000</f>
        <v>0</v>
      </c>
      <c r="T123" s="95">
        <f>DataEntry!F19</f>
        <v>0</v>
      </c>
      <c r="U123" s="96">
        <f>DataEntry!G19</f>
        <v>0</v>
      </c>
      <c r="V123" s="97">
        <f>DataEntry!H19*60/1000</f>
        <v>0</v>
      </c>
      <c r="W123" s="95">
        <f>DataEntry!I19</f>
        <v>0</v>
      </c>
      <c r="X123" s="96">
        <f>DataEntry!J19</f>
        <v>0</v>
      </c>
      <c r="Y123" s="97">
        <f>DataEntry!K19*60/1000</f>
        <v>0</v>
      </c>
      <c r="AA123" s="2" t="str">
        <f>$W$107&amp;" Mag 2"</f>
        <v>High Level Mag 2</v>
      </c>
      <c r="AB123" s="43"/>
      <c r="AC123" s="31" t="str">
        <f t="shared" si="16"/>
        <v/>
      </c>
      <c r="AD123" s="64" t="str">
        <f t="shared" si="17"/>
        <v/>
      </c>
    </row>
    <row r="124" spans="1:30" ht="14.1" customHeight="1" x14ac:dyDescent="0.25">
      <c r="A124" s="3">
        <v>58</v>
      </c>
      <c r="B124" s="351"/>
      <c r="C124" s="45"/>
      <c r="D124" s="138"/>
      <c r="E124" s="73" t="s">
        <v>124</v>
      </c>
      <c r="F124" s="138"/>
      <c r="G124" s="138"/>
      <c r="H124" s="138"/>
      <c r="I124" s="138"/>
      <c r="J124" s="138"/>
      <c r="K124" s="138"/>
      <c r="L124" s="369" t="str">
        <f>IF(O86="","TBD",IF(O86=1,"YES",IF(O86=3,"NA","")))</f>
        <v>TBD</v>
      </c>
      <c r="M124" s="370" t="str">
        <f>IF(O86=2,"NO","")</f>
        <v/>
      </c>
      <c r="O124" s="14"/>
      <c r="P124" s="98" t="s">
        <v>179</v>
      </c>
      <c r="Q124" s="99">
        <f>DataEntry!C20</f>
        <v>0</v>
      </c>
      <c r="R124" s="100">
        <f>DataEntry!D20</f>
        <v>0</v>
      </c>
      <c r="S124" s="101">
        <f>DataEntry!E20*60/1000</f>
        <v>0</v>
      </c>
      <c r="T124" s="99">
        <f>DataEntry!F20</f>
        <v>0</v>
      </c>
      <c r="U124" s="100">
        <f>DataEntry!G20</f>
        <v>0</v>
      </c>
      <c r="V124" s="101">
        <f>DataEntry!H20*60/1000</f>
        <v>0</v>
      </c>
      <c r="W124" s="99">
        <f>DataEntry!I20</f>
        <v>0</v>
      </c>
      <c r="X124" s="100">
        <f>DataEntry!J20</f>
        <v>0</v>
      </c>
      <c r="Y124" s="101">
        <f>DataEntry!K20*60/1000</f>
        <v>0</v>
      </c>
      <c r="AA124" s="2" t="str">
        <f>$W$107&amp;" Mag 3"</f>
        <v>High Level Mag 3</v>
      </c>
      <c r="AB124" s="43"/>
      <c r="AC124" s="31" t="str">
        <f t="shared" si="16"/>
        <v/>
      </c>
      <c r="AD124" s="64" t="str">
        <f t="shared" si="17"/>
        <v/>
      </c>
    </row>
    <row r="125" spans="1:30" ht="14.1" customHeight="1" x14ac:dyDescent="0.25">
      <c r="A125" s="3">
        <v>59</v>
      </c>
      <c r="B125" s="351"/>
      <c r="C125" s="45"/>
      <c r="D125" s="138"/>
      <c r="E125" s="73" t="s">
        <v>126</v>
      </c>
      <c r="F125" s="138"/>
      <c r="G125" s="138"/>
      <c r="H125" s="138"/>
      <c r="I125" s="138"/>
      <c r="J125" s="138"/>
      <c r="K125" s="138"/>
      <c r="L125" s="369" t="str">
        <f>IF(O87="","TBD",IF(O87=1,"YES",IF(O87=3,"NA","")))</f>
        <v>TBD</v>
      </c>
      <c r="M125" s="370" t="str">
        <f>IF(O87=2,"NO","")</f>
        <v/>
      </c>
      <c r="O125" s="14"/>
      <c r="P125" s="1" t="s">
        <v>180</v>
      </c>
      <c r="Q125" s="102" t="str">
        <f>IF(AB84="","",AB84)</f>
        <v/>
      </c>
      <c r="R125" s="103" t="str">
        <f>IF(AB85="","",AB85)</f>
        <v/>
      </c>
      <c r="S125" s="104" t="str">
        <f>IF(AB86="","",AB86)</f>
        <v/>
      </c>
      <c r="T125" s="102" t="str">
        <f>IF(AB87="","",AB87)</f>
        <v/>
      </c>
      <c r="U125" s="103" t="str">
        <f>IF(AB88="","",AB88)</f>
        <v/>
      </c>
      <c r="V125" s="104" t="str">
        <f>IF(AB89="","",AB89)</f>
        <v/>
      </c>
      <c r="W125" s="102" t="str">
        <f>IF(AB90="","",AB90)</f>
        <v/>
      </c>
      <c r="X125" s="103" t="str">
        <f>IF(AB91="","",AB91)</f>
        <v/>
      </c>
      <c r="Y125" s="104" t="str">
        <f>IF(AB92="","",AB92)</f>
        <v/>
      </c>
      <c r="Z125" s="56"/>
      <c r="AA125" s="2" t="str">
        <f>$W$107&amp;" Mag 4"</f>
        <v>High Level Mag 4</v>
      </c>
      <c r="AB125" s="43"/>
      <c r="AC125" s="31" t="str">
        <f t="shared" si="16"/>
        <v/>
      </c>
      <c r="AD125" s="64" t="str">
        <f t="shared" si="17"/>
        <v/>
      </c>
    </row>
    <row r="126" spans="1:30" ht="14.1" customHeight="1" x14ac:dyDescent="0.25">
      <c r="A126" s="3">
        <v>60</v>
      </c>
      <c r="B126" s="351"/>
      <c r="C126" s="45"/>
      <c r="D126" s="138"/>
      <c r="E126" s="138"/>
      <c r="F126" s="138"/>
      <c r="G126" s="138"/>
      <c r="H126" s="138"/>
      <c r="I126" s="138"/>
      <c r="J126" s="138"/>
      <c r="K126" s="138"/>
      <c r="L126" s="138"/>
      <c r="M126" s="353"/>
      <c r="O126" s="14"/>
      <c r="P126" s="105" t="s">
        <v>181</v>
      </c>
      <c r="R126" s="106" t="s">
        <v>182</v>
      </c>
      <c r="S126" s="107" t="str">
        <f>IF(S124="","NA",IF($Q$99=1,IF(S124&gt;44,"NO","YES"),IF(S124&gt;88,"NO","YES")))</f>
        <v>YES</v>
      </c>
      <c r="U126" s="106" t="s">
        <v>182</v>
      </c>
      <c r="V126" s="107" t="str">
        <f>IF(V124="","NA",IF($Q$99=1,IF(V124&gt;44,"NO","YES"),IF(V124&gt;88,"NO","YES")))</f>
        <v>YES</v>
      </c>
      <c r="X126" s="106" t="s">
        <v>182</v>
      </c>
      <c r="Y126" s="107" t="str">
        <f>IF(OR(AND($O$102=1,Y124=""),AND($S$124="",$V$124="",$Y$124="")),"NA",IF(Y124="","NA",IF($Q$99="",IF($O$102=2,IF(Y124&gt;88,"NO","YES"),IF(Y124&gt;176,"NO","YES")),IF(Y124&gt;44,"NO","YES"))))</f>
        <v>YES</v>
      </c>
      <c r="AA126" s="25" t="s">
        <v>183</v>
      </c>
      <c r="AB126" s="56"/>
      <c r="AC126" s="56"/>
      <c r="AD126" s="56"/>
    </row>
    <row r="127" spans="1:30" ht="14.1" customHeight="1" x14ac:dyDescent="0.25">
      <c r="A127" s="3">
        <v>61</v>
      </c>
      <c r="B127" s="351"/>
      <c r="C127" s="45"/>
      <c r="D127" s="138"/>
      <c r="E127" s="138"/>
      <c r="F127" s="138"/>
      <c r="G127" s="138"/>
      <c r="H127" s="138"/>
      <c r="I127" s="138"/>
      <c r="J127" s="138"/>
      <c r="K127" s="138"/>
      <c r="L127" s="138"/>
      <c r="M127" s="353"/>
      <c r="O127" s="14"/>
      <c r="P127" s="108" t="s">
        <v>184</v>
      </c>
      <c r="Y127" s="15"/>
      <c r="AA127" s="2" t="str">
        <f>$Q$139&amp;" Normal"</f>
        <v>Auto 1 Normal</v>
      </c>
      <c r="AB127" s="43"/>
      <c r="AC127" s="31" t="str">
        <f t="shared" ref="AC127:AC141" si="20">IF(AB127&lt;&gt;AD127,"Change","")</f>
        <v/>
      </c>
      <c r="AD127" s="64" t="str">
        <f t="shared" ref="AD127:AD141" si="21">IF(T214="","",T214)</f>
        <v/>
      </c>
    </row>
    <row r="128" spans="1:30" ht="14.1" customHeight="1" x14ac:dyDescent="0.25">
      <c r="A128" s="3">
        <v>62</v>
      </c>
      <c r="B128" s="351"/>
      <c r="C128" s="45"/>
      <c r="D128" s="138"/>
      <c r="E128" s="138"/>
      <c r="F128" s="138"/>
      <c r="G128" s="138"/>
      <c r="H128" s="138"/>
      <c r="I128" s="138"/>
      <c r="J128" s="138"/>
      <c r="K128" s="138"/>
      <c r="L128" s="138"/>
      <c r="M128" s="353"/>
      <c r="O128" s="14"/>
      <c r="P128" s="108" t="s">
        <v>185</v>
      </c>
      <c r="Y128" s="15"/>
      <c r="AA128" s="2" t="str">
        <f>$Q$139&amp;" Mag 1"</f>
        <v>Auto 1 Mag 1</v>
      </c>
      <c r="AB128" s="43"/>
      <c r="AC128" s="31" t="str">
        <f t="shared" si="20"/>
        <v/>
      </c>
      <c r="AD128" s="64" t="str">
        <f t="shared" si="21"/>
        <v/>
      </c>
    </row>
    <row r="129" spans="1:30" ht="14.1" customHeight="1" x14ac:dyDescent="0.25">
      <c r="A129" s="3">
        <v>63</v>
      </c>
      <c r="B129" s="351"/>
      <c r="C129" s="45"/>
      <c r="D129" s="138"/>
      <c r="E129" s="138"/>
      <c r="F129" s="138"/>
      <c r="G129" s="138"/>
      <c r="H129" s="138"/>
      <c r="I129" s="138"/>
      <c r="J129" s="138"/>
      <c r="K129" s="138"/>
      <c r="L129" s="138"/>
      <c r="M129" s="353"/>
      <c r="O129" s="14"/>
      <c r="P129" s="108" t="s">
        <v>186</v>
      </c>
      <c r="Y129" s="15"/>
      <c r="AA129" s="2" t="str">
        <f>$Q$139&amp;" Mag 2"</f>
        <v>Auto 1 Mag 2</v>
      </c>
      <c r="AB129" s="43"/>
      <c r="AC129" s="31" t="str">
        <f t="shared" si="20"/>
        <v/>
      </c>
      <c r="AD129" s="64" t="str">
        <f t="shared" si="21"/>
        <v/>
      </c>
    </row>
    <row r="130" spans="1:30" ht="14.1" customHeight="1" x14ac:dyDescent="0.25">
      <c r="A130" s="3">
        <v>64</v>
      </c>
      <c r="B130" s="354"/>
      <c r="C130" s="355"/>
      <c r="D130" s="355"/>
      <c r="E130" s="355"/>
      <c r="F130" s="355"/>
      <c r="G130" s="355"/>
      <c r="H130" s="355"/>
      <c r="I130" s="355"/>
      <c r="J130" s="355"/>
      <c r="K130" s="355"/>
      <c r="L130" s="355"/>
      <c r="M130" s="356"/>
      <c r="O130" s="14"/>
      <c r="P130" s="108" t="s">
        <v>187</v>
      </c>
      <c r="Y130" s="15"/>
      <c r="AA130" s="2" t="str">
        <f>$Q$139&amp;" Mag 3"</f>
        <v>Auto 1 Mag 3</v>
      </c>
      <c r="AB130" s="43"/>
      <c r="AC130" s="31" t="str">
        <f t="shared" si="20"/>
        <v/>
      </c>
      <c r="AD130" s="64" t="str">
        <f t="shared" si="21"/>
        <v/>
      </c>
    </row>
    <row r="131" spans="1:30" ht="14.1" customHeight="1" x14ac:dyDescent="0.25">
      <c r="A131" s="3">
        <v>65</v>
      </c>
      <c r="C131" s="2" t="s">
        <v>10</v>
      </c>
      <c r="D131" s="68" t="str">
        <f>IF($P$7="","",$P$7)</f>
        <v/>
      </c>
      <c r="L131" s="2" t="s">
        <v>11</v>
      </c>
      <c r="M131" s="69" t="str">
        <f>IF($X$7="","",$X$7)</f>
        <v>Eugene Mah</v>
      </c>
      <c r="O131" s="14"/>
      <c r="P131" s="25" t="s">
        <v>188</v>
      </c>
      <c r="Q131" s="18" t="s">
        <v>189</v>
      </c>
      <c r="Y131" s="15"/>
      <c r="AA131" s="2" t="str">
        <f>$Q$139&amp;" Mag 4"</f>
        <v>Auto 1 Mag 4</v>
      </c>
      <c r="AB131" s="43"/>
      <c r="AC131" s="31" t="str">
        <f t="shared" si="20"/>
        <v/>
      </c>
      <c r="AD131" s="64" t="str">
        <f t="shared" si="21"/>
        <v/>
      </c>
    </row>
    <row r="132" spans="1:30" ht="14.1" customHeight="1" x14ac:dyDescent="0.25">
      <c r="A132" s="3">
        <v>66</v>
      </c>
      <c r="C132" s="2" t="s">
        <v>79</v>
      </c>
      <c r="D132" s="70" t="str">
        <f>IF($R$14="","",$R$14&amp;" Tube "&amp;$W$48)</f>
        <v/>
      </c>
      <c r="L132" s="2" t="s">
        <v>25</v>
      </c>
      <c r="M132" s="71" t="str">
        <f>IF($R$13="","",$R$13)</f>
        <v/>
      </c>
      <c r="O132" s="14"/>
      <c r="Q132" s="18" t="s">
        <v>190</v>
      </c>
      <c r="Y132" s="15"/>
      <c r="AA132" s="2" t="str">
        <f>$T$139&amp;" Normal"</f>
        <v>Auto 2 Normal</v>
      </c>
      <c r="AB132" s="43"/>
      <c r="AC132" s="31" t="str">
        <f t="shared" si="20"/>
        <v/>
      </c>
      <c r="AD132" s="64" t="str">
        <f t="shared" si="21"/>
        <v/>
      </c>
    </row>
    <row r="133" spans="1:30" ht="14.1" customHeight="1" x14ac:dyDescent="0.25">
      <c r="A133" s="3">
        <v>1</v>
      </c>
      <c r="M133" s="72" t="str">
        <f>$H$2</f>
        <v>Medical University of South Carolina</v>
      </c>
      <c r="O133" s="14"/>
      <c r="P133" s="2" t="s">
        <v>191</v>
      </c>
      <c r="Q133" s="109" t="str">
        <f>IF(Q135&lt;&gt;"",Q135,IF(AB232="","",AB232))</f>
        <v/>
      </c>
      <c r="R133" s="69"/>
      <c r="S133" s="69"/>
      <c r="T133" s="69"/>
      <c r="U133" s="69"/>
      <c r="V133" s="69"/>
      <c r="W133" s="69"/>
      <c r="X133" s="69"/>
      <c r="Y133" s="15"/>
      <c r="AA133" s="2" t="str">
        <f>$T$139&amp;" Mag 1"</f>
        <v>Auto 2 Mag 1</v>
      </c>
      <c r="AB133" s="43"/>
      <c r="AC133" s="31" t="str">
        <f t="shared" si="20"/>
        <v/>
      </c>
      <c r="AD133" s="64" t="str">
        <f t="shared" si="21"/>
        <v/>
      </c>
    </row>
    <row r="134" spans="1:30" ht="14.1" customHeight="1" x14ac:dyDescent="0.25">
      <c r="A134" s="3">
        <v>2</v>
      </c>
      <c r="H134" s="33" t="str">
        <f>$H$68</f>
        <v>Inspection Results</v>
      </c>
      <c r="M134" s="25" t="str">
        <f>$H$5</f>
        <v>Fluoroscopy System Compliance Inspection</v>
      </c>
      <c r="O134" s="14"/>
      <c r="P134" s="110" t="s">
        <v>192</v>
      </c>
      <c r="Q134" s="111"/>
      <c r="R134" s="112">
        <f>LEN(Q133)</f>
        <v>0</v>
      </c>
      <c r="S134" s="113"/>
      <c r="T134" s="113"/>
      <c r="U134" s="113"/>
      <c r="V134" s="113"/>
      <c r="W134" s="113"/>
      <c r="X134" s="113"/>
      <c r="Y134" s="15"/>
      <c r="AA134" s="2" t="str">
        <f>$T$139&amp;" Mag 2"</f>
        <v>Auto 2 Mag 2</v>
      </c>
      <c r="AB134" s="43"/>
      <c r="AC134" s="31" t="str">
        <f t="shared" si="20"/>
        <v/>
      </c>
      <c r="AD134" s="64" t="str">
        <f t="shared" si="21"/>
        <v/>
      </c>
    </row>
    <row r="135" spans="1:30" ht="14.1" customHeight="1" x14ac:dyDescent="0.25">
      <c r="A135" s="3">
        <v>3</v>
      </c>
      <c r="B135" s="348"/>
      <c r="C135" s="374" t="s">
        <v>193</v>
      </c>
      <c r="D135" s="349"/>
      <c r="E135" s="349"/>
      <c r="F135" s="349"/>
      <c r="G135" s="349"/>
      <c r="H135" s="349"/>
      <c r="I135" s="349"/>
      <c r="J135" s="349"/>
      <c r="K135" s="349"/>
      <c r="L135" s="349"/>
      <c r="M135" s="350"/>
      <c r="O135" s="14"/>
      <c r="P135" s="2" t="s">
        <v>194</v>
      </c>
      <c r="Q135" s="115"/>
      <c r="R135" s="113"/>
      <c r="S135" s="113"/>
      <c r="T135" s="113"/>
      <c r="U135" s="113"/>
      <c r="V135" s="113"/>
      <c r="W135" s="113"/>
      <c r="X135" s="113"/>
      <c r="Y135" s="15"/>
      <c r="AA135" s="2" t="str">
        <f>$T$139&amp;" Mag 3"</f>
        <v>Auto 2 Mag 3</v>
      </c>
      <c r="AB135" s="43"/>
      <c r="AC135" s="31" t="str">
        <f t="shared" si="20"/>
        <v/>
      </c>
      <c r="AD135" s="64" t="str">
        <f t="shared" si="21"/>
        <v/>
      </c>
    </row>
    <row r="136" spans="1:30" ht="14.1" customHeight="1" x14ac:dyDescent="0.25">
      <c r="A136" s="3">
        <v>4</v>
      </c>
      <c r="B136" s="351"/>
      <c r="C136" s="165" t="s">
        <v>195</v>
      </c>
      <c r="D136" s="116">
        <f>IF(O173="","",O173)</f>
        <v>80</v>
      </c>
      <c r="E136" s="138"/>
      <c r="F136" s="138"/>
      <c r="G136" s="138"/>
      <c r="H136" s="138"/>
      <c r="I136" s="138"/>
      <c r="J136" s="138"/>
      <c r="K136" s="138"/>
      <c r="L136" s="138"/>
      <c r="M136" s="353"/>
      <c r="O136" s="22"/>
      <c r="P136" s="23"/>
      <c r="Q136" s="23"/>
      <c r="R136" s="23"/>
      <c r="S136" s="23"/>
      <c r="T136" s="23"/>
      <c r="U136" s="23"/>
      <c r="V136" s="23"/>
      <c r="W136" s="23"/>
      <c r="X136" s="23"/>
      <c r="Y136" s="24"/>
      <c r="AA136" s="2" t="str">
        <f>$T$139&amp;" Mag 4"</f>
        <v>Auto 2 Mag 4</v>
      </c>
      <c r="AB136" s="43"/>
      <c r="AC136" s="31" t="str">
        <f t="shared" si="20"/>
        <v/>
      </c>
      <c r="AD136" s="64" t="str">
        <f t="shared" si="21"/>
        <v/>
      </c>
    </row>
    <row r="137" spans="1:30" ht="14.1" customHeight="1" x14ac:dyDescent="0.25">
      <c r="A137" s="3">
        <v>5</v>
      </c>
      <c r="B137" s="351"/>
      <c r="C137" s="138"/>
      <c r="D137" s="138"/>
      <c r="E137" s="373"/>
      <c r="F137" s="373"/>
      <c r="G137" s="138"/>
      <c r="H137" s="138"/>
      <c r="I137" s="138"/>
      <c r="J137" s="138"/>
      <c r="K137" s="138"/>
      <c r="L137" s="138"/>
      <c r="M137" s="353"/>
      <c r="O137" s="118" t="str">
        <f>IF($U$137=1,"Patient Entrance Exposure Rate – Pulse Fluroscopy","Patient Entrance Exposure Rate – Digital Acquisition")</f>
        <v>Patient Entrance Exposure Rate – Digital Acquisition</v>
      </c>
      <c r="P137" s="8"/>
      <c r="Q137" s="8"/>
      <c r="R137" s="8"/>
      <c r="S137" s="8"/>
      <c r="T137" s="119" t="s">
        <v>196</v>
      </c>
      <c r="U137" s="51">
        <v>2</v>
      </c>
      <c r="V137" s="79" t="s">
        <v>197</v>
      </c>
      <c r="W137" s="8"/>
      <c r="X137" s="8"/>
      <c r="Y137" s="9"/>
      <c r="AA137" s="2" t="str">
        <f>$W$139&amp;" Normal"</f>
        <v>High Level Normal</v>
      </c>
      <c r="AB137" s="43"/>
      <c r="AC137" s="31" t="str">
        <f t="shared" si="20"/>
        <v/>
      </c>
      <c r="AD137" s="64" t="str">
        <f t="shared" si="21"/>
        <v/>
      </c>
    </row>
    <row r="138" spans="1:30" ht="14.1" customHeight="1" x14ac:dyDescent="0.25">
      <c r="A138" s="3">
        <v>6</v>
      </c>
      <c r="B138" s="351"/>
      <c r="C138" s="45" t="s">
        <v>198</v>
      </c>
      <c r="D138" s="45" t="s">
        <v>170</v>
      </c>
      <c r="E138" s="45" t="s">
        <v>170</v>
      </c>
      <c r="F138" s="138"/>
      <c r="G138" s="165" t="s">
        <v>199</v>
      </c>
      <c r="H138" s="45" t="str">
        <f>X174</f>
        <v>TBD</v>
      </c>
      <c r="I138" s="138"/>
      <c r="J138" s="207"/>
      <c r="K138" s="375" t="s">
        <v>200</v>
      </c>
      <c r="L138" s="138"/>
      <c r="M138" s="353"/>
      <c r="O138" s="84" t="s">
        <v>161</v>
      </c>
      <c r="P138" s="15" t="str">
        <f>IF($Q$100=1,"Acrylic","Aluminum")</f>
        <v>Acrylic</v>
      </c>
      <c r="Q138" s="50" t="str">
        <f>IF(R138&lt;&gt;"",R138,IF(AB107="","",AB107))</f>
        <v/>
      </c>
      <c r="R138" s="51"/>
      <c r="S138" s="15"/>
      <c r="T138" s="50" t="str">
        <f>IF(U138&lt;&gt;"",U138,IF(AB108="","",AB108))</f>
        <v/>
      </c>
      <c r="U138" s="51"/>
      <c r="V138" s="15"/>
      <c r="W138" s="50" t="str">
        <f>IF(X138&lt;&gt;"",X138,IF(AB109="","",AB109))</f>
        <v/>
      </c>
      <c r="X138" s="51"/>
      <c r="Y138" s="15"/>
      <c r="AA138" s="2" t="str">
        <f>$W$139&amp;" Mag 1"</f>
        <v>High Level Mag 1</v>
      </c>
      <c r="AB138" s="43"/>
      <c r="AC138" s="31" t="str">
        <f t="shared" si="20"/>
        <v/>
      </c>
      <c r="AD138" s="64" t="str">
        <f t="shared" si="21"/>
        <v/>
      </c>
    </row>
    <row r="139" spans="1:30" ht="14.1" customHeight="1" x14ac:dyDescent="0.25">
      <c r="A139" s="3">
        <v>7</v>
      </c>
      <c r="B139" s="351"/>
      <c r="C139" s="120">
        <f>Q173</f>
        <v>0</v>
      </c>
      <c r="D139" s="121" t="str">
        <f>IF(R173="","",R173)</f>
        <v/>
      </c>
      <c r="E139" s="121" t="str">
        <f>IF(R174="","",R174)</f>
        <v/>
      </c>
      <c r="F139" s="373"/>
      <c r="G139" s="165" t="s">
        <v>201</v>
      </c>
      <c r="H139" s="400" t="str">
        <f>X181</f>
        <v>TBD</v>
      </c>
      <c r="I139" s="138"/>
      <c r="J139" s="45"/>
      <c r="K139" s="165" t="str">
        <f>"Min acceptable HVL at "&amp;D136&amp;" kVp:"</f>
        <v>Min acceptable HVL at 80 kVp:</v>
      </c>
      <c r="L139" s="45">
        <f>U182</f>
        <v>2.6</v>
      </c>
      <c r="M139" s="353"/>
      <c r="O139" s="84" t="s">
        <v>164</v>
      </c>
      <c r="P139" s="15" t="s">
        <v>165</v>
      </c>
      <c r="Q139" s="626" t="str">
        <f>IF(Q138&lt;&gt;"",Q138,IF($Q$99=1,"Manual 1",IF(AUTO_MA="","",AUTO_MA&amp;" 1")))</f>
        <v>Auto 1</v>
      </c>
      <c r="R139" s="626"/>
      <c r="S139" s="626"/>
      <c r="T139" s="627" t="str">
        <f>IF(T138&lt;&gt;"",T138,IF($R$1399=1,"Manual 2",IF(OR(AUTO_MA="",O101="",O101=1),"",AUTO_MA&amp;" "&amp;IF(O101=2,2,IF(AND(O102=2,O101&gt;2),ROUND(O101/2,0),O101)))))</f>
        <v>Auto 2</v>
      </c>
      <c r="U139" s="627"/>
      <c r="V139" s="627"/>
      <c r="W139" s="627" t="str">
        <f>IF(W138&lt;&gt;"",W138,IF(OR(O102=1,O101&lt;3),IF(O102=1,"High Level","No High Level"),IF(AUTO_MA="","",AUTO_MA&amp;" "&amp;O101)))</f>
        <v>High Level</v>
      </c>
      <c r="X139" s="627"/>
      <c r="Y139" s="627"/>
      <c r="AA139" s="2" t="str">
        <f>$W$139&amp;" Mag 2"</f>
        <v>High Level Mag 2</v>
      </c>
      <c r="AB139" s="43"/>
      <c r="AC139" s="31" t="str">
        <f t="shared" si="20"/>
        <v/>
      </c>
      <c r="AD139" s="64" t="str">
        <f t="shared" si="21"/>
        <v/>
      </c>
    </row>
    <row r="140" spans="1:30" ht="14.1" customHeight="1" x14ac:dyDescent="0.25">
      <c r="A140" s="3">
        <v>8</v>
      </c>
      <c r="B140" s="351"/>
      <c r="C140" s="120" t="str">
        <f>IF(Q175="","",Q175)</f>
        <v/>
      </c>
      <c r="D140" s="121" t="str">
        <f>IF(R175="","",R175)</f>
        <v/>
      </c>
      <c r="E140" s="121" t="str">
        <f>IF(R176="","",R176)</f>
        <v/>
      </c>
      <c r="F140" s="373"/>
      <c r="G140" s="207"/>
      <c r="H140" s="207"/>
      <c r="I140" s="138"/>
      <c r="J140" s="45"/>
      <c r="K140" s="165" t="str">
        <f>"Desired HVL at "&amp;D136&amp;" kVp:"</f>
        <v>Desired HVL at 80 kVp:</v>
      </c>
      <c r="L140" s="45">
        <f>U183</f>
        <v>3.1</v>
      </c>
      <c r="M140" s="353"/>
      <c r="O140" s="84" t="str">
        <f>IF(flocm_in="","","("&amp;flocm_in&amp;")")</f>
        <v>(cm)</v>
      </c>
      <c r="P140" s="24" t="s">
        <v>167</v>
      </c>
      <c r="Q140" s="1" t="s">
        <v>168</v>
      </c>
      <c r="R140" s="1" t="s">
        <v>169</v>
      </c>
      <c r="S140" s="15" t="s">
        <v>170</v>
      </c>
      <c r="T140" s="1" t="s">
        <v>168</v>
      </c>
      <c r="U140" s="1" t="s">
        <v>169</v>
      </c>
      <c r="V140" s="15" t="s">
        <v>170</v>
      </c>
      <c r="W140" s="1" t="s">
        <v>168</v>
      </c>
      <c r="X140" s="1" t="s">
        <v>169</v>
      </c>
      <c r="Y140" s="15" t="s">
        <v>170</v>
      </c>
      <c r="AA140" s="2" t="str">
        <f>$W$139&amp;" Mag 3"</f>
        <v>High Level Mag 3</v>
      </c>
      <c r="AB140" s="43"/>
      <c r="AC140" s="31" t="str">
        <f t="shared" si="20"/>
        <v/>
      </c>
      <c r="AD140" s="64" t="str">
        <f t="shared" si="21"/>
        <v/>
      </c>
    </row>
    <row r="141" spans="1:30" ht="14.1" customHeight="1" x14ac:dyDescent="0.25">
      <c r="A141" s="3">
        <v>9</v>
      </c>
      <c r="B141" s="351"/>
      <c r="C141" s="120" t="str">
        <f>IF(Q177="","",Q177)</f>
        <v/>
      </c>
      <c r="D141" s="121" t="str">
        <f>IF(R177="","",R177)</f>
        <v/>
      </c>
      <c r="E141" s="121" t="str">
        <f>IF(R178="","",R178)</f>
        <v/>
      </c>
      <c r="F141" s="373"/>
      <c r="G141" s="373"/>
      <c r="H141" s="373"/>
      <c r="I141" s="373"/>
      <c r="J141" s="165" t="s">
        <v>188</v>
      </c>
      <c r="K141" s="73" t="str">
        <f>IF(O170=1,"DHEC Standard","MUSC Standard")</f>
        <v>MUSC Standard</v>
      </c>
      <c r="L141" s="45"/>
      <c r="M141" s="353"/>
      <c r="O141" s="85" t="s">
        <v>172</v>
      </c>
      <c r="P141" s="85">
        <v>10</v>
      </c>
      <c r="Q141" s="86">
        <f>DataEntry!C26</f>
        <v>0</v>
      </c>
      <c r="R141" s="87">
        <f>DataEntry!D26</f>
        <v>0</v>
      </c>
      <c r="S141" s="88">
        <f>DataEntry!E26</f>
        <v>0</v>
      </c>
      <c r="T141" s="86">
        <f>DataEntry!F26</f>
        <v>0</v>
      </c>
      <c r="U141" s="87">
        <f>DataEntry!G26</f>
        <v>0</v>
      </c>
      <c r="V141" s="88">
        <f>DataEntry!H26</f>
        <v>0</v>
      </c>
      <c r="W141" s="86">
        <f>DataEntry!I26</f>
        <v>0</v>
      </c>
      <c r="X141" s="87">
        <f>DataEntry!J26</f>
        <v>0</v>
      </c>
      <c r="Y141" s="88">
        <f>DataEntry!K26</f>
        <v>0</v>
      </c>
      <c r="AA141" s="2" t="str">
        <f>$W$139&amp;" Mag 4"</f>
        <v>High Level Mag 4</v>
      </c>
      <c r="AB141" s="43"/>
      <c r="AC141" s="31" t="str">
        <f t="shared" si="20"/>
        <v/>
      </c>
      <c r="AD141" s="64" t="str">
        <f t="shared" si="21"/>
        <v/>
      </c>
    </row>
    <row r="142" spans="1:30" ht="14.1" customHeight="1" x14ac:dyDescent="0.25">
      <c r="A142" s="3">
        <v>10</v>
      </c>
      <c r="B142" s="351"/>
      <c r="C142" s="120" t="str">
        <f>IF(Q179="","",Q179)</f>
        <v/>
      </c>
      <c r="D142" s="121" t="str">
        <f>IF(R179="","",R179)</f>
        <v/>
      </c>
      <c r="E142" s="121" t="str">
        <f>IF(R180="","",R180)</f>
        <v/>
      </c>
      <c r="F142" s="373"/>
      <c r="G142" s="373"/>
      <c r="H142" s="373"/>
      <c r="I142" s="373"/>
      <c r="J142" s="373"/>
      <c r="K142" s="373"/>
      <c r="L142" s="138"/>
      <c r="M142" s="353"/>
      <c r="O142" s="89" t="str">
        <f>O110</f>
        <v/>
      </c>
      <c r="P142" s="84">
        <v>20</v>
      </c>
      <c r="Q142" s="90">
        <f>DataEntry!C27</f>
        <v>0</v>
      </c>
      <c r="R142" s="91">
        <f>DataEntry!D27</f>
        <v>0</v>
      </c>
      <c r="S142" s="92">
        <f>DataEntry!E27</f>
        <v>0</v>
      </c>
      <c r="T142" s="90">
        <f>DataEntry!F27</f>
        <v>0</v>
      </c>
      <c r="U142" s="91">
        <f>DataEntry!G27</f>
        <v>0</v>
      </c>
      <c r="V142" s="92">
        <f>DataEntry!H27</f>
        <v>0</v>
      </c>
      <c r="W142" s="90">
        <f>DataEntry!I27</f>
        <v>0</v>
      </c>
      <c r="X142" s="91">
        <f>DataEntry!J27</f>
        <v>0</v>
      </c>
      <c r="Y142" s="92">
        <f>DataEntry!K27</f>
        <v>0</v>
      </c>
      <c r="AA142" s="25" t="s">
        <v>202</v>
      </c>
      <c r="AB142" s="56"/>
      <c r="AC142" s="56"/>
      <c r="AD142" s="56"/>
    </row>
    <row r="143" spans="1:30" ht="14.1" customHeight="1" x14ac:dyDescent="0.25">
      <c r="A143" s="3">
        <v>11</v>
      </c>
      <c r="B143" s="351"/>
      <c r="C143" s="120" t="str">
        <f>IF(Q181="","",Q181)</f>
        <v/>
      </c>
      <c r="D143" s="122" t="str">
        <f>IF(R181="","",R181)</f>
        <v/>
      </c>
      <c r="E143" s="122" t="str">
        <f>IF(R182="","",R182)</f>
        <v/>
      </c>
      <c r="F143" s="373"/>
      <c r="G143" s="373"/>
      <c r="H143" s="373"/>
      <c r="I143" s="373"/>
      <c r="J143" s="373"/>
      <c r="K143" s="373"/>
      <c r="L143" s="138"/>
      <c r="M143" s="353"/>
      <c r="O143" s="123"/>
      <c r="P143" s="94">
        <v>30</v>
      </c>
      <c r="Q143" s="95">
        <f>DataEntry!C28</f>
        <v>0</v>
      </c>
      <c r="R143" s="96">
        <f>DataEntry!D28</f>
        <v>0</v>
      </c>
      <c r="S143" s="97">
        <f>DataEntry!E28</f>
        <v>0</v>
      </c>
      <c r="T143" s="95">
        <f>DataEntry!F28</f>
        <v>0</v>
      </c>
      <c r="U143" s="96">
        <f>DataEntry!G28</f>
        <v>0</v>
      </c>
      <c r="V143" s="97">
        <f>DataEntry!H28</f>
        <v>0</v>
      </c>
      <c r="W143" s="95">
        <f>DataEntry!I28</f>
        <v>0</v>
      </c>
      <c r="X143" s="96">
        <f>DataEntry!J28</f>
        <v>0</v>
      </c>
      <c r="Y143" s="97">
        <f>DataEntry!K28</f>
        <v>0</v>
      </c>
      <c r="AA143" s="2" t="s">
        <v>203</v>
      </c>
      <c r="AB143" s="43"/>
      <c r="AC143" s="31" t="str">
        <f>IF(AB143&lt;&gt;AD143,"Change","")</f>
        <v/>
      </c>
      <c r="AD143" s="124">
        <f>IF(T237="","",T237)</f>
        <v>0</v>
      </c>
    </row>
    <row r="144" spans="1:30" ht="14.1" customHeight="1" x14ac:dyDescent="0.25">
      <c r="A144" s="3">
        <v>12</v>
      </c>
      <c r="B144" s="351"/>
      <c r="C144" s="120" t="str">
        <f>IF(Q183="","",Q183)</f>
        <v/>
      </c>
      <c r="D144" s="122" t="str">
        <f>IF(R183="","",R183)</f>
        <v/>
      </c>
      <c r="E144" s="122" t="str">
        <f>IF(R184="","",R184)</f>
        <v/>
      </c>
      <c r="F144" s="373"/>
      <c r="G144" s="373"/>
      <c r="H144" s="373"/>
      <c r="I144" s="373"/>
      <c r="J144" s="373"/>
      <c r="K144" s="373"/>
      <c r="L144" s="138"/>
      <c r="M144" s="353"/>
      <c r="O144" s="85" t="s">
        <v>175</v>
      </c>
      <c r="P144" s="85">
        <v>10</v>
      </c>
      <c r="Q144" s="86">
        <f>DataEntry!C29</f>
        <v>0</v>
      </c>
      <c r="R144" s="87">
        <f>DataEntry!D29</f>
        <v>0</v>
      </c>
      <c r="S144" s="88">
        <f>DataEntry!E29</f>
        <v>0</v>
      </c>
      <c r="T144" s="86">
        <f>DataEntry!F29</f>
        <v>0</v>
      </c>
      <c r="U144" s="87">
        <f>DataEntry!G29</f>
        <v>0</v>
      </c>
      <c r="V144" s="88">
        <f>DataEntry!H29</f>
        <v>0</v>
      </c>
      <c r="W144" s="86">
        <f>DataEntry!I29</f>
        <v>0</v>
      </c>
      <c r="X144" s="87">
        <f>DataEntry!J29</f>
        <v>0</v>
      </c>
      <c r="Y144" s="88">
        <f>DataEntry!K29</f>
        <v>0</v>
      </c>
      <c r="AA144" s="2" t="s">
        <v>204</v>
      </c>
      <c r="AB144" s="43"/>
      <c r="AC144" s="31" t="str">
        <f>IF(AB144&lt;&gt;AD144,"Change","")</f>
        <v/>
      </c>
      <c r="AD144" s="124" t="str">
        <f>IF(U240="","",U240)</f>
        <v/>
      </c>
    </row>
    <row r="145" spans="1:30" ht="14.1" customHeight="1" x14ac:dyDescent="0.25">
      <c r="A145" s="3">
        <v>13</v>
      </c>
      <c r="B145" s="351"/>
      <c r="C145" s="138"/>
      <c r="D145" s="138"/>
      <c r="E145" s="373"/>
      <c r="F145" s="373"/>
      <c r="G145" s="373"/>
      <c r="H145" s="138"/>
      <c r="I145" s="373"/>
      <c r="J145" s="373"/>
      <c r="K145" s="373"/>
      <c r="L145" s="138"/>
      <c r="M145" s="353"/>
      <c r="O145" s="89" t="str">
        <f>O113</f>
        <v/>
      </c>
      <c r="P145" s="84">
        <v>20</v>
      </c>
      <c r="Q145" s="90">
        <f>DataEntry!C30</f>
        <v>0</v>
      </c>
      <c r="R145" s="91">
        <f>DataEntry!D30</f>
        <v>0</v>
      </c>
      <c r="S145" s="92">
        <f>DataEntry!E30</f>
        <v>0</v>
      </c>
      <c r="T145" s="90">
        <f>DataEntry!F30</f>
        <v>0</v>
      </c>
      <c r="U145" s="91">
        <f>DataEntry!G30</f>
        <v>0</v>
      </c>
      <c r="V145" s="92">
        <f>DataEntry!H30</f>
        <v>0</v>
      </c>
      <c r="W145" s="90">
        <f>DataEntry!I30</f>
        <v>0</v>
      </c>
      <c r="X145" s="91">
        <f>DataEntry!J30</f>
        <v>0</v>
      </c>
      <c r="Y145" s="92">
        <f>DataEntry!K30</f>
        <v>0</v>
      </c>
      <c r="AA145" s="2" t="s">
        <v>205</v>
      </c>
      <c r="AB145" s="43"/>
      <c r="AC145" s="31" t="str">
        <f>IF(AB145&lt;&gt;AD145,"Change","")</f>
        <v/>
      </c>
      <c r="AD145" s="124" t="str">
        <f>IF(U241="","",U241)</f>
        <v/>
      </c>
    </row>
    <row r="146" spans="1:30" ht="14.1" customHeight="1" x14ac:dyDescent="0.25">
      <c r="A146" s="3">
        <v>14</v>
      </c>
      <c r="B146" s="351"/>
      <c r="C146" s="138"/>
      <c r="D146" s="138"/>
      <c r="E146" s="138"/>
      <c r="F146" s="138"/>
      <c r="G146" s="138"/>
      <c r="H146" s="138"/>
      <c r="I146" s="138"/>
      <c r="J146" s="138"/>
      <c r="K146" s="138"/>
      <c r="L146" s="138"/>
      <c r="M146" s="353"/>
      <c r="O146" s="123"/>
      <c r="P146" s="94">
        <v>30</v>
      </c>
      <c r="Q146" s="95">
        <f>DataEntry!C31</f>
        <v>0</v>
      </c>
      <c r="R146" s="96">
        <f>DataEntry!D31</f>
        <v>0</v>
      </c>
      <c r="S146" s="97">
        <f>DataEntry!E31</f>
        <v>0</v>
      </c>
      <c r="T146" s="95">
        <f>DataEntry!F31</f>
        <v>0</v>
      </c>
      <c r="U146" s="96">
        <f>DataEntry!G31</f>
        <v>0</v>
      </c>
      <c r="V146" s="97">
        <f>DataEntry!H31</f>
        <v>0</v>
      </c>
      <c r="W146" s="95">
        <f>DataEntry!I31</f>
        <v>0</v>
      </c>
      <c r="X146" s="96">
        <f>DataEntry!J31</f>
        <v>0</v>
      </c>
      <c r="Y146" s="97">
        <f>DataEntry!K31</f>
        <v>0</v>
      </c>
      <c r="AA146" s="2" t="s">
        <v>206</v>
      </c>
      <c r="AB146" s="43"/>
      <c r="AC146" s="31" t="str">
        <f>IF(AB146&lt;&gt;AD146,"Change","")</f>
        <v/>
      </c>
      <c r="AD146" s="124" t="str">
        <f>IF(V240="","",V240)</f>
        <v/>
      </c>
    </row>
    <row r="147" spans="1:30" ht="14.1" customHeight="1" x14ac:dyDescent="0.25">
      <c r="A147" s="3">
        <v>15</v>
      </c>
      <c r="B147" s="351"/>
      <c r="C147" s="138"/>
      <c r="D147" s="138"/>
      <c r="E147" s="138"/>
      <c r="F147" s="138"/>
      <c r="G147" s="138"/>
      <c r="H147" s="138"/>
      <c r="I147" s="138"/>
      <c r="J147" s="138"/>
      <c r="K147" s="138"/>
      <c r="L147" s="138"/>
      <c r="M147" s="353"/>
      <c r="O147" s="85" t="s">
        <v>176</v>
      </c>
      <c r="P147" s="85">
        <v>10</v>
      </c>
      <c r="Q147" s="86">
        <f>DataEntry!C32</f>
        <v>0</v>
      </c>
      <c r="R147" s="87">
        <f>DataEntry!D32</f>
        <v>0</v>
      </c>
      <c r="S147" s="88">
        <f>DataEntry!E32</f>
        <v>0</v>
      </c>
      <c r="T147" s="86">
        <f>DataEntry!F32</f>
        <v>0</v>
      </c>
      <c r="U147" s="87">
        <f>DataEntry!G32</f>
        <v>0</v>
      </c>
      <c r="V147" s="88">
        <f>DataEntry!H32</f>
        <v>0</v>
      </c>
      <c r="W147" s="86">
        <f>DataEntry!I32</f>
        <v>0</v>
      </c>
      <c r="X147" s="87">
        <f>DataEntry!J32</f>
        <v>0</v>
      </c>
      <c r="Y147" s="88">
        <f>DataEntry!K32</f>
        <v>0</v>
      </c>
      <c r="AA147" s="2" t="s">
        <v>207</v>
      </c>
      <c r="AB147" s="43"/>
      <c r="AC147" s="31" t="str">
        <f>IF(AB147&lt;&gt;AD147,"Change","")</f>
        <v/>
      </c>
      <c r="AD147" s="124" t="str">
        <f>IF(V241="","",V241)</f>
        <v/>
      </c>
    </row>
    <row r="148" spans="1:30" ht="14.1" customHeight="1" x14ac:dyDescent="0.25">
      <c r="A148" s="3">
        <v>16</v>
      </c>
      <c r="B148" s="351"/>
      <c r="C148" s="138"/>
      <c r="D148" s="138"/>
      <c r="E148" s="138"/>
      <c r="F148" s="138"/>
      <c r="G148" s="138"/>
      <c r="H148" s="138"/>
      <c r="I148" s="138"/>
      <c r="J148" s="138"/>
      <c r="K148" s="138"/>
      <c r="L148" s="138"/>
      <c r="M148" s="353"/>
      <c r="O148" s="89" t="str">
        <f>O116</f>
        <v/>
      </c>
      <c r="P148" s="84">
        <v>20</v>
      </c>
      <c r="Q148" s="90">
        <f>DataEntry!C33</f>
        <v>0</v>
      </c>
      <c r="R148" s="91">
        <f>DataEntry!D33</f>
        <v>0</v>
      </c>
      <c r="S148" s="92">
        <f>DataEntry!E33</f>
        <v>0</v>
      </c>
      <c r="T148" s="90">
        <f>DataEntry!F33</f>
        <v>0</v>
      </c>
      <c r="U148" s="91">
        <f>DataEntry!G33</f>
        <v>0</v>
      </c>
      <c r="V148" s="92">
        <f>DataEntry!H33</f>
        <v>0</v>
      </c>
      <c r="W148" s="90">
        <f>DataEntry!I33</f>
        <v>0</v>
      </c>
      <c r="X148" s="91">
        <f>DataEntry!J33</f>
        <v>0</v>
      </c>
      <c r="Y148" s="92">
        <f>DataEntry!K33</f>
        <v>0</v>
      </c>
      <c r="AA148" s="25" t="s">
        <v>208</v>
      </c>
      <c r="AB148" s="56"/>
      <c r="AC148" s="56"/>
      <c r="AD148" s="56"/>
    </row>
    <row r="149" spans="1:30" ht="14.1" customHeight="1" x14ac:dyDescent="0.25">
      <c r="A149" s="3">
        <v>17</v>
      </c>
      <c r="B149" s="351"/>
      <c r="C149" s="138"/>
      <c r="D149" s="138"/>
      <c r="E149" s="138"/>
      <c r="F149" s="138"/>
      <c r="G149" s="138"/>
      <c r="H149" s="138"/>
      <c r="I149" s="138"/>
      <c r="J149" s="138"/>
      <c r="K149" s="138"/>
      <c r="L149" s="138"/>
      <c r="M149" s="353"/>
      <c r="O149" s="123"/>
      <c r="P149" s="94">
        <v>30</v>
      </c>
      <c r="Q149" s="95">
        <f>DataEntry!C34</f>
        <v>0</v>
      </c>
      <c r="R149" s="96">
        <f>DataEntry!D34</f>
        <v>0</v>
      </c>
      <c r="S149" s="97">
        <f>DataEntry!E34</f>
        <v>0</v>
      </c>
      <c r="T149" s="95">
        <f>DataEntry!F34</f>
        <v>0</v>
      </c>
      <c r="U149" s="96">
        <f>DataEntry!G34</f>
        <v>0</v>
      </c>
      <c r="V149" s="97">
        <f>DataEntry!H34</f>
        <v>0</v>
      </c>
      <c r="W149" s="95">
        <f>DataEntry!I34</f>
        <v>0</v>
      </c>
      <c r="X149" s="96">
        <f>DataEntry!J34</f>
        <v>0</v>
      </c>
      <c r="Y149" s="97">
        <f>DataEntry!K34</f>
        <v>0</v>
      </c>
      <c r="AA149" s="2" t="s">
        <v>204</v>
      </c>
      <c r="AB149" s="43"/>
      <c r="AC149" s="31" t="str">
        <f>IF(AB150&lt;&gt;AD149,"Change","")</f>
        <v/>
      </c>
      <c r="AD149" s="124" t="str">
        <f>IF(U242="","",U242)</f>
        <v/>
      </c>
    </row>
    <row r="150" spans="1:30" ht="14.1" customHeight="1" x14ac:dyDescent="0.25">
      <c r="A150" s="3">
        <v>18</v>
      </c>
      <c r="B150" s="351"/>
      <c r="C150" s="138"/>
      <c r="D150" s="138"/>
      <c r="E150" s="138"/>
      <c r="F150" s="138"/>
      <c r="G150" s="138"/>
      <c r="H150" s="138"/>
      <c r="I150" s="138"/>
      <c r="J150" s="138"/>
      <c r="K150" s="138"/>
      <c r="L150" s="138"/>
      <c r="M150" s="353"/>
      <c r="O150" s="85" t="s">
        <v>177</v>
      </c>
      <c r="P150" s="85">
        <v>10</v>
      </c>
      <c r="Q150" s="86">
        <f>DataEntry!C35</f>
        <v>0</v>
      </c>
      <c r="R150" s="87">
        <f>DataEntry!D35</f>
        <v>0</v>
      </c>
      <c r="S150" s="88">
        <f>DataEntry!E35</f>
        <v>0</v>
      </c>
      <c r="T150" s="86">
        <f>DataEntry!F35</f>
        <v>0</v>
      </c>
      <c r="U150" s="87">
        <f>DataEntry!G35</f>
        <v>0</v>
      </c>
      <c r="V150" s="88">
        <f>DataEntry!H35</f>
        <v>0</v>
      </c>
      <c r="W150" s="86">
        <f>DataEntry!I35</f>
        <v>0</v>
      </c>
      <c r="X150" s="87">
        <f>DataEntry!J35</f>
        <v>0</v>
      </c>
      <c r="Y150" s="88">
        <f>DataEntry!K35</f>
        <v>0</v>
      </c>
      <c r="AA150" s="2" t="s">
        <v>205</v>
      </c>
      <c r="AB150" s="43"/>
      <c r="AC150" s="31" t="str">
        <f>IF(AB150&lt;&gt;AD150,"Change","")</f>
        <v/>
      </c>
      <c r="AD150" s="124" t="str">
        <f>IF(U243="","",U243)</f>
        <v/>
      </c>
    </row>
    <row r="151" spans="1:30" ht="14.1" customHeight="1" x14ac:dyDescent="0.25">
      <c r="A151" s="3">
        <v>19</v>
      </c>
      <c r="B151" s="351"/>
      <c r="C151" s="138"/>
      <c r="D151" s="138"/>
      <c r="E151" s="138"/>
      <c r="F151" s="138"/>
      <c r="G151" s="138"/>
      <c r="H151" s="138"/>
      <c r="I151" s="138"/>
      <c r="J151" s="138"/>
      <c r="K151" s="138"/>
      <c r="L151" s="138"/>
      <c r="M151" s="353"/>
      <c r="O151" s="89" t="str">
        <f>O119</f>
        <v/>
      </c>
      <c r="P151" s="84">
        <v>20</v>
      </c>
      <c r="Q151" s="90">
        <f>DataEntry!C36</f>
        <v>0</v>
      </c>
      <c r="R151" s="91">
        <f>DataEntry!D36</f>
        <v>0</v>
      </c>
      <c r="S151" s="92">
        <f>DataEntry!E36</f>
        <v>0</v>
      </c>
      <c r="T151" s="90">
        <f>DataEntry!F36</f>
        <v>0</v>
      </c>
      <c r="U151" s="91">
        <f>DataEntry!G36</f>
        <v>0</v>
      </c>
      <c r="V151" s="92">
        <f>DataEntry!H36</f>
        <v>0</v>
      </c>
      <c r="W151" s="90">
        <f>DataEntry!I36</f>
        <v>0</v>
      </c>
      <c r="X151" s="91">
        <f>DataEntry!J36</f>
        <v>0</v>
      </c>
      <c r="Y151" s="92">
        <f>DataEntry!K36</f>
        <v>0</v>
      </c>
      <c r="AA151" s="2" t="s">
        <v>206</v>
      </c>
      <c r="AB151" s="43"/>
      <c r="AC151" s="31" t="str">
        <f>IF(AB152&lt;&gt;AD151,"Change","")</f>
        <v/>
      </c>
      <c r="AD151" s="124" t="str">
        <f>IF(V242="","",V242)</f>
        <v/>
      </c>
    </row>
    <row r="152" spans="1:30" ht="14.1" customHeight="1" x14ac:dyDescent="0.25">
      <c r="A152" s="3">
        <v>20</v>
      </c>
      <c r="B152" s="351"/>
      <c r="C152" s="138"/>
      <c r="D152" s="138"/>
      <c r="E152" s="138"/>
      <c r="F152" s="138"/>
      <c r="G152" s="138"/>
      <c r="H152" s="138"/>
      <c r="I152" s="138"/>
      <c r="J152" s="138"/>
      <c r="K152" s="138"/>
      <c r="L152" s="138"/>
      <c r="M152" s="353"/>
      <c r="O152" s="123"/>
      <c r="P152" s="94">
        <v>30</v>
      </c>
      <c r="Q152" s="95">
        <f>DataEntry!C37</f>
        <v>0</v>
      </c>
      <c r="R152" s="96">
        <f>DataEntry!D37</f>
        <v>0</v>
      </c>
      <c r="S152" s="97">
        <f>DataEntry!E37</f>
        <v>0</v>
      </c>
      <c r="T152" s="95">
        <f>DataEntry!F37</f>
        <v>0</v>
      </c>
      <c r="U152" s="96">
        <f>DataEntry!G37</f>
        <v>0</v>
      </c>
      <c r="V152" s="97">
        <f>DataEntry!H37</f>
        <v>0</v>
      </c>
      <c r="W152" s="95">
        <f>DataEntry!I37</f>
        <v>0</v>
      </c>
      <c r="X152" s="96">
        <f>DataEntry!J37</f>
        <v>0</v>
      </c>
      <c r="Y152" s="97">
        <f>DataEntry!K37</f>
        <v>0</v>
      </c>
      <c r="AA152" s="2" t="s">
        <v>207</v>
      </c>
      <c r="AB152" s="43"/>
      <c r="AC152" s="31" t="str">
        <f>IF(AB152&lt;&gt;AD152,"Change","")</f>
        <v/>
      </c>
      <c r="AD152" s="124" t="str">
        <f>IF(V243="","",V243)</f>
        <v/>
      </c>
    </row>
    <row r="153" spans="1:30" ht="14.1" customHeight="1" x14ac:dyDescent="0.25">
      <c r="A153" s="3">
        <v>21</v>
      </c>
      <c r="B153" s="351"/>
      <c r="C153" s="138"/>
      <c r="D153" s="138"/>
      <c r="E153" s="138"/>
      <c r="F153" s="138"/>
      <c r="G153" s="138"/>
      <c r="H153" s="138"/>
      <c r="I153" s="138"/>
      <c r="J153" s="138"/>
      <c r="K153" s="138"/>
      <c r="L153" s="138"/>
      <c r="M153" s="353"/>
      <c r="O153" s="85" t="s">
        <v>178</v>
      </c>
      <c r="P153" s="85">
        <v>10</v>
      </c>
      <c r="Q153" s="86">
        <f>DataEntry!C38</f>
        <v>0</v>
      </c>
      <c r="R153" s="87">
        <f>DataEntry!D38</f>
        <v>0</v>
      </c>
      <c r="S153" s="88">
        <f>DataEntry!E38</f>
        <v>0</v>
      </c>
      <c r="T153" s="86">
        <f>DataEntry!F38</f>
        <v>0</v>
      </c>
      <c r="U153" s="87">
        <f>DataEntry!G38</f>
        <v>0</v>
      </c>
      <c r="V153" s="88">
        <f>DataEntry!H38</f>
        <v>0</v>
      </c>
      <c r="W153" s="86">
        <f>DataEntry!I38</f>
        <v>0</v>
      </c>
      <c r="X153" s="87">
        <f>DataEntry!J38</f>
        <v>0</v>
      </c>
      <c r="Y153" s="88">
        <f>DataEntry!K38</f>
        <v>0</v>
      </c>
      <c r="AA153" s="25" t="s">
        <v>209</v>
      </c>
      <c r="AB153" s="56"/>
      <c r="AC153" s="56"/>
      <c r="AD153" s="56"/>
    </row>
    <row r="154" spans="1:30" ht="14.1" customHeight="1" x14ac:dyDescent="0.25">
      <c r="A154" s="3">
        <v>22</v>
      </c>
      <c r="B154" s="351"/>
      <c r="C154" s="138"/>
      <c r="D154" s="138"/>
      <c r="E154" s="138"/>
      <c r="F154" s="138"/>
      <c r="G154" s="138"/>
      <c r="H154" s="138"/>
      <c r="I154" s="138"/>
      <c r="J154" s="138"/>
      <c r="K154" s="138"/>
      <c r="L154" s="138"/>
      <c r="M154" s="353"/>
      <c r="O154" s="89" t="str">
        <f>O122</f>
        <v/>
      </c>
      <c r="P154" s="84">
        <v>20</v>
      </c>
      <c r="Q154" s="90">
        <f>DataEntry!C39</f>
        <v>0</v>
      </c>
      <c r="R154" s="91">
        <f>DataEntry!D39</f>
        <v>0</v>
      </c>
      <c r="S154" s="92">
        <f>DataEntry!E39</f>
        <v>0</v>
      </c>
      <c r="T154" s="90">
        <f>DataEntry!F39</f>
        <v>0</v>
      </c>
      <c r="U154" s="91">
        <f>DataEntry!G39</f>
        <v>0</v>
      </c>
      <c r="V154" s="92">
        <f>DataEntry!H39</f>
        <v>0</v>
      </c>
      <c r="W154" s="90">
        <f>DataEntry!I39</f>
        <v>0</v>
      </c>
      <c r="X154" s="91">
        <f>DataEntry!J39</f>
        <v>0</v>
      </c>
      <c r="Y154" s="92">
        <f>DataEntry!K39</f>
        <v>0</v>
      </c>
      <c r="AA154" s="2" t="s">
        <v>210</v>
      </c>
      <c r="AB154" s="43"/>
      <c r="AC154" s="31" t="str">
        <f t="shared" ref="AC154:AC185" si="22">IF(AB154&lt;&gt;AD154,"Change","")</f>
        <v>Change</v>
      </c>
      <c r="AD154" s="64">
        <f>IF(V318="","",V318)</f>
        <v>70</v>
      </c>
    </row>
    <row r="155" spans="1:30" ht="14.1" customHeight="1" x14ac:dyDescent="0.25">
      <c r="A155" s="3">
        <v>23</v>
      </c>
      <c r="B155" s="351"/>
      <c r="C155" s="138"/>
      <c r="D155" s="138"/>
      <c r="E155" s="138"/>
      <c r="F155" s="138"/>
      <c r="G155" s="138"/>
      <c r="H155" s="138"/>
      <c r="I155" s="138"/>
      <c r="J155" s="138"/>
      <c r="K155" s="138"/>
      <c r="L155" s="138"/>
      <c r="M155" s="353"/>
      <c r="O155" s="123"/>
      <c r="P155" s="94">
        <v>30</v>
      </c>
      <c r="Q155" s="95">
        <f>DataEntry!C40</f>
        <v>0</v>
      </c>
      <c r="R155" s="96">
        <f>DataEntry!D40</f>
        <v>0</v>
      </c>
      <c r="S155" s="97">
        <f>DataEntry!E40</f>
        <v>0</v>
      </c>
      <c r="T155" s="95">
        <f>DataEntry!F40</f>
        <v>0</v>
      </c>
      <c r="U155" s="96">
        <f>DataEntry!G40</f>
        <v>0</v>
      </c>
      <c r="V155" s="97">
        <f>DataEntry!H40</f>
        <v>0</v>
      </c>
      <c r="W155" s="95">
        <f>DataEntry!I40</f>
        <v>0</v>
      </c>
      <c r="X155" s="96">
        <f>DataEntry!J40</f>
        <v>0</v>
      </c>
      <c r="Y155" s="97">
        <f>DataEntry!K40</f>
        <v>0</v>
      </c>
      <c r="AA155" s="2" t="s">
        <v>211</v>
      </c>
      <c r="AB155" s="43"/>
      <c r="AC155" s="31" t="str">
        <f t="shared" si="22"/>
        <v/>
      </c>
      <c r="AD155" s="64" t="str">
        <f>IF(H401="","",H401)</f>
        <v/>
      </c>
    </row>
    <row r="156" spans="1:30" ht="14.1" customHeight="1" x14ac:dyDescent="0.25">
      <c r="A156" s="3">
        <v>24</v>
      </c>
      <c r="B156" s="351"/>
      <c r="C156" s="138"/>
      <c r="D156" s="138"/>
      <c r="E156" s="138"/>
      <c r="F156" s="138"/>
      <c r="G156" s="138"/>
      <c r="H156" s="138"/>
      <c r="I156" s="138"/>
      <c r="J156" s="138"/>
      <c r="K156" s="138"/>
      <c r="L156" s="138"/>
      <c r="M156" s="353"/>
      <c r="O156" s="14"/>
      <c r="P156" s="98" t="s">
        <v>179</v>
      </c>
      <c r="Q156" s="95">
        <f>DataEntry!C41</f>
        <v>0</v>
      </c>
      <c r="R156" s="96">
        <f>DataEntry!D41</f>
        <v>0</v>
      </c>
      <c r="S156" s="97">
        <f>DataEntry!E41</f>
        <v>0</v>
      </c>
      <c r="T156" s="95">
        <f>DataEntry!F41</f>
        <v>0</v>
      </c>
      <c r="U156" s="96">
        <f>DataEntry!G41</f>
        <v>0</v>
      </c>
      <c r="V156" s="97">
        <f>DataEntry!H41</f>
        <v>0</v>
      </c>
      <c r="W156" s="95">
        <f>DataEntry!I41</f>
        <v>0</v>
      </c>
      <c r="X156" s="96">
        <f>DataEntry!J41</f>
        <v>0</v>
      </c>
      <c r="Y156" s="97">
        <f>DataEntry!K41</f>
        <v>0</v>
      </c>
      <c r="AA156" s="2" t="s">
        <v>212</v>
      </c>
      <c r="AB156" s="43"/>
      <c r="AC156" s="31" t="str">
        <f t="shared" si="22"/>
        <v/>
      </c>
      <c r="AD156" s="64" t="str">
        <f>IF(H402="","",H402)</f>
        <v/>
      </c>
    </row>
    <row r="157" spans="1:30" ht="14.1" customHeight="1" x14ac:dyDescent="0.25">
      <c r="A157" s="3">
        <v>25</v>
      </c>
      <c r="B157" s="351"/>
      <c r="C157" s="138"/>
      <c r="D157" s="138"/>
      <c r="E157" s="138"/>
      <c r="F157" s="138"/>
      <c r="G157" s="138"/>
      <c r="H157" s="138"/>
      <c r="I157" s="138"/>
      <c r="J157" s="138"/>
      <c r="K157" s="138"/>
      <c r="L157" s="138"/>
      <c r="M157" s="353"/>
      <c r="O157" s="14"/>
      <c r="P157" s="1" t="s">
        <v>180</v>
      </c>
      <c r="Q157" s="102" t="str">
        <f>IF(AB94="","",AB94)</f>
        <v/>
      </c>
      <c r="R157" s="103" t="str">
        <f>IF(AB95="","",AB95)</f>
        <v/>
      </c>
      <c r="S157" s="104" t="str">
        <f>IF(AB96="","",AB96)</f>
        <v/>
      </c>
      <c r="T157" s="102" t="str">
        <f>IF(AB97="","",AB97)</f>
        <v/>
      </c>
      <c r="U157" s="103" t="str">
        <f>IF(AB98="","",AB98)</f>
        <v/>
      </c>
      <c r="V157" s="104" t="str">
        <f>IF(AB99="","",AB99)</f>
        <v/>
      </c>
      <c r="W157" s="102" t="str">
        <f>IF(AB100="","",AB100)</f>
        <v/>
      </c>
      <c r="X157" s="103" t="str">
        <f>IF(AB101="","",AB101)</f>
        <v/>
      </c>
      <c r="Y157" s="104" t="str">
        <f>IF(AB102="","",AB102)</f>
        <v/>
      </c>
      <c r="AA157" s="2" t="s">
        <v>213</v>
      </c>
      <c r="AB157" s="43"/>
      <c r="AC157" s="31" t="str">
        <f t="shared" si="22"/>
        <v/>
      </c>
      <c r="AD157" s="64" t="str">
        <f>IF(H403="","",H403)</f>
        <v/>
      </c>
    </row>
    <row r="158" spans="1:30" ht="14.1" customHeight="1" x14ac:dyDescent="0.25">
      <c r="A158" s="3">
        <v>26</v>
      </c>
      <c r="B158" s="351"/>
      <c r="C158" s="138"/>
      <c r="D158" s="138"/>
      <c r="E158" s="138"/>
      <c r="F158" s="138"/>
      <c r="G158" s="138"/>
      <c r="H158" s="138"/>
      <c r="I158" s="138"/>
      <c r="J158" s="138"/>
      <c r="K158" s="138"/>
      <c r="L158" s="138"/>
      <c r="M158" s="353"/>
      <c r="O158" s="14"/>
      <c r="P158" s="105" t="s">
        <v>181</v>
      </c>
      <c r="R158" s="106" t="s">
        <v>182</v>
      </c>
      <c r="S158" s="107" t="str">
        <f>IF($U$137=2,"NA",IF(S156="","NA",IF($Q$99=1,IF(S156&gt;44,"NO","YES"),IF(S156&gt;88,"NO","YES"))))</f>
        <v>NA</v>
      </c>
      <c r="U158" s="106" t="s">
        <v>182</v>
      </c>
      <c r="V158" s="107" t="str">
        <f>IF($U$137=2,"NA",IF(V156="","NA",IF($Q$99=1,IF(V156&gt;44,"NO","YES"),IF(V156&gt;88,"NO","YES"))))</f>
        <v>NA</v>
      </c>
      <c r="X158" s="106" t="s">
        <v>182</v>
      </c>
      <c r="Y158" s="107" t="str">
        <f>IF($U$137=2,"NA",IF(OR(AND($O$102=1,Y156=""),AND($S$156="",$V$156="",$Y$156="")),"NA",IF(Y156="","NA",IF($Q$99="",IF($O$102=2,IF(Y156&gt;88,"NO","YES"),IF(Y156&gt;176,"NO","YES")),IF(Y156&gt;44,"NO","YES")))))</f>
        <v>NA</v>
      </c>
      <c r="AA158" s="2" t="s">
        <v>214</v>
      </c>
      <c r="AB158" s="43"/>
      <c r="AC158" s="31" t="str">
        <f t="shared" si="22"/>
        <v/>
      </c>
      <c r="AD158" s="64" t="str">
        <f>IF(H404="","",H404)</f>
        <v/>
      </c>
    </row>
    <row r="159" spans="1:30" ht="14.1" customHeight="1" x14ac:dyDescent="0.25">
      <c r="A159" s="3">
        <v>27</v>
      </c>
      <c r="B159" s="351"/>
      <c r="C159" s="138"/>
      <c r="D159" s="138"/>
      <c r="E159" s="138"/>
      <c r="F159" s="138"/>
      <c r="G159" s="138"/>
      <c r="H159" s="138"/>
      <c r="I159" s="138"/>
      <c r="J159" s="138"/>
      <c r="K159" s="138"/>
      <c r="L159" s="138"/>
      <c r="M159" s="353"/>
      <c r="O159" s="14"/>
      <c r="P159" s="108" t="s">
        <v>184</v>
      </c>
      <c r="Y159" s="15"/>
      <c r="AA159" s="2" t="s">
        <v>215</v>
      </c>
      <c r="AB159" s="43"/>
      <c r="AC159" s="31" t="str">
        <f t="shared" si="22"/>
        <v/>
      </c>
      <c r="AD159" s="64" t="str">
        <f>IF(H405="","",H405)</f>
        <v/>
      </c>
    </row>
    <row r="160" spans="1:30" ht="14.1" customHeight="1" x14ac:dyDescent="0.25">
      <c r="A160" s="3">
        <v>28</v>
      </c>
      <c r="B160" s="351"/>
      <c r="C160" s="138"/>
      <c r="D160" s="138"/>
      <c r="E160" s="138"/>
      <c r="F160" s="138"/>
      <c r="G160" s="138"/>
      <c r="H160" s="138"/>
      <c r="I160" s="138"/>
      <c r="J160" s="138"/>
      <c r="K160" s="138"/>
      <c r="L160" s="138"/>
      <c r="M160" s="353"/>
      <c r="O160" s="14"/>
      <c r="P160" s="108" t="s">
        <v>185</v>
      </c>
      <c r="Y160" s="15"/>
      <c r="AA160" s="2" t="s">
        <v>216</v>
      </c>
      <c r="AB160" s="43"/>
      <c r="AC160" s="31" t="str">
        <f t="shared" si="22"/>
        <v/>
      </c>
      <c r="AD160" s="64" t="str">
        <f>IF(J401="","",J401)</f>
        <v/>
      </c>
    </row>
    <row r="161" spans="1:30" ht="14.1" customHeight="1" x14ac:dyDescent="0.25">
      <c r="A161" s="3">
        <v>29</v>
      </c>
      <c r="B161" s="351"/>
      <c r="C161" s="138"/>
      <c r="D161" s="138"/>
      <c r="E161" s="138"/>
      <c r="F161" s="138"/>
      <c r="G161" s="138"/>
      <c r="H161" s="138"/>
      <c r="I161" s="138"/>
      <c r="J161" s="138"/>
      <c r="K161" s="138"/>
      <c r="L161" s="138"/>
      <c r="M161" s="353"/>
      <c r="O161" s="14"/>
      <c r="P161" s="108" t="s">
        <v>186</v>
      </c>
      <c r="Y161" s="15"/>
      <c r="AA161" s="2" t="s">
        <v>217</v>
      </c>
      <c r="AB161" s="43"/>
      <c r="AC161" s="31" t="str">
        <f t="shared" si="22"/>
        <v/>
      </c>
      <c r="AD161" s="64" t="str">
        <f>IF(J402="","",J402)</f>
        <v/>
      </c>
    </row>
    <row r="162" spans="1:30" ht="14.1" customHeight="1" x14ac:dyDescent="0.25">
      <c r="A162" s="3">
        <v>30</v>
      </c>
      <c r="B162" s="351"/>
      <c r="C162" s="138"/>
      <c r="D162" s="138"/>
      <c r="E162" s="138"/>
      <c r="F162" s="138"/>
      <c r="G162" s="138"/>
      <c r="H162" s="138"/>
      <c r="I162" s="138"/>
      <c r="J162" s="138"/>
      <c r="K162" s="138"/>
      <c r="L162" s="138"/>
      <c r="M162" s="353"/>
      <c r="O162" s="14"/>
      <c r="P162" s="108" t="s">
        <v>187</v>
      </c>
      <c r="Y162" s="15"/>
      <c r="AA162" s="2" t="s">
        <v>218</v>
      </c>
      <c r="AB162" s="43"/>
      <c r="AC162" s="31" t="str">
        <f t="shared" si="22"/>
        <v/>
      </c>
      <c r="AD162" s="64" t="str">
        <f>IF(J403="","",J403)</f>
        <v/>
      </c>
    </row>
    <row r="163" spans="1:30" ht="14.1" customHeight="1" x14ac:dyDescent="0.25">
      <c r="A163" s="3">
        <v>31</v>
      </c>
      <c r="B163" s="351"/>
      <c r="C163" s="138"/>
      <c r="D163" s="138"/>
      <c r="E163" s="138"/>
      <c r="F163" s="138"/>
      <c r="G163" s="138"/>
      <c r="H163" s="138"/>
      <c r="I163" s="138"/>
      <c r="J163" s="138"/>
      <c r="K163" s="138"/>
      <c r="L163" s="138"/>
      <c r="M163" s="353"/>
      <c r="O163" s="14"/>
      <c r="P163" s="25" t="s">
        <v>188</v>
      </c>
      <c r="Q163" s="18" t="s">
        <v>189</v>
      </c>
      <c r="Y163" s="15"/>
      <c r="AA163" s="2" t="s">
        <v>219</v>
      </c>
      <c r="AB163" s="43"/>
      <c r="AC163" s="31" t="str">
        <f t="shared" si="22"/>
        <v/>
      </c>
      <c r="AD163" s="64" t="str">
        <f>IF(J404="","",J404)</f>
        <v/>
      </c>
    </row>
    <row r="164" spans="1:30" ht="14.1" customHeight="1" x14ac:dyDescent="0.25">
      <c r="A164" s="3">
        <v>32</v>
      </c>
      <c r="B164" s="351"/>
      <c r="C164" s="138"/>
      <c r="D164" s="138"/>
      <c r="E164" s="138"/>
      <c r="F164" s="138"/>
      <c r="G164" s="138"/>
      <c r="H164" s="138"/>
      <c r="I164" s="138"/>
      <c r="J164" s="138"/>
      <c r="K164" s="138"/>
      <c r="L164" s="138"/>
      <c r="M164" s="353"/>
      <c r="O164" s="14"/>
      <c r="Q164" s="18" t="s">
        <v>190</v>
      </c>
      <c r="Y164" s="15"/>
      <c r="AA164" s="2" t="s">
        <v>220</v>
      </c>
      <c r="AB164" s="43"/>
      <c r="AC164" s="31" t="str">
        <f t="shared" si="22"/>
        <v/>
      </c>
      <c r="AD164" s="64" t="str">
        <f>IF(J405="","",J405)</f>
        <v/>
      </c>
    </row>
    <row r="165" spans="1:30" ht="14.1" customHeight="1" x14ac:dyDescent="0.25">
      <c r="A165" s="3">
        <v>33</v>
      </c>
      <c r="B165" s="351"/>
      <c r="C165" s="138"/>
      <c r="D165" s="138"/>
      <c r="E165" s="138"/>
      <c r="F165" s="138"/>
      <c r="G165" s="138"/>
      <c r="H165" s="138"/>
      <c r="I165" s="138"/>
      <c r="J165" s="138"/>
      <c r="K165" s="138"/>
      <c r="L165" s="138"/>
      <c r="M165" s="353"/>
      <c r="O165" s="14"/>
      <c r="P165" s="2" t="s">
        <v>191</v>
      </c>
      <c r="Q165" s="109" t="str">
        <f>IF(Q167&lt;&gt;"",Q167,IF(AB233="","",AB233))</f>
        <v/>
      </c>
      <c r="R165" s="69"/>
      <c r="S165" s="69"/>
      <c r="T165" s="69"/>
      <c r="U165" s="69"/>
      <c r="V165" s="69"/>
      <c r="W165" s="69"/>
      <c r="X165" s="69"/>
      <c r="Y165" s="15"/>
      <c r="AA165" s="2" t="s">
        <v>221</v>
      </c>
      <c r="AB165" s="43"/>
      <c r="AC165" s="31" t="str">
        <f t="shared" si="22"/>
        <v/>
      </c>
      <c r="AD165" s="44" t="str">
        <f>IF(W348="","",W348)</f>
        <v/>
      </c>
    </row>
    <row r="166" spans="1:30" ht="14.1" customHeight="1" x14ac:dyDescent="0.25">
      <c r="A166" s="3">
        <v>34</v>
      </c>
      <c r="B166" s="351"/>
      <c r="C166" s="138"/>
      <c r="D166" s="138"/>
      <c r="E166" s="138"/>
      <c r="F166" s="138"/>
      <c r="G166" s="138"/>
      <c r="H166" s="138"/>
      <c r="I166" s="138"/>
      <c r="J166" s="138"/>
      <c r="K166" s="138"/>
      <c r="L166" s="138"/>
      <c r="M166" s="353"/>
      <c r="O166" s="14"/>
      <c r="P166" s="110" t="s">
        <v>192</v>
      </c>
      <c r="Q166" s="111"/>
      <c r="R166" s="112">
        <f>LEN(Q165)</f>
        <v>0</v>
      </c>
      <c r="S166" s="113"/>
      <c r="T166" s="113"/>
      <c r="U166" s="113"/>
      <c r="V166" s="113"/>
      <c r="W166" s="113"/>
      <c r="X166" s="113"/>
      <c r="Y166" s="15"/>
      <c r="AA166" s="2" t="s">
        <v>222</v>
      </c>
      <c r="AB166" s="43"/>
      <c r="AC166" s="31" t="str">
        <f t="shared" si="22"/>
        <v/>
      </c>
      <c r="AD166" s="44" t="str">
        <f>IF(O355="","",O355)</f>
        <v/>
      </c>
    </row>
    <row r="167" spans="1:30" ht="14.1" customHeight="1" x14ac:dyDescent="0.25">
      <c r="A167" s="3">
        <v>35</v>
      </c>
      <c r="B167" s="351"/>
      <c r="C167" s="138"/>
      <c r="D167" s="138"/>
      <c r="E167" s="138"/>
      <c r="F167" s="138"/>
      <c r="G167" s="138"/>
      <c r="H167" s="138"/>
      <c r="I167" s="138"/>
      <c r="J167" s="138"/>
      <c r="K167" s="138"/>
      <c r="L167" s="138"/>
      <c r="M167" s="353"/>
      <c r="O167" s="14"/>
      <c r="P167" s="2" t="s">
        <v>194</v>
      </c>
      <c r="Q167" s="115"/>
      <c r="R167" s="113"/>
      <c r="S167" s="113"/>
      <c r="T167" s="113"/>
      <c r="U167" s="113"/>
      <c r="V167" s="113"/>
      <c r="W167" s="113"/>
      <c r="X167" s="113"/>
      <c r="Y167" s="15"/>
      <c r="AA167" s="2" t="s">
        <v>223</v>
      </c>
      <c r="AB167" s="43"/>
      <c r="AC167" s="31" t="str">
        <f t="shared" si="22"/>
        <v/>
      </c>
      <c r="AD167" s="44" t="str">
        <f>IF(P358="","",P358)</f>
        <v/>
      </c>
    </row>
    <row r="168" spans="1:30" ht="14.1" customHeight="1" x14ac:dyDescent="0.25">
      <c r="A168" s="3">
        <v>36</v>
      </c>
      <c r="B168" s="351"/>
      <c r="C168" s="138"/>
      <c r="D168" s="138"/>
      <c r="E168" s="138"/>
      <c r="F168" s="138"/>
      <c r="G168" s="138"/>
      <c r="H168" s="138"/>
      <c r="I168" s="138"/>
      <c r="J168" s="138"/>
      <c r="K168" s="138"/>
      <c r="L168" s="138"/>
      <c r="M168" s="353"/>
      <c r="O168" s="22"/>
      <c r="P168" s="23"/>
      <c r="Q168" s="23"/>
      <c r="R168" s="23"/>
      <c r="S168" s="23"/>
      <c r="T168" s="23"/>
      <c r="U168" s="23"/>
      <c r="V168" s="23"/>
      <c r="W168" s="23"/>
      <c r="X168" s="23"/>
      <c r="Y168" s="24"/>
      <c r="AA168" s="2" t="s">
        <v>224</v>
      </c>
      <c r="AB168" s="43"/>
      <c r="AC168" s="31" t="str">
        <f t="shared" si="22"/>
        <v/>
      </c>
      <c r="AD168" s="44" t="str">
        <f>IF(P359="","",P359)</f>
        <v/>
      </c>
    </row>
    <row r="169" spans="1:30" ht="14.1" customHeight="1" x14ac:dyDescent="0.25">
      <c r="A169" s="3">
        <v>37</v>
      </c>
      <c r="B169" s="351"/>
      <c r="C169" s="138"/>
      <c r="D169" s="138"/>
      <c r="E169" s="138"/>
      <c r="F169" s="138"/>
      <c r="G169" s="138"/>
      <c r="H169" s="138"/>
      <c r="I169" s="138"/>
      <c r="J169" s="138"/>
      <c r="K169" s="138"/>
      <c r="L169" s="138"/>
      <c r="M169" s="353"/>
      <c r="O169" s="118" t="s">
        <v>225</v>
      </c>
      <c r="P169" s="8"/>
      <c r="Q169" s="8"/>
      <c r="R169" s="8"/>
      <c r="S169" s="8"/>
      <c r="T169" s="8"/>
      <c r="U169" s="8"/>
      <c r="V169" s="8"/>
      <c r="W169" s="8"/>
      <c r="X169" s="8"/>
      <c r="Y169" s="9"/>
      <c r="AA169" s="2" t="s">
        <v>226</v>
      </c>
      <c r="AB169" s="43"/>
      <c r="AC169" s="31" t="str">
        <f t="shared" si="22"/>
        <v/>
      </c>
      <c r="AD169" s="44" t="str">
        <f>IF(P360="","",P360)</f>
        <v/>
      </c>
    </row>
    <row r="170" spans="1:30" ht="14.1" customHeight="1" x14ac:dyDescent="0.25">
      <c r="A170" s="3">
        <v>38</v>
      </c>
      <c r="B170" s="351"/>
      <c r="C170" s="138"/>
      <c r="D170" s="138"/>
      <c r="E170" s="138"/>
      <c r="F170" s="138"/>
      <c r="G170" s="138"/>
      <c r="H170" s="138"/>
      <c r="I170" s="138"/>
      <c r="J170" s="138"/>
      <c r="K170" s="138"/>
      <c r="L170" s="138"/>
      <c r="M170" s="353"/>
      <c r="O170" s="59">
        <v>2</v>
      </c>
      <c r="P170" s="18" t="s">
        <v>227</v>
      </c>
      <c r="U170" s="56"/>
      <c r="V170" s="56"/>
      <c r="Y170" s="15"/>
      <c r="AA170" s="2" t="s">
        <v>228</v>
      </c>
      <c r="AB170" s="43"/>
      <c r="AC170" s="31" t="str">
        <f t="shared" si="22"/>
        <v/>
      </c>
      <c r="AD170" s="44" t="str">
        <f>IF(P361="","",P361)</f>
        <v/>
      </c>
    </row>
    <row r="171" spans="1:30" ht="14.1" customHeight="1" x14ac:dyDescent="0.25">
      <c r="A171" s="3">
        <v>39</v>
      </c>
      <c r="B171" s="351"/>
      <c r="C171" s="138"/>
      <c r="D171" s="138"/>
      <c r="E171" s="138"/>
      <c r="F171" s="138"/>
      <c r="G171" s="138"/>
      <c r="H171" s="138"/>
      <c r="I171" s="138"/>
      <c r="J171" s="138"/>
      <c r="K171" s="138"/>
      <c r="L171" s="138"/>
      <c r="M171" s="353"/>
      <c r="O171" s="14"/>
      <c r="U171" s="56"/>
      <c r="V171" s="56"/>
      <c r="Y171" s="15"/>
      <c r="AA171" s="2" t="s">
        <v>229</v>
      </c>
      <c r="AB171" s="43"/>
      <c r="AC171" s="31" t="str">
        <f t="shared" si="22"/>
        <v/>
      </c>
      <c r="AD171" s="44" t="str">
        <f t="shared" ref="AD171:AD182" si="23">IF(Q331="","",Q331)</f>
        <v/>
      </c>
    </row>
    <row r="172" spans="1:30" ht="14.1" customHeight="1" x14ac:dyDescent="0.25">
      <c r="A172" s="3">
        <v>40</v>
      </c>
      <c r="B172" s="351"/>
      <c r="C172" s="138"/>
      <c r="D172" s="138"/>
      <c r="E172" s="138"/>
      <c r="F172" s="138"/>
      <c r="G172" s="138"/>
      <c r="H172" s="138"/>
      <c r="I172" s="138"/>
      <c r="J172" s="138"/>
      <c r="K172" s="138"/>
      <c r="L172" s="138"/>
      <c r="M172" s="353"/>
      <c r="O172" s="125" t="s">
        <v>230</v>
      </c>
      <c r="P172" s="126" t="s">
        <v>169</v>
      </c>
      <c r="Q172" s="125" t="s">
        <v>231</v>
      </c>
      <c r="R172" s="127" t="s">
        <v>170</v>
      </c>
      <c r="T172" s="18" t="s">
        <v>232</v>
      </c>
      <c r="Y172" s="15"/>
      <c r="AA172" s="2" t="s">
        <v>233</v>
      </c>
      <c r="AB172" s="43"/>
      <c r="AC172" s="31" t="str">
        <f t="shared" si="22"/>
        <v/>
      </c>
      <c r="AD172" s="44" t="str">
        <f t="shared" si="23"/>
        <v/>
      </c>
    </row>
    <row r="173" spans="1:30" ht="14.1" customHeight="1" x14ac:dyDescent="0.25">
      <c r="A173" s="3">
        <v>41</v>
      </c>
      <c r="B173" s="351"/>
      <c r="C173" s="138"/>
      <c r="D173" s="138"/>
      <c r="E173" s="138"/>
      <c r="F173" s="138"/>
      <c r="G173" s="138"/>
      <c r="H173" s="138"/>
      <c r="I173" s="138"/>
      <c r="J173" s="138"/>
      <c r="K173" s="138"/>
      <c r="L173" s="138"/>
      <c r="M173" s="353"/>
      <c r="O173" s="128">
        <v>80</v>
      </c>
      <c r="P173" s="129"/>
      <c r="Q173" s="130">
        <v>0</v>
      </c>
      <c r="R173" s="131"/>
      <c r="T173" s="132" t="s">
        <v>231</v>
      </c>
      <c r="U173" s="132" t="s">
        <v>234</v>
      </c>
      <c r="V173" s="132" t="s">
        <v>235</v>
      </c>
      <c r="W173" s="132" t="s">
        <v>236</v>
      </c>
      <c r="X173" s="85" t="s">
        <v>151</v>
      </c>
      <c r="Y173" s="15"/>
      <c r="AA173" s="2" t="s">
        <v>237</v>
      </c>
      <c r="AB173" s="43"/>
      <c r="AC173" s="31" t="str">
        <f t="shared" si="22"/>
        <v/>
      </c>
      <c r="AD173" s="44" t="str">
        <f t="shared" si="23"/>
        <v/>
      </c>
    </row>
    <row r="174" spans="1:30" ht="14.1" customHeight="1" x14ac:dyDescent="0.25">
      <c r="A174" s="3">
        <v>42</v>
      </c>
      <c r="B174" s="351"/>
      <c r="C174" s="138"/>
      <c r="D174" s="138"/>
      <c r="E174" s="138"/>
      <c r="F174" s="138"/>
      <c r="G174" s="138"/>
      <c r="H174" s="138"/>
      <c r="I174" s="138"/>
      <c r="J174" s="138"/>
      <c r="K174" s="138"/>
      <c r="L174" s="138"/>
      <c r="M174" s="353"/>
      <c r="O174" s="133"/>
      <c r="P174" s="134"/>
      <c r="Q174" s="135">
        <v>0</v>
      </c>
      <c r="R174" s="136"/>
      <c r="T174" s="132">
        <f>Q173</f>
        <v>0</v>
      </c>
      <c r="U174" s="132" t="str">
        <f>IF(MIN(R173:R174)=0,"",AVERAGE(R173:R174))</f>
        <v/>
      </c>
      <c r="V174" s="132" t="str">
        <f t="shared" ref="V174:V179" si="24">IF(U174="","",ABS(U174-$U$174/2))</f>
        <v/>
      </c>
      <c r="W174" s="132" t="str">
        <f>IF(OR($U$174="",$U$175=""),"",IF(ABS($U$174-$U$174/2)=SMALL($V$174:$V$179,1),T174,IF(ABS(U175-$U$174/2)=SMALL($V$174:$V$179,1),T175,IF(ABS(U176-$U$174/2)=SMALL($V$174:$V$179,1),T176,IF(ABS(U177-$U$174/2)=SMALL($V$174:$V$179,1),T177,IF(ABS(U178-$U$174/2)=SMALL($V$174:$V$179,1),T178,IF(ABS(U179-$U$174/2)=SMALL($V$174:$V$179,1),T179,"")))))))</f>
        <v/>
      </c>
      <c r="X174" s="137" t="str">
        <f>IF(OR(MIN(W174:W175)=0,MIN(W178:W179)=0),"TBD",TREND(W174:W175,X178:X179,LN(U174/2)))</f>
        <v>TBD</v>
      </c>
      <c r="Y174" s="15"/>
      <c r="AA174" s="2" t="s">
        <v>238</v>
      </c>
      <c r="AB174" s="43"/>
      <c r="AC174" s="31" t="str">
        <f t="shared" si="22"/>
        <v/>
      </c>
      <c r="AD174" s="44" t="str">
        <f t="shared" si="23"/>
        <v/>
      </c>
    </row>
    <row r="175" spans="1:30" ht="14.1" customHeight="1" x14ac:dyDescent="0.25">
      <c r="A175" s="3">
        <v>43</v>
      </c>
      <c r="B175" s="376"/>
      <c r="C175" s="373"/>
      <c r="D175" s="373"/>
      <c r="E175" s="373"/>
      <c r="F175" s="373"/>
      <c r="G175" s="373"/>
      <c r="H175" s="373"/>
      <c r="I175" s="373"/>
      <c r="J175" s="373"/>
      <c r="K175" s="373"/>
      <c r="L175" s="373"/>
      <c r="M175" s="377"/>
      <c r="O175" s="133"/>
      <c r="P175" s="138"/>
      <c r="Q175" s="139"/>
      <c r="R175" s="131"/>
      <c r="T175" s="132" t="str">
        <f>IF(Q175="","",Q175)</f>
        <v/>
      </c>
      <c r="U175" s="132" t="str">
        <f>IF(MIN(R175:R176)=0,"",AVERAGE(R175:R176))</f>
        <v/>
      </c>
      <c r="V175" s="132" t="str">
        <f t="shared" si="24"/>
        <v/>
      </c>
      <c r="W175" s="132" t="str">
        <f>IF(OR($U$174="",$U$175=""),"",IF(ABS($U$174-$U$174/2)=SMALL($V$174:$V$179,2),T174,IF(ABS(U175-$U$174/2)=SMALL($V$174:$V$179,2),T175,IF(ABS(U176-$U$174/2)=SMALL($V$174:$V$179,2),T176,IF(ABS(U177-$U$174/2)=SMALL($V$174:$V$179,2),T177,IF(ABS(U178-$U$174/2)=SMALL($V$174:$V$179,2),T178,IF(ABS(U179-$U$174/2)=SMALL($V$174:$V$179,2),T179,"")))))))</f>
        <v/>
      </c>
      <c r="Y175" s="15"/>
      <c r="AA175" s="2" t="s">
        <v>239</v>
      </c>
      <c r="AB175" s="43"/>
      <c r="AC175" s="31" t="str">
        <f t="shared" si="22"/>
        <v/>
      </c>
      <c r="AD175" s="44" t="str">
        <f t="shared" si="23"/>
        <v/>
      </c>
    </row>
    <row r="176" spans="1:30" ht="14.1" customHeight="1" x14ac:dyDescent="0.25">
      <c r="A176" s="3">
        <v>44</v>
      </c>
      <c r="B176" s="376"/>
      <c r="C176" s="373"/>
      <c r="D176" s="373"/>
      <c r="E176" s="373"/>
      <c r="F176" s="373"/>
      <c r="G176" s="373"/>
      <c r="H176" s="373"/>
      <c r="I176" s="373"/>
      <c r="J176" s="373"/>
      <c r="K176" s="373"/>
      <c r="L176" s="373"/>
      <c r="M176" s="377"/>
      <c r="O176" s="133"/>
      <c r="P176" s="138"/>
      <c r="Q176" s="135" t="str">
        <f>IF(Q175="","",Q175)</f>
        <v/>
      </c>
      <c r="R176" s="136"/>
      <c r="T176" s="132" t="str">
        <f>IF(Q177="","",Q177)</f>
        <v/>
      </c>
      <c r="U176" s="132" t="str">
        <f>IF(MIN(R177:R178)=0,"",AVERAGE(R177:R178))</f>
        <v/>
      </c>
      <c r="V176" s="132" t="str">
        <f t="shared" si="24"/>
        <v/>
      </c>
      <c r="Y176" s="15"/>
      <c r="AA176" s="2" t="s">
        <v>240</v>
      </c>
      <c r="AB176" s="43"/>
      <c r="AC176" s="31" t="str">
        <f t="shared" si="22"/>
        <v/>
      </c>
      <c r="AD176" s="44" t="str">
        <f t="shared" si="23"/>
        <v/>
      </c>
    </row>
    <row r="177" spans="1:30" ht="14.1" customHeight="1" x14ac:dyDescent="0.25">
      <c r="A177" s="3">
        <v>45</v>
      </c>
      <c r="B177" s="376"/>
      <c r="C177" s="373"/>
      <c r="D177" s="373"/>
      <c r="E177" s="373"/>
      <c r="F177" s="373"/>
      <c r="G177" s="373"/>
      <c r="H177" s="373"/>
      <c r="I177" s="373"/>
      <c r="J177" s="373"/>
      <c r="K177" s="373"/>
      <c r="L177" s="373"/>
      <c r="M177" s="377"/>
      <c r="O177" s="133"/>
      <c r="P177" s="138"/>
      <c r="Q177" s="140"/>
      <c r="R177" s="131"/>
      <c r="T177" s="132" t="str">
        <f>IF(Q179="","",Q179)</f>
        <v/>
      </c>
      <c r="U177" s="132" t="str">
        <f>IF(MIN(R179:R180)=0,"",AVERAGE(R179:R180))</f>
        <v/>
      </c>
      <c r="V177" s="132" t="str">
        <f t="shared" si="24"/>
        <v/>
      </c>
      <c r="W177" s="1" t="s">
        <v>241</v>
      </c>
      <c r="X177" s="1" t="s">
        <v>242</v>
      </c>
      <c r="Y177" s="15"/>
      <c r="AA177" s="2" t="s">
        <v>243</v>
      </c>
      <c r="AB177" s="43"/>
      <c r="AC177" s="31" t="str">
        <f t="shared" si="22"/>
        <v/>
      </c>
      <c r="AD177" s="44" t="str">
        <f t="shared" si="23"/>
        <v/>
      </c>
    </row>
    <row r="178" spans="1:30" ht="14.1" customHeight="1" x14ac:dyDescent="0.25">
      <c r="A178" s="3">
        <v>46</v>
      </c>
      <c r="B178" s="376"/>
      <c r="C178" s="373"/>
      <c r="D178" s="373"/>
      <c r="E178" s="373"/>
      <c r="F178" s="373"/>
      <c r="G178" s="373"/>
      <c r="H178" s="373"/>
      <c r="I178" s="373"/>
      <c r="J178" s="373"/>
      <c r="K178" s="373"/>
      <c r="L178" s="373"/>
      <c r="M178" s="377"/>
      <c r="O178" s="133"/>
      <c r="P178" s="138"/>
      <c r="Q178" s="135" t="str">
        <f>IF(Q177="","",Q177)</f>
        <v/>
      </c>
      <c r="R178" s="136"/>
      <c r="T178" s="132" t="str">
        <f>IF(Q181="","",Q181)</f>
        <v/>
      </c>
      <c r="U178" s="132" t="str">
        <f>IF(MIN(R181:R182)=0,"",AVERAGE(R181:R182))</f>
        <v/>
      </c>
      <c r="V178" s="132" t="str">
        <f t="shared" si="24"/>
        <v/>
      </c>
      <c r="W178" s="132" t="str">
        <f>IF(OR(U174="",U175=""),"",IF(T174=W174,U174,IF(T175=W174,U175,IF(T176=W174,U176,IF(T177=W174,U177,IF(T178=W174,U178,IF(T179=W174,U179,"")))))))</f>
        <v/>
      </c>
      <c r="X178" s="132" t="str">
        <f>IF(W178="","",LN(W178))</f>
        <v/>
      </c>
      <c r="Y178" s="15"/>
      <c r="AA178" s="2" t="s">
        <v>244</v>
      </c>
      <c r="AB178" s="43"/>
      <c r="AC178" s="31" t="str">
        <f t="shared" si="22"/>
        <v/>
      </c>
      <c r="AD178" s="44" t="str">
        <f t="shared" si="23"/>
        <v/>
      </c>
    </row>
    <row r="179" spans="1:30" ht="14.1" customHeight="1" x14ac:dyDescent="0.25">
      <c r="A179" s="3">
        <v>47</v>
      </c>
      <c r="B179" s="376"/>
      <c r="C179" s="373"/>
      <c r="D179" s="373"/>
      <c r="E179" s="373"/>
      <c r="F179" s="373"/>
      <c r="G179" s="373"/>
      <c r="H179" s="373"/>
      <c r="I179" s="373"/>
      <c r="J179" s="373"/>
      <c r="K179" s="373"/>
      <c r="L179" s="373"/>
      <c r="M179" s="377"/>
      <c r="O179" s="133"/>
      <c r="P179" s="138"/>
      <c r="Q179" s="140"/>
      <c r="R179" s="131"/>
      <c r="T179" s="132" t="str">
        <f>IF(Q183="","",Q183)</f>
        <v/>
      </c>
      <c r="U179" s="132" t="str">
        <f>IF(MIN(R183:R184)=0,"",AVERAGE(R183:R184))</f>
        <v/>
      </c>
      <c r="V179" s="132" t="str">
        <f t="shared" si="24"/>
        <v/>
      </c>
      <c r="W179" s="132" t="str">
        <f>IF(OR(U174="",U175=""),"",IF(T174=W175,U174,IF(T175=W175,U175,IF(T176=W175,U176,IF(T177=W175,U177,IF(T178=W175,U178,IF(T179=W175,U179,"")))))))</f>
        <v/>
      </c>
      <c r="X179" s="132" t="str">
        <f>IF(W179="","",LN(W179))</f>
        <v/>
      </c>
      <c r="Y179" s="15"/>
      <c r="AA179" s="2" t="s">
        <v>245</v>
      </c>
      <c r="AB179" s="43"/>
      <c r="AC179" s="31" t="str">
        <f t="shared" si="22"/>
        <v/>
      </c>
      <c r="AD179" s="44" t="str">
        <f t="shared" si="23"/>
        <v/>
      </c>
    </row>
    <row r="180" spans="1:30" ht="14.1" customHeight="1" x14ac:dyDescent="0.25">
      <c r="A180" s="3">
        <v>48</v>
      </c>
      <c r="B180" s="376"/>
      <c r="C180" s="373"/>
      <c r="D180" s="373"/>
      <c r="E180" s="373"/>
      <c r="F180" s="373"/>
      <c r="G180" s="373"/>
      <c r="H180" s="373"/>
      <c r="I180" s="373"/>
      <c r="J180" s="373"/>
      <c r="K180" s="373"/>
      <c r="L180" s="373"/>
      <c r="M180" s="377"/>
      <c r="O180" s="133"/>
      <c r="P180" s="138"/>
      <c r="Q180" s="135" t="str">
        <f>IF(Q179="","",Q179)</f>
        <v/>
      </c>
      <c r="R180" s="136"/>
      <c r="T180" s="141" t="str">
        <f>HVL</f>
        <v>TBD</v>
      </c>
      <c r="U180" s="141" t="str">
        <f>IF(HVL="TBD","TBD",EXP(TREND(LNEXP,ALUM,T180)))</f>
        <v>TBD</v>
      </c>
      <c r="Y180" s="15"/>
      <c r="AA180" s="2" t="s">
        <v>246</v>
      </c>
      <c r="AB180" s="43"/>
      <c r="AC180" s="31" t="str">
        <f t="shared" si="22"/>
        <v/>
      </c>
      <c r="AD180" s="44" t="str">
        <f t="shared" si="23"/>
        <v/>
      </c>
    </row>
    <row r="181" spans="1:30" ht="14.1" customHeight="1" x14ac:dyDescent="0.25">
      <c r="A181" s="3">
        <v>49</v>
      </c>
      <c r="B181" s="376"/>
      <c r="C181" s="373"/>
      <c r="D181" s="373"/>
      <c r="E181" s="373"/>
      <c r="F181" s="373"/>
      <c r="G181" s="373"/>
      <c r="H181" s="373"/>
      <c r="I181" s="373"/>
      <c r="J181" s="373"/>
      <c r="K181" s="373"/>
      <c r="L181" s="373"/>
      <c r="M181" s="377"/>
      <c r="O181" s="133"/>
      <c r="P181" s="138"/>
      <c r="Q181" s="140"/>
      <c r="R181" s="131"/>
      <c r="T181" s="603" t="s">
        <v>247</v>
      </c>
      <c r="U181" s="603"/>
      <c r="W181" s="2" t="s">
        <v>201</v>
      </c>
      <c r="X181" s="142" t="str">
        <f>IF(AND(R173="",R174=""),"TBD",IF(X174&gt;=U182,"YES","NO"))</f>
        <v>TBD</v>
      </c>
      <c r="Y181" s="15"/>
      <c r="AA181" s="2" t="s">
        <v>248</v>
      </c>
      <c r="AB181" s="43"/>
      <c r="AC181" s="31" t="str">
        <f t="shared" si="22"/>
        <v/>
      </c>
      <c r="AD181" s="44" t="str">
        <f t="shared" si="23"/>
        <v/>
      </c>
    </row>
    <row r="182" spans="1:30" ht="14.1" customHeight="1" x14ac:dyDescent="0.25">
      <c r="A182" s="3">
        <v>50</v>
      </c>
      <c r="B182" s="376"/>
      <c r="C182" s="373"/>
      <c r="D182" s="373"/>
      <c r="E182" s="373"/>
      <c r="F182" s="373"/>
      <c r="G182" s="373"/>
      <c r="H182" s="373"/>
      <c r="I182" s="373"/>
      <c r="J182" s="373"/>
      <c r="K182" s="373"/>
      <c r="L182" s="373"/>
      <c r="M182" s="377"/>
      <c r="O182" s="133"/>
      <c r="P182" s="138"/>
      <c r="Q182" s="135" t="str">
        <f>IF(Q181="","",Q181)</f>
        <v/>
      </c>
      <c r="R182" s="136"/>
      <c r="T182" s="132" t="s">
        <v>249</v>
      </c>
      <c r="U182" s="132">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250</v>
      </c>
      <c r="AB182" s="43"/>
      <c r="AC182" s="31" t="str">
        <f t="shared" si="22"/>
        <v/>
      </c>
      <c r="AD182" s="44" t="str">
        <f t="shared" si="23"/>
        <v/>
      </c>
    </row>
    <row r="183" spans="1:30" ht="14.1" customHeight="1" x14ac:dyDescent="0.25">
      <c r="A183" s="3">
        <v>51</v>
      </c>
      <c r="B183" s="376"/>
      <c r="C183" s="373"/>
      <c r="D183" s="373"/>
      <c r="E183" s="373"/>
      <c r="F183" s="373"/>
      <c r="G183" s="373"/>
      <c r="H183" s="373"/>
      <c r="I183" s="373"/>
      <c r="J183" s="373"/>
      <c r="K183" s="373"/>
      <c r="L183" s="373"/>
      <c r="M183" s="377"/>
      <c r="O183" s="133"/>
      <c r="P183" s="138"/>
      <c r="Q183" s="140"/>
      <c r="R183" s="131"/>
      <c r="T183" s="132" t="s">
        <v>251</v>
      </c>
      <c r="U183" s="132">
        <f t="array" ref="U183">IF($O$170=1,"",ROUND(AVERAGE(ROUND(TREND(Tables!E78:E85,Tables!D78:D85,O173),2),TRUNC(TREND(Tables!E78:E85,Tables!D78:D85,O173),2)),1))</f>
        <v>3.1</v>
      </c>
      <c r="W183" s="2" t="str">
        <f>"Previous HVL @ "&amp;AB104&amp;" kV:"</f>
        <v>Previous HVL @  kV:</v>
      </c>
      <c r="X183" s="143" t="str">
        <f>IF(AB105="","",AB105)</f>
        <v/>
      </c>
      <c r="Y183" s="15"/>
      <c r="AA183" s="2" t="s">
        <v>229</v>
      </c>
      <c r="AB183" s="43"/>
      <c r="AC183" s="31" t="str">
        <f t="shared" si="22"/>
        <v/>
      </c>
      <c r="AD183" s="44" t="str">
        <f t="shared" ref="AD183:AD194" si="25">IF(R331="","",R331)</f>
        <v/>
      </c>
    </row>
    <row r="184" spans="1:30" ht="14.1" customHeight="1" x14ac:dyDescent="0.25">
      <c r="A184" s="3">
        <v>52</v>
      </c>
      <c r="B184" s="376"/>
      <c r="C184" s="373"/>
      <c r="D184" s="373"/>
      <c r="E184" s="373"/>
      <c r="F184" s="373"/>
      <c r="G184" s="373"/>
      <c r="H184" s="373"/>
      <c r="I184" s="373"/>
      <c r="J184" s="373"/>
      <c r="K184" s="373"/>
      <c r="L184" s="373"/>
      <c r="M184" s="377"/>
      <c r="O184" s="133"/>
      <c r="P184" s="138"/>
      <c r="Q184" s="135" t="str">
        <f>IF(Q183="","",Q183)</f>
        <v/>
      </c>
      <c r="R184" s="136"/>
      <c r="T184" s="132" t="s">
        <v>252</v>
      </c>
      <c r="U184" s="132">
        <f t="array" ref="U184">IF($O$170=1,"",MAX(ROUND(TREND(Tables!G78:G85,Tables!D78:D85,O173),1),TRUNC(TREND(Tables!G78:G85,Tables!D78:D85,O173,O173),2)))</f>
        <v>3.5</v>
      </c>
      <c r="W184" s="56"/>
      <c r="X184" s="56"/>
      <c r="Y184" s="15"/>
      <c r="AA184" s="2" t="s">
        <v>233</v>
      </c>
      <c r="AB184" s="43"/>
      <c r="AC184" s="31" t="str">
        <f t="shared" si="22"/>
        <v/>
      </c>
      <c r="AD184" s="44" t="str">
        <f t="shared" si="25"/>
        <v/>
      </c>
    </row>
    <row r="185" spans="1:30" ht="14.1" customHeight="1" x14ac:dyDescent="0.25">
      <c r="A185" s="3">
        <v>53</v>
      </c>
      <c r="B185" s="376"/>
      <c r="C185" s="373"/>
      <c r="D185" s="373"/>
      <c r="E185" s="373"/>
      <c r="F185" s="373"/>
      <c r="G185" s="373"/>
      <c r="H185" s="373"/>
      <c r="I185" s="373"/>
      <c r="J185" s="373"/>
      <c r="K185" s="373"/>
      <c r="L185" s="373"/>
      <c r="M185" s="377"/>
      <c r="O185" s="14"/>
      <c r="Y185" s="15"/>
      <c r="AA185" s="2" t="s">
        <v>237</v>
      </c>
      <c r="AB185" s="43"/>
      <c r="AC185" s="31" t="str">
        <f t="shared" si="22"/>
        <v/>
      </c>
      <c r="AD185" s="44" t="str">
        <f t="shared" si="25"/>
        <v/>
      </c>
    </row>
    <row r="186" spans="1:30" ht="14.1" customHeight="1" x14ac:dyDescent="0.25">
      <c r="A186" s="3">
        <v>54</v>
      </c>
      <c r="B186" s="376"/>
      <c r="C186" s="373"/>
      <c r="D186" s="373"/>
      <c r="E186" s="373"/>
      <c r="F186" s="373"/>
      <c r="G186" s="373"/>
      <c r="H186" s="373"/>
      <c r="I186" s="373"/>
      <c r="J186" s="373"/>
      <c r="K186" s="373"/>
      <c r="L186" s="373"/>
      <c r="M186" s="377"/>
      <c r="O186" s="118" t="s">
        <v>253</v>
      </c>
      <c r="P186" s="8"/>
      <c r="Q186" s="8"/>
      <c r="R186" s="8"/>
      <c r="S186" s="8"/>
      <c r="T186" s="8"/>
      <c r="U186" s="8"/>
      <c r="V186" s="8"/>
      <c r="W186" s="8"/>
      <c r="X186" s="8"/>
      <c r="Y186" s="9"/>
      <c r="AA186" s="2" t="s">
        <v>238</v>
      </c>
      <c r="AB186" s="43"/>
      <c r="AC186" s="31" t="str">
        <f t="shared" ref="AC186:AC217" si="26">IF(AB186&lt;&gt;AD186,"Change","")</f>
        <v/>
      </c>
      <c r="AD186" s="44" t="str">
        <f t="shared" si="25"/>
        <v/>
      </c>
    </row>
    <row r="187" spans="1:30" ht="14.1" customHeight="1" x14ac:dyDescent="0.25">
      <c r="A187" s="3">
        <v>55</v>
      </c>
      <c r="B187" s="376"/>
      <c r="C187" s="373"/>
      <c r="D187" s="373"/>
      <c r="E187" s="373"/>
      <c r="F187" s="373"/>
      <c r="G187" s="373"/>
      <c r="H187" s="373"/>
      <c r="I187" s="373"/>
      <c r="J187" s="373"/>
      <c r="K187" s="373"/>
      <c r="L187" s="373"/>
      <c r="M187" s="377"/>
      <c r="O187" s="14"/>
      <c r="Y187" s="15"/>
      <c r="AA187" s="2" t="s">
        <v>239</v>
      </c>
      <c r="AB187" s="43"/>
      <c r="AC187" s="31" t="str">
        <f t="shared" si="26"/>
        <v/>
      </c>
      <c r="AD187" s="44" t="str">
        <f t="shared" si="25"/>
        <v/>
      </c>
    </row>
    <row r="188" spans="1:30" ht="14.1" customHeight="1" x14ac:dyDescent="0.25">
      <c r="A188" s="3">
        <v>56</v>
      </c>
      <c r="B188" s="376"/>
      <c r="C188" s="373"/>
      <c r="D188" s="373"/>
      <c r="E188" s="373"/>
      <c r="F188" s="373"/>
      <c r="G188" s="373"/>
      <c r="H188" s="373"/>
      <c r="I188" s="373"/>
      <c r="J188" s="373"/>
      <c r="K188" s="373"/>
      <c r="L188" s="373"/>
      <c r="M188" s="377"/>
      <c r="O188" s="14" t="s">
        <v>254</v>
      </c>
      <c r="P188" s="1" t="s">
        <v>255</v>
      </c>
      <c r="U188" s="1" t="s">
        <v>256</v>
      </c>
      <c r="Y188" s="15"/>
      <c r="AA188" s="2" t="s">
        <v>240</v>
      </c>
      <c r="AB188" s="43"/>
      <c r="AC188" s="31" t="str">
        <f t="shared" si="26"/>
        <v/>
      </c>
      <c r="AD188" s="44" t="str">
        <f t="shared" si="25"/>
        <v/>
      </c>
    </row>
    <row r="189" spans="1:30" ht="14.1" customHeight="1" x14ac:dyDescent="0.25">
      <c r="A189" s="3">
        <v>57</v>
      </c>
      <c r="B189" s="376"/>
      <c r="C189" s="373"/>
      <c r="D189" s="373"/>
      <c r="E189" s="373"/>
      <c r="F189" s="373"/>
      <c r="G189" s="373"/>
      <c r="H189" s="373"/>
      <c r="I189" s="373"/>
      <c r="J189" s="373"/>
      <c r="K189" s="373"/>
      <c r="L189" s="373"/>
      <c r="M189" s="377"/>
      <c r="O189" s="14" t="s">
        <v>257</v>
      </c>
      <c r="P189" s="1" t="s">
        <v>258</v>
      </c>
      <c r="Q189" s="1" t="s">
        <v>168</v>
      </c>
      <c r="R189" s="1" t="s">
        <v>169</v>
      </c>
      <c r="S189" s="1" t="s">
        <v>259</v>
      </c>
      <c r="T189" s="1" t="s">
        <v>260</v>
      </c>
      <c r="U189" s="1" t="s">
        <v>260</v>
      </c>
      <c r="Y189" s="15"/>
      <c r="AA189" s="2" t="s">
        <v>243</v>
      </c>
      <c r="AB189" s="43"/>
      <c r="AC189" s="31" t="str">
        <f t="shared" si="26"/>
        <v/>
      </c>
      <c r="AD189" s="44" t="str">
        <f t="shared" si="25"/>
        <v/>
      </c>
    </row>
    <row r="190" spans="1:30" ht="14.1" customHeight="1" x14ac:dyDescent="0.25">
      <c r="A190" s="3">
        <v>58</v>
      </c>
      <c r="B190" s="376"/>
      <c r="C190" s="373"/>
      <c r="D190" s="373"/>
      <c r="E190" s="373"/>
      <c r="F190" s="373"/>
      <c r="G190" s="373"/>
      <c r="H190" s="373"/>
      <c r="I190" s="373"/>
      <c r="J190" s="373"/>
      <c r="K190" s="373"/>
      <c r="L190" s="373"/>
      <c r="M190" s="377"/>
      <c r="O190" s="611" t="str">
        <f>$Q$107</f>
        <v>Auto 1</v>
      </c>
      <c r="P190" s="144" t="str">
        <f>IF($O$110="","",$O$110)</f>
        <v/>
      </c>
      <c r="Q190" s="145"/>
      <c r="R190" s="145"/>
      <c r="S190" s="145"/>
      <c r="T190" s="144"/>
      <c r="U190" s="146" t="str">
        <f t="shared" ref="U190:U204" si="27">IF(AB111="","",AB111)</f>
        <v/>
      </c>
      <c r="V190" s="56"/>
      <c r="W190" s="108" t="s">
        <v>261</v>
      </c>
      <c r="Y190" s="15"/>
      <c r="AA190" s="2" t="s">
        <v>244</v>
      </c>
      <c r="AB190" s="43"/>
      <c r="AC190" s="31" t="str">
        <f t="shared" si="26"/>
        <v/>
      </c>
      <c r="AD190" s="44" t="str">
        <f t="shared" si="25"/>
        <v/>
      </c>
    </row>
    <row r="191" spans="1:30" ht="14.1" customHeight="1" x14ac:dyDescent="0.25">
      <c r="A191" s="3">
        <v>59</v>
      </c>
      <c r="B191" s="351"/>
      <c r="C191" s="373"/>
      <c r="D191" s="373"/>
      <c r="E191" s="373"/>
      <c r="F191" s="373"/>
      <c r="G191" s="373"/>
      <c r="H191" s="373"/>
      <c r="I191" s="373"/>
      <c r="J191" s="373"/>
      <c r="K191" s="373"/>
      <c r="L191" s="373"/>
      <c r="M191" s="353"/>
      <c r="O191" s="611"/>
      <c r="P191" s="147" t="str">
        <f>IF($O$113="","",$O$113)</f>
        <v/>
      </c>
      <c r="Q191" s="148"/>
      <c r="R191" s="148"/>
      <c r="S191" s="148"/>
      <c r="T191" s="147"/>
      <c r="U191" s="149" t="str">
        <f t="shared" si="27"/>
        <v/>
      </c>
      <c r="W191" s="108" t="s">
        <v>262</v>
      </c>
      <c r="Y191" s="15"/>
      <c r="AA191" s="2" t="s">
        <v>245</v>
      </c>
      <c r="AB191" s="43"/>
      <c r="AC191" s="31" t="str">
        <f t="shared" si="26"/>
        <v/>
      </c>
      <c r="AD191" s="44" t="str">
        <f t="shared" si="25"/>
        <v/>
      </c>
    </row>
    <row r="192" spans="1:30" ht="14.1" customHeight="1" x14ac:dyDescent="0.25">
      <c r="A192" s="3">
        <v>60</v>
      </c>
      <c r="B192" s="351"/>
      <c r="C192" s="138"/>
      <c r="D192" s="138"/>
      <c r="E192" s="138"/>
      <c r="F192" s="138"/>
      <c r="G192" s="138"/>
      <c r="H192" s="138"/>
      <c r="I192" s="138"/>
      <c r="J192" s="138"/>
      <c r="K192" s="138"/>
      <c r="L192" s="138"/>
      <c r="M192" s="353"/>
      <c r="O192" s="611"/>
      <c r="P192" s="147" t="str">
        <f>IF($O$116="","",$O$116)</f>
        <v/>
      </c>
      <c r="Q192" s="148"/>
      <c r="R192" s="148"/>
      <c r="S192" s="148"/>
      <c r="T192" s="147"/>
      <c r="U192" s="149" t="str">
        <f t="shared" si="27"/>
        <v/>
      </c>
      <c r="W192" s="108" t="s">
        <v>263</v>
      </c>
      <c r="Y192" s="15"/>
      <c r="AA192" s="2" t="s">
        <v>246</v>
      </c>
      <c r="AB192" s="43"/>
      <c r="AC192" s="31" t="str">
        <f t="shared" si="26"/>
        <v/>
      </c>
      <c r="AD192" s="44" t="str">
        <f t="shared" si="25"/>
        <v/>
      </c>
    </row>
    <row r="193" spans="1:30" ht="14.1" customHeight="1" x14ac:dyDescent="0.25">
      <c r="A193" s="3">
        <v>61</v>
      </c>
      <c r="B193" s="351"/>
      <c r="C193" s="138"/>
      <c r="D193" s="138"/>
      <c r="E193" s="138"/>
      <c r="F193" s="138"/>
      <c r="G193" s="138"/>
      <c r="H193" s="138"/>
      <c r="I193" s="138"/>
      <c r="J193" s="138"/>
      <c r="K193" s="138"/>
      <c r="L193" s="138"/>
      <c r="M193" s="353"/>
      <c r="O193" s="611"/>
      <c r="P193" s="147" t="str">
        <f>IF($O$119="","",$O$119)</f>
        <v/>
      </c>
      <c r="Q193" s="148"/>
      <c r="R193" s="148"/>
      <c r="S193" s="148"/>
      <c r="T193" s="147"/>
      <c r="U193" s="149" t="str">
        <f t="shared" si="27"/>
        <v/>
      </c>
      <c r="Y193" s="15"/>
      <c r="AA193" s="2" t="s">
        <v>248</v>
      </c>
      <c r="AB193" s="43"/>
      <c r="AC193" s="31" t="str">
        <f t="shared" si="26"/>
        <v/>
      </c>
      <c r="AD193" s="44" t="str">
        <f t="shared" si="25"/>
        <v/>
      </c>
    </row>
    <row r="194" spans="1:30" ht="14.1" customHeight="1" x14ac:dyDescent="0.25">
      <c r="A194" s="3">
        <v>62</v>
      </c>
      <c r="B194" s="351"/>
      <c r="C194" s="138"/>
      <c r="D194" s="138"/>
      <c r="E194" s="138"/>
      <c r="F194" s="138"/>
      <c r="G194" s="138"/>
      <c r="H194" s="138"/>
      <c r="I194" s="138"/>
      <c r="J194" s="138"/>
      <c r="K194" s="138"/>
      <c r="L194" s="138"/>
      <c r="M194" s="353"/>
      <c r="O194" s="611"/>
      <c r="P194" s="137" t="str">
        <f>IF($O$122="","",$O$122)</f>
        <v/>
      </c>
      <c r="Q194" s="150"/>
      <c r="R194" s="150"/>
      <c r="S194" s="150"/>
      <c r="T194" s="137"/>
      <c r="U194" s="151" t="str">
        <f t="shared" si="27"/>
        <v/>
      </c>
      <c r="Y194" s="15"/>
      <c r="AA194" s="2" t="s">
        <v>250</v>
      </c>
      <c r="AB194" s="43"/>
      <c r="AC194" s="31" t="str">
        <f t="shared" si="26"/>
        <v/>
      </c>
      <c r="AD194" s="44" t="str">
        <f t="shared" si="25"/>
        <v/>
      </c>
    </row>
    <row r="195" spans="1:30" ht="14.1" customHeight="1" x14ac:dyDescent="0.25">
      <c r="A195" s="3">
        <v>63</v>
      </c>
      <c r="B195" s="351"/>
      <c r="C195" s="138"/>
      <c r="D195" s="138"/>
      <c r="E195" s="138"/>
      <c r="F195" s="138"/>
      <c r="G195" s="138"/>
      <c r="H195" s="138"/>
      <c r="I195" s="138"/>
      <c r="J195" s="138"/>
      <c r="K195" s="138"/>
      <c r="L195" s="138"/>
      <c r="M195" s="353"/>
      <c r="O195" s="611" t="str">
        <f>$T$107</f>
        <v>Auto 2</v>
      </c>
      <c r="P195" s="144" t="str">
        <f>IF($O$110="","",$O$110)</f>
        <v/>
      </c>
      <c r="Q195" s="145"/>
      <c r="R195" s="145"/>
      <c r="S195" s="145"/>
      <c r="T195" s="144"/>
      <c r="U195" s="146" t="str">
        <f t="shared" si="27"/>
        <v/>
      </c>
      <c r="Y195" s="15"/>
      <c r="AA195" s="2" t="s">
        <v>229</v>
      </c>
      <c r="AB195" s="43"/>
      <c r="AC195" s="31" t="str">
        <f t="shared" si="26"/>
        <v/>
      </c>
      <c r="AD195" s="44" t="str">
        <f t="shared" ref="AD195:AD206" si="28">IF(S331="","",S331)</f>
        <v/>
      </c>
    </row>
    <row r="196" spans="1:30" ht="14.1" customHeight="1" x14ac:dyDescent="0.25">
      <c r="A196" s="3">
        <v>64</v>
      </c>
      <c r="B196" s="354"/>
      <c r="C196" s="355"/>
      <c r="D196" s="355"/>
      <c r="E196" s="355"/>
      <c r="F196" s="355"/>
      <c r="G196" s="355"/>
      <c r="H196" s="355"/>
      <c r="I196" s="355"/>
      <c r="J196" s="355"/>
      <c r="K196" s="355"/>
      <c r="L196" s="355"/>
      <c r="M196" s="356"/>
      <c r="O196" s="611"/>
      <c r="P196" s="147" t="str">
        <f>IF($O$113="","",$O$113)</f>
        <v/>
      </c>
      <c r="Q196" s="148"/>
      <c r="R196" s="148"/>
      <c r="S196" s="148"/>
      <c r="T196" s="147"/>
      <c r="U196" s="149" t="str">
        <f t="shared" si="27"/>
        <v/>
      </c>
      <c r="Y196" s="15"/>
      <c r="AA196" s="2" t="s">
        <v>233</v>
      </c>
      <c r="AB196" s="43"/>
      <c r="AC196" s="31" t="str">
        <f t="shared" si="26"/>
        <v/>
      </c>
      <c r="AD196" s="44" t="str">
        <f t="shared" si="28"/>
        <v/>
      </c>
    </row>
    <row r="197" spans="1:30" ht="14.1" customHeight="1" x14ac:dyDescent="0.25">
      <c r="A197" s="3">
        <v>65</v>
      </c>
      <c r="C197" s="2" t="s">
        <v>10</v>
      </c>
      <c r="D197" s="68" t="str">
        <f>IF($P$7="","",$P$7)</f>
        <v/>
      </c>
      <c r="L197" s="2" t="s">
        <v>11</v>
      </c>
      <c r="M197" s="69" t="str">
        <f>IF($X$7="","",$X$7)</f>
        <v>Eugene Mah</v>
      </c>
      <c r="O197" s="611"/>
      <c r="P197" s="147" t="str">
        <f>IF($O$116="","",$O$116)</f>
        <v/>
      </c>
      <c r="Q197" s="148"/>
      <c r="R197" s="148"/>
      <c r="S197" s="148"/>
      <c r="T197" s="147"/>
      <c r="U197" s="149" t="str">
        <f t="shared" si="27"/>
        <v/>
      </c>
      <c r="Y197" s="15"/>
      <c r="AA197" s="2" t="s">
        <v>237</v>
      </c>
      <c r="AB197" s="43"/>
      <c r="AC197" s="31" t="str">
        <f t="shared" si="26"/>
        <v/>
      </c>
      <c r="AD197" s="44" t="str">
        <f t="shared" si="28"/>
        <v/>
      </c>
    </row>
    <row r="198" spans="1:30" ht="14.1" customHeight="1" x14ac:dyDescent="0.25">
      <c r="A198" s="3">
        <v>66</v>
      </c>
      <c r="C198" s="2" t="s">
        <v>79</v>
      </c>
      <c r="D198" s="70" t="str">
        <f>IF($R$14="","",$R$14&amp;" Tube "&amp;$W$48)</f>
        <v/>
      </c>
      <c r="L198" s="2" t="s">
        <v>25</v>
      </c>
      <c r="M198" s="71" t="str">
        <f>IF($R$13="","",$R$13)</f>
        <v/>
      </c>
      <c r="O198" s="611"/>
      <c r="P198" s="147" t="str">
        <f>IF($O$119="","",$O$119)</f>
        <v/>
      </c>
      <c r="Q198" s="148"/>
      <c r="R198" s="148"/>
      <c r="S198" s="148"/>
      <c r="T198" s="147"/>
      <c r="U198" s="149" t="str">
        <f t="shared" si="27"/>
        <v/>
      </c>
      <c r="Y198" s="15"/>
      <c r="AA198" s="2" t="s">
        <v>238</v>
      </c>
      <c r="AB198" s="43"/>
      <c r="AC198" s="31" t="str">
        <f t="shared" si="26"/>
        <v/>
      </c>
      <c r="AD198" s="44" t="str">
        <f t="shared" si="28"/>
        <v/>
      </c>
    </row>
    <row r="199" spans="1:30" ht="14.1" customHeight="1" x14ac:dyDescent="0.25">
      <c r="A199" s="3">
        <v>1</v>
      </c>
      <c r="B199"/>
      <c r="C199"/>
      <c r="D199"/>
      <c r="E199"/>
      <c r="F199"/>
      <c r="G199"/>
      <c r="H199"/>
      <c r="I199"/>
      <c r="J199"/>
      <c r="K199"/>
      <c r="L199"/>
      <c r="M199" s="72" t="str">
        <f>$H$2</f>
        <v>Medical University of South Carolina</v>
      </c>
      <c r="O199" s="611"/>
      <c r="P199" s="137" t="str">
        <f>IF($O$122="","",$O$122)</f>
        <v/>
      </c>
      <c r="Q199" s="150"/>
      <c r="R199" s="150"/>
      <c r="S199" s="150"/>
      <c r="T199" s="137"/>
      <c r="U199" s="151" t="str">
        <f t="shared" si="27"/>
        <v/>
      </c>
      <c r="Y199" s="15"/>
      <c r="AA199" s="2" t="s">
        <v>239</v>
      </c>
      <c r="AB199" s="43"/>
      <c r="AC199" s="31" t="str">
        <f t="shared" si="26"/>
        <v/>
      </c>
      <c r="AD199" s="44" t="str">
        <f t="shared" si="28"/>
        <v/>
      </c>
    </row>
    <row r="200" spans="1:30" ht="14.1" customHeight="1" x14ac:dyDescent="0.25">
      <c r="A200" s="3">
        <v>2</v>
      </c>
      <c r="B200"/>
      <c r="C200"/>
      <c r="D200"/>
      <c r="E200"/>
      <c r="F200"/>
      <c r="G200"/>
      <c r="H200" s="33" t="str">
        <f>$H$68</f>
        <v>Inspection Results</v>
      </c>
      <c r="I200"/>
      <c r="J200"/>
      <c r="K200"/>
      <c r="L200"/>
      <c r="M200" s="25" t="str">
        <f>$H$5</f>
        <v>Fluoroscopy System Compliance Inspection</v>
      </c>
      <c r="O200" s="611" t="str">
        <f>$W$107</f>
        <v>High Level</v>
      </c>
      <c r="P200" s="144" t="str">
        <f>IF($O$110="","",$O$110)</f>
        <v/>
      </c>
      <c r="Q200" s="145"/>
      <c r="R200" s="145"/>
      <c r="S200" s="145"/>
      <c r="T200" s="144"/>
      <c r="U200" s="146" t="str">
        <f t="shared" si="27"/>
        <v/>
      </c>
      <c r="Y200" s="15"/>
      <c r="AA200" s="2" t="s">
        <v>240</v>
      </c>
      <c r="AB200" s="43"/>
      <c r="AC200" s="31" t="str">
        <f t="shared" si="26"/>
        <v/>
      </c>
      <c r="AD200" s="44" t="str">
        <f t="shared" si="28"/>
        <v/>
      </c>
    </row>
    <row r="201" spans="1:30" ht="14.1" customHeight="1" x14ac:dyDescent="0.25">
      <c r="A201" s="3">
        <v>3</v>
      </c>
      <c r="B201" s="348"/>
      <c r="C201" s="374" t="str">
        <f>O251</f>
        <v>Kerma Area Product/Cumulative Air Kerma/Air Kerma Rate</v>
      </c>
      <c r="D201" s="378"/>
      <c r="E201" s="378"/>
      <c r="F201" s="378"/>
      <c r="G201" s="378"/>
      <c r="H201" s="378"/>
      <c r="I201" s="378"/>
      <c r="J201" s="378"/>
      <c r="K201" s="349"/>
      <c r="L201" s="349"/>
      <c r="M201" s="350"/>
      <c r="O201" s="611"/>
      <c r="P201" s="147" t="str">
        <f>IF($O$113="","",$O$113)</f>
        <v/>
      </c>
      <c r="Q201" s="148"/>
      <c r="R201" s="148"/>
      <c r="S201" s="148"/>
      <c r="T201" s="147"/>
      <c r="U201" s="149" t="str">
        <f t="shared" si="27"/>
        <v/>
      </c>
      <c r="Y201" s="15"/>
      <c r="AA201" s="2" t="s">
        <v>243</v>
      </c>
      <c r="AB201" s="43"/>
      <c r="AC201" s="31" t="str">
        <f t="shared" si="26"/>
        <v/>
      </c>
      <c r="AD201" s="44" t="str">
        <f t="shared" si="28"/>
        <v/>
      </c>
    </row>
    <row r="202" spans="1:30" ht="14.1" customHeight="1" x14ac:dyDescent="0.25">
      <c r="A202" s="3">
        <v>4</v>
      </c>
      <c r="B202" s="351"/>
      <c r="C202" s="401"/>
      <c r="D202" s="373"/>
      <c r="E202" s="614" t="s">
        <v>264</v>
      </c>
      <c r="F202" s="615" t="s">
        <v>265</v>
      </c>
      <c r="G202" s="616" t="s">
        <v>266</v>
      </c>
      <c r="H202" s="617" t="str">
        <f>R276</f>
        <v>Ind AK @ Ref Pt (mGy)</v>
      </c>
      <c r="I202" s="618" t="str">
        <f>S276</f>
        <v>Meas AK @ Ref Pt (mGy)</v>
      </c>
      <c r="J202" s="619" t="s">
        <v>267</v>
      </c>
      <c r="K202" s="138" t="s">
        <v>268</v>
      </c>
      <c r="L202" s="138" t="s">
        <v>269</v>
      </c>
      <c r="M202" s="620" t="s">
        <v>270</v>
      </c>
      <c r="O202" s="611"/>
      <c r="P202" s="147" t="str">
        <f>IF($O$116="","",$O$116)</f>
        <v/>
      </c>
      <c r="Q202" s="148"/>
      <c r="R202" s="148"/>
      <c r="S202" s="148"/>
      <c r="T202" s="147"/>
      <c r="U202" s="149" t="str">
        <f t="shared" si="27"/>
        <v/>
      </c>
      <c r="Y202" s="15"/>
      <c r="AA202" s="2" t="s">
        <v>244</v>
      </c>
      <c r="AB202" s="43"/>
      <c r="AC202" s="31" t="str">
        <f t="shared" si="26"/>
        <v/>
      </c>
      <c r="AD202" s="44" t="str">
        <f t="shared" si="28"/>
        <v/>
      </c>
    </row>
    <row r="203" spans="1:30" ht="14.1" customHeight="1" x14ac:dyDescent="0.25">
      <c r="A203" s="3">
        <v>5</v>
      </c>
      <c r="B203" s="351"/>
      <c r="C203" s="402" t="s">
        <v>230</v>
      </c>
      <c r="D203" s="45" t="s">
        <v>169</v>
      </c>
      <c r="E203" s="614"/>
      <c r="F203" s="615"/>
      <c r="G203" s="616"/>
      <c r="H203" s="617"/>
      <c r="I203" s="618"/>
      <c r="J203" s="619"/>
      <c r="K203" s="138" t="str">
        <f>U277</f>
        <v>mGy/min</v>
      </c>
      <c r="L203" s="138" t="str">
        <f>V277</f>
        <v>mGy/min</v>
      </c>
      <c r="M203" s="620"/>
      <c r="O203" s="611"/>
      <c r="P203" s="147" t="str">
        <f>IF($O$119="","",$O$119)</f>
        <v/>
      </c>
      <c r="Q203" s="148"/>
      <c r="R203" s="148"/>
      <c r="S203" s="148"/>
      <c r="T203" s="147"/>
      <c r="U203" s="149" t="str">
        <f t="shared" si="27"/>
        <v/>
      </c>
      <c r="Y203" s="15"/>
      <c r="AA203" s="2" t="s">
        <v>245</v>
      </c>
      <c r="AB203" s="43"/>
      <c r="AC203" s="31" t="str">
        <f t="shared" si="26"/>
        <v/>
      </c>
      <c r="AD203" s="44" t="str">
        <f t="shared" si="28"/>
        <v/>
      </c>
    </row>
    <row r="204" spans="1:30" ht="14.1" customHeight="1" x14ac:dyDescent="0.25">
      <c r="A204" s="3">
        <v>6</v>
      </c>
      <c r="B204" s="351"/>
      <c r="C204" s="409" t="str">
        <f t="shared" ref="C204:D211" si="29">IF(O258="","",O258)</f>
        <v/>
      </c>
      <c r="D204" s="410" t="str">
        <f t="shared" si="29"/>
        <v/>
      </c>
      <c r="E204" s="409" t="str">
        <f t="shared" ref="E204:M211" si="30">IF(O278="","",O278)</f>
        <v/>
      </c>
      <c r="F204" s="415" t="str">
        <f t="shared" si="30"/>
        <v/>
      </c>
      <c r="G204" s="405" t="str">
        <f t="shared" si="30"/>
        <v/>
      </c>
      <c r="H204" s="409" t="str">
        <f t="shared" si="30"/>
        <v/>
      </c>
      <c r="I204" s="415" t="str">
        <f t="shared" si="30"/>
        <v/>
      </c>
      <c r="J204" s="405" t="str">
        <f t="shared" si="30"/>
        <v/>
      </c>
      <c r="K204" s="409" t="str">
        <f t="shared" si="30"/>
        <v/>
      </c>
      <c r="L204" s="415" t="str">
        <f t="shared" si="30"/>
        <v/>
      </c>
      <c r="M204" s="418" t="str">
        <f t="shared" si="30"/>
        <v/>
      </c>
      <c r="O204" s="611"/>
      <c r="P204" s="137" t="str">
        <f>IF($O$122="","",$O$122)</f>
        <v/>
      </c>
      <c r="Q204" s="150"/>
      <c r="R204" s="150"/>
      <c r="S204" s="150"/>
      <c r="T204" s="137"/>
      <c r="U204" s="151" t="str">
        <f t="shared" si="27"/>
        <v/>
      </c>
      <c r="Y204" s="15"/>
      <c r="AA204" s="2" t="s">
        <v>246</v>
      </c>
      <c r="AB204" s="43"/>
      <c r="AC204" s="31" t="str">
        <f t="shared" si="26"/>
        <v/>
      </c>
      <c r="AD204" s="44" t="str">
        <f t="shared" si="28"/>
        <v/>
      </c>
    </row>
    <row r="205" spans="1:30" ht="14.1" customHeight="1" x14ac:dyDescent="0.25">
      <c r="A205" s="3">
        <v>7</v>
      </c>
      <c r="B205" s="351"/>
      <c r="C205" s="411" t="str">
        <f t="shared" si="29"/>
        <v/>
      </c>
      <c r="D205" s="412" t="str">
        <f t="shared" si="29"/>
        <v/>
      </c>
      <c r="E205" s="411" t="str">
        <f t="shared" si="30"/>
        <v/>
      </c>
      <c r="F205" s="416" t="str">
        <f t="shared" si="30"/>
        <v/>
      </c>
      <c r="G205" s="406" t="str">
        <f t="shared" si="30"/>
        <v/>
      </c>
      <c r="H205" s="411" t="str">
        <f t="shared" si="30"/>
        <v/>
      </c>
      <c r="I205" s="416" t="str">
        <f t="shared" si="30"/>
        <v/>
      </c>
      <c r="J205" s="406" t="str">
        <f t="shared" si="30"/>
        <v/>
      </c>
      <c r="K205" s="411" t="str">
        <f t="shared" si="30"/>
        <v/>
      </c>
      <c r="L205" s="416" t="str">
        <f t="shared" si="30"/>
        <v/>
      </c>
      <c r="M205" s="419" t="str">
        <f t="shared" si="30"/>
        <v/>
      </c>
      <c r="O205" s="14"/>
      <c r="Y205" s="15"/>
      <c r="AA205" s="2" t="s">
        <v>248</v>
      </c>
      <c r="AB205" s="43"/>
      <c r="AC205" s="31" t="str">
        <f t="shared" si="26"/>
        <v/>
      </c>
      <c r="AD205" s="44" t="str">
        <f t="shared" si="28"/>
        <v/>
      </c>
    </row>
    <row r="206" spans="1:30" ht="14.1" customHeight="1" x14ac:dyDescent="0.25">
      <c r="A206" s="3">
        <v>8</v>
      </c>
      <c r="B206" s="351"/>
      <c r="C206" s="411" t="str">
        <f t="shared" si="29"/>
        <v/>
      </c>
      <c r="D206" s="412" t="str">
        <f t="shared" si="29"/>
        <v/>
      </c>
      <c r="E206" s="411" t="str">
        <f t="shared" si="30"/>
        <v/>
      </c>
      <c r="F206" s="416" t="str">
        <f t="shared" si="30"/>
        <v/>
      </c>
      <c r="G206" s="406" t="str">
        <f t="shared" si="30"/>
        <v/>
      </c>
      <c r="H206" s="411" t="str">
        <f t="shared" si="30"/>
        <v/>
      </c>
      <c r="I206" s="416" t="str">
        <f t="shared" si="30"/>
        <v/>
      </c>
      <c r="J206" s="406" t="str">
        <f t="shared" si="30"/>
        <v/>
      </c>
      <c r="K206" s="411" t="str">
        <f t="shared" si="30"/>
        <v/>
      </c>
      <c r="L206" s="416" t="str">
        <f t="shared" si="30"/>
        <v/>
      </c>
      <c r="M206" s="419" t="str">
        <f t="shared" si="30"/>
        <v/>
      </c>
      <c r="O206" s="14"/>
      <c r="P206" s="2" t="s">
        <v>191</v>
      </c>
      <c r="Q206" s="109" t="str">
        <f>IF(Q208&lt;&gt;"",Q208,IF(AB234="","",AB234))</f>
        <v/>
      </c>
      <c r="R206" s="69"/>
      <c r="S206" s="69"/>
      <c r="T206" s="69"/>
      <c r="U206" s="69"/>
      <c r="V206" s="69"/>
      <c r="W206" s="69"/>
      <c r="X206" s="69"/>
      <c r="Y206" s="15"/>
      <c r="AA206" s="2" t="s">
        <v>250</v>
      </c>
      <c r="AB206" s="43"/>
      <c r="AC206" s="31" t="str">
        <f t="shared" si="26"/>
        <v/>
      </c>
      <c r="AD206" s="44" t="str">
        <f t="shared" si="28"/>
        <v/>
      </c>
    </row>
    <row r="207" spans="1:30" ht="14.1" customHeight="1" x14ac:dyDescent="0.25">
      <c r="A207" s="3">
        <v>9</v>
      </c>
      <c r="B207" s="351"/>
      <c r="C207" s="411" t="str">
        <f t="shared" si="29"/>
        <v/>
      </c>
      <c r="D207" s="412" t="str">
        <f t="shared" si="29"/>
        <v/>
      </c>
      <c r="E207" s="411" t="str">
        <f t="shared" si="30"/>
        <v/>
      </c>
      <c r="F207" s="416" t="str">
        <f t="shared" si="30"/>
        <v/>
      </c>
      <c r="G207" s="406" t="str">
        <f t="shared" si="30"/>
        <v/>
      </c>
      <c r="H207" s="411" t="str">
        <f t="shared" si="30"/>
        <v/>
      </c>
      <c r="I207" s="416" t="str">
        <f t="shared" si="30"/>
        <v/>
      </c>
      <c r="J207" s="406" t="str">
        <f t="shared" si="30"/>
        <v/>
      </c>
      <c r="K207" s="411" t="str">
        <f t="shared" si="30"/>
        <v/>
      </c>
      <c r="L207" s="416" t="str">
        <f t="shared" si="30"/>
        <v/>
      </c>
      <c r="M207" s="419" t="str">
        <f t="shared" si="30"/>
        <v/>
      </c>
      <c r="O207" s="14"/>
      <c r="Q207" s="111"/>
      <c r="R207" s="112">
        <f>LEN(Q206)</f>
        <v>0</v>
      </c>
      <c r="S207" s="113"/>
      <c r="T207" s="113"/>
      <c r="U207" s="113"/>
      <c r="V207" s="113"/>
      <c r="W207" s="113"/>
      <c r="X207" s="113"/>
      <c r="Y207" s="15"/>
      <c r="AA207" s="2" t="s">
        <v>229</v>
      </c>
      <c r="AB207" s="43"/>
      <c r="AC207" s="31" t="str">
        <f t="shared" si="26"/>
        <v/>
      </c>
      <c r="AD207" s="44" t="str">
        <f t="shared" ref="AD207:AD218" si="31">IF(T331="","",T331)</f>
        <v/>
      </c>
    </row>
    <row r="208" spans="1:30" ht="14.1" customHeight="1" x14ac:dyDescent="0.25">
      <c r="A208" s="3">
        <v>10</v>
      </c>
      <c r="B208" s="351"/>
      <c r="C208" s="411" t="str">
        <f t="shared" si="29"/>
        <v/>
      </c>
      <c r="D208" s="412" t="str">
        <f t="shared" si="29"/>
        <v/>
      </c>
      <c r="E208" s="411" t="str">
        <f t="shared" si="30"/>
        <v/>
      </c>
      <c r="F208" s="416" t="str">
        <f t="shared" si="30"/>
        <v/>
      </c>
      <c r="G208" s="406" t="str">
        <f t="shared" si="30"/>
        <v/>
      </c>
      <c r="H208" s="411" t="str">
        <f t="shared" si="30"/>
        <v/>
      </c>
      <c r="I208" s="416" t="str">
        <f t="shared" si="30"/>
        <v/>
      </c>
      <c r="J208" s="406" t="str">
        <f t="shared" si="30"/>
        <v/>
      </c>
      <c r="K208" s="411" t="str">
        <f t="shared" si="30"/>
        <v/>
      </c>
      <c r="L208" s="416" t="str">
        <f t="shared" si="30"/>
        <v/>
      </c>
      <c r="M208" s="419" t="str">
        <f t="shared" si="30"/>
        <v/>
      </c>
      <c r="O208" s="14"/>
      <c r="P208" s="2" t="s">
        <v>194</v>
      </c>
      <c r="Q208" s="115"/>
      <c r="R208" s="113"/>
      <c r="S208" s="113"/>
      <c r="T208" s="113"/>
      <c r="U208" s="113"/>
      <c r="V208" s="113"/>
      <c r="W208" s="113"/>
      <c r="X208" s="113"/>
      <c r="Y208" s="15"/>
      <c r="AA208" s="2" t="s">
        <v>233</v>
      </c>
      <c r="AB208" s="43"/>
      <c r="AC208" s="31" t="str">
        <f t="shared" si="26"/>
        <v/>
      </c>
      <c r="AD208" s="44" t="str">
        <f t="shared" si="31"/>
        <v/>
      </c>
    </row>
    <row r="209" spans="1:30" ht="14.1" customHeight="1" x14ac:dyDescent="0.25">
      <c r="A209" s="3">
        <v>11</v>
      </c>
      <c r="B209" s="351"/>
      <c r="C209" s="411" t="str">
        <f t="shared" si="29"/>
        <v/>
      </c>
      <c r="D209" s="412" t="str">
        <f t="shared" si="29"/>
        <v/>
      </c>
      <c r="E209" s="411" t="str">
        <f t="shared" si="30"/>
        <v/>
      </c>
      <c r="F209" s="416" t="str">
        <f t="shared" si="30"/>
        <v/>
      </c>
      <c r="G209" s="406" t="str">
        <f t="shared" si="30"/>
        <v/>
      </c>
      <c r="H209" s="411" t="str">
        <f t="shared" si="30"/>
        <v/>
      </c>
      <c r="I209" s="416" t="str">
        <f t="shared" si="30"/>
        <v/>
      </c>
      <c r="J209" s="406" t="str">
        <f t="shared" si="30"/>
        <v/>
      </c>
      <c r="K209" s="411" t="str">
        <f t="shared" si="30"/>
        <v/>
      </c>
      <c r="L209" s="416" t="str">
        <f t="shared" si="30"/>
        <v/>
      </c>
      <c r="M209" s="419" t="str">
        <f t="shared" si="30"/>
        <v/>
      </c>
      <c r="O209" s="22"/>
      <c r="P209" s="23"/>
      <c r="Q209" s="23"/>
      <c r="R209" s="23"/>
      <c r="S209" s="23"/>
      <c r="T209" s="23"/>
      <c r="U209" s="23"/>
      <c r="V209" s="23"/>
      <c r="W209" s="23"/>
      <c r="X209" s="23"/>
      <c r="Y209" s="24"/>
      <c r="AA209" s="2" t="s">
        <v>237</v>
      </c>
      <c r="AB209" s="43"/>
      <c r="AC209" s="31" t="str">
        <f t="shared" si="26"/>
        <v/>
      </c>
      <c r="AD209" s="44" t="str">
        <f t="shared" si="31"/>
        <v/>
      </c>
    </row>
    <row r="210" spans="1:30" ht="14.1" customHeight="1" x14ac:dyDescent="0.25">
      <c r="A210" s="3">
        <v>12</v>
      </c>
      <c r="B210" s="351"/>
      <c r="C210" s="411" t="str">
        <f t="shared" si="29"/>
        <v/>
      </c>
      <c r="D210" s="412" t="str">
        <f t="shared" si="29"/>
        <v/>
      </c>
      <c r="E210" s="411" t="str">
        <f t="shared" si="30"/>
        <v/>
      </c>
      <c r="F210" s="416" t="str">
        <f t="shared" si="30"/>
        <v/>
      </c>
      <c r="G210" s="406" t="str">
        <f t="shared" si="30"/>
        <v/>
      </c>
      <c r="H210" s="411" t="str">
        <f t="shared" si="30"/>
        <v/>
      </c>
      <c r="I210" s="416" t="str">
        <f t="shared" si="30"/>
        <v/>
      </c>
      <c r="J210" s="406" t="str">
        <f t="shared" si="30"/>
        <v/>
      </c>
      <c r="K210" s="411" t="str">
        <f t="shared" si="30"/>
        <v/>
      </c>
      <c r="L210" s="416" t="str">
        <f t="shared" si="30"/>
        <v/>
      </c>
      <c r="M210" s="419" t="str">
        <f t="shared" si="30"/>
        <v/>
      </c>
      <c r="O210" s="118"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238</v>
      </c>
      <c r="AB210" s="43"/>
      <c r="AC210" s="31" t="str">
        <f t="shared" si="26"/>
        <v/>
      </c>
      <c r="AD210" s="44" t="str">
        <f t="shared" si="31"/>
        <v/>
      </c>
    </row>
    <row r="211" spans="1:30" ht="14.1" customHeight="1" thickBot="1" x14ac:dyDescent="0.3">
      <c r="A211" s="3">
        <v>13</v>
      </c>
      <c r="B211" s="351"/>
      <c r="C211" s="413" t="str">
        <f t="shared" si="29"/>
        <v/>
      </c>
      <c r="D211" s="414" t="str">
        <f t="shared" si="29"/>
        <v/>
      </c>
      <c r="E211" s="413" t="str">
        <f t="shared" si="30"/>
        <v/>
      </c>
      <c r="F211" s="417" t="str">
        <f t="shared" si="30"/>
        <v/>
      </c>
      <c r="G211" s="407" t="str">
        <f t="shared" si="30"/>
        <v/>
      </c>
      <c r="H211" s="413" t="str">
        <f t="shared" si="30"/>
        <v/>
      </c>
      <c r="I211" s="417" t="str">
        <f t="shared" si="30"/>
        <v/>
      </c>
      <c r="J211" s="407" t="str">
        <f t="shared" si="30"/>
        <v/>
      </c>
      <c r="K211" s="413" t="str">
        <f t="shared" si="30"/>
        <v/>
      </c>
      <c r="L211" s="417" t="str">
        <f t="shared" si="30"/>
        <v/>
      </c>
      <c r="M211" s="420" t="str">
        <f t="shared" si="30"/>
        <v/>
      </c>
      <c r="O211" s="14"/>
      <c r="Y211" s="15"/>
      <c r="AA211" s="2" t="s">
        <v>239</v>
      </c>
      <c r="AB211" s="43"/>
      <c r="AC211" s="31" t="str">
        <f t="shared" si="26"/>
        <v/>
      </c>
      <c r="AD211" s="44" t="str">
        <f t="shared" si="31"/>
        <v/>
      </c>
    </row>
    <row r="212" spans="1:30" ht="14.1" customHeight="1" thickBot="1" x14ac:dyDescent="0.3">
      <c r="A212" s="3">
        <v>14</v>
      </c>
      <c r="B212" s="351"/>
      <c r="C212" s="45"/>
      <c r="D212" s="379"/>
      <c r="E212" s="379"/>
      <c r="F212" s="165" t="s">
        <v>182</v>
      </c>
      <c r="G212" s="408" t="str">
        <f>Q286</f>
        <v/>
      </c>
      <c r="H212" s="45"/>
      <c r="I212" s="165" t="s">
        <v>182</v>
      </c>
      <c r="J212" s="408" t="str">
        <f>T286</f>
        <v/>
      </c>
      <c r="K212" s="138"/>
      <c r="L212" s="165" t="s">
        <v>182</v>
      </c>
      <c r="M212" s="408" t="str">
        <f>W286</f>
        <v/>
      </c>
      <c r="O212" s="14" t="s">
        <v>254</v>
      </c>
      <c r="P212" s="1" t="s">
        <v>255</v>
      </c>
      <c r="U212" s="1" t="s">
        <v>256</v>
      </c>
      <c r="Y212" s="15"/>
      <c r="AA212" s="2" t="s">
        <v>240</v>
      </c>
      <c r="AB212" s="43"/>
      <c r="AC212" s="31" t="str">
        <f t="shared" si="26"/>
        <v/>
      </c>
      <c r="AD212" s="44" t="str">
        <f t="shared" si="31"/>
        <v/>
      </c>
    </row>
    <row r="213" spans="1:30" ht="14.1" customHeight="1" thickBot="1" x14ac:dyDescent="0.3">
      <c r="A213" s="3">
        <v>15</v>
      </c>
      <c r="B213" s="351"/>
      <c r="C213" s="138"/>
      <c r="D213" s="244" t="str">
        <f>P288</f>
        <v>Criteria:</v>
      </c>
      <c r="E213" s="380" t="str">
        <f>Q288</f>
        <v>Measured KAP/AK/AKR is within 40% of the displayed values</v>
      </c>
      <c r="F213" s="138"/>
      <c r="G213" s="138"/>
      <c r="H213" s="138"/>
      <c r="I213" s="138"/>
      <c r="J213" s="138"/>
      <c r="K213" s="138"/>
      <c r="L213" s="138"/>
      <c r="M213" s="353"/>
      <c r="O213" s="14" t="s">
        <v>257</v>
      </c>
      <c r="P213" s="1" t="s">
        <v>258</v>
      </c>
      <c r="Q213" s="1" t="s">
        <v>168</v>
      </c>
      <c r="R213" s="1" t="s">
        <v>169</v>
      </c>
      <c r="S213" s="1" t="s">
        <v>259</v>
      </c>
      <c r="T213" s="1" t="s">
        <v>260</v>
      </c>
      <c r="U213" s="1" t="s">
        <v>260</v>
      </c>
      <c r="Y213" s="15"/>
      <c r="AA213" s="2" t="s">
        <v>243</v>
      </c>
      <c r="AB213" s="43"/>
      <c r="AC213" s="31" t="str">
        <f t="shared" si="26"/>
        <v/>
      </c>
      <c r="AD213" s="44" t="str">
        <f t="shared" si="31"/>
        <v/>
      </c>
    </row>
    <row r="214" spans="1:30" ht="14.1" customHeight="1" x14ac:dyDescent="0.25">
      <c r="A214" s="3">
        <v>16</v>
      </c>
      <c r="B214" s="351"/>
      <c r="C214" s="373"/>
      <c r="D214" s="373"/>
      <c r="E214" s="373"/>
      <c r="F214" s="373"/>
      <c r="G214" s="373"/>
      <c r="H214" s="373"/>
      <c r="I214" s="373"/>
      <c r="J214" s="373"/>
      <c r="K214" s="373"/>
      <c r="L214" s="373"/>
      <c r="M214" s="353"/>
      <c r="O214" s="611" t="str">
        <f>$Q$139</f>
        <v>Auto 1</v>
      </c>
      <c r="P214" s="144" t="str">
        <f>IF($O$110="","",$O$110)</f>
        <v/>
      </c>
      <c r="Q214" s="145"/>
      <c r="R214" s="145"/>
      <c r="S214" s="145"/>
      <c r="T214" s="144"/>
      <c r="U214" s="146" t="str">
        <f t="shared" ref="U214:U228" si="32">IF(AB127="","",AB127)</f>
        <v/>
      </c>
      <c r="V214" s="56"/>
      <c r="W214" s="108" t="s">
        <v>261</v>
      </c>
      <c r="Y214" s="15"/>
      <c r="AA214" s="2" t="s">
        <v>244</v>
      </c>
      <c r="AB214" s="43"/>
      <c r="AC214" s="31" t="str">
        <f t="shared" si="26"/>
        <v/>
      </c>
      <c r="AD214" s="44" t="str">
        <f t="shared" si="31"/>
        <v/>
      </c>
    </row>
    <row r="215" spans="1:30" ht="14.1" customHeight="1" x14ac:dyDescent="0.25">
      <c r="A215" s="3">
        <v>17</v>
      </c>
      <c r="B215" s="421"/>
      <c r="C215" s="422"/>
      <c r="D215" s="422"/>
      <c r="E215" s="422"/>
      <c r="F215" s="422"/>
      <c r="G215" s="422"/>
      <c r="H215" s="422"/>
      <c r="I215" s="422"/>
      <c r="J215" s="422"/>
      <c r="K215" s="422"/>
      <c r="L215" s="422"/>
      <c r="M215" s="423"/>
      <c r="O215" s="611"/>
      <c r="P215" s="147" t="str">
        <f>IF($O$113="","",$O$113)</f>
        <v/>
      </c>
      <c r="Q215" s="148"/>
      <c r="R215" s="148"/>
      <c r="S215" s="148"/>
      <c r="T215" s="147"/>
      <c r="U215" s="149" t="str">
        <f t="shared" si="32"/>
        <v/>
      </c>
      <c r="W215" s="108" t="s">
        <v>262</v>
      </c>
      <c r="Y215" s="15"/>
      <c r="AA215" s="2" t="s">
        <v>245</v>
      </c>
      <c r="AB215" s="43"/>
      <c r="AC215" s="31" t="str">
        <f t="shared" si="26"/>
        <v/>
      </c>
      <c r="AD215" s="44" t="str">
        <f t="shared" si="31"/>
        <v/>
      </c>
    </row>
    <row r="216" spans="1:30" ht="14.1" customHeight="1" x14ac:dyDescent="0.25">
      <c r="A216" s="3">
        <v>18</v>
      </c>
      <c r="B216" s="351"/>
      <c r="C216" s="383" t="s">
        <v>271</v>
      </c>
      <c r="D216" s="373"/>
      <c r="E216" s="373"/>
      <c r="F216" s="373"/>
      <c r="G216" s="373"/>
      <c r="H216" s="383" t="s">
        <v>272</v>
      </c>
      <c r="I216" s="373"/>
      <c r="J216" s="373"/>
      <c r="K216" s="373"/>
      <c r="L216" s="373"/>
      <c r="M216" s="353"/>
      <c r="O216" s="611"/>
      <c r="P216" s="147" t="str">
        <f>IF($O$116="","",$O$116)</f>
        <v/>
      </c>
      <c r="Q216" s="148"/>
      <c r="R216" s="148"/>
      <c r="S216" s="148"/>
      <c r="T216" s="147"/>
      <c r="U216" s="149" t="str">
        <f t="shared" si="32"/>
        <v/>
      </c>
      <c r="W216" s="108" t="s">
        <v>263</v>
      </c>
      <c r="Y216" s="15"/>
      <c r="AA216" s="2" t="s">
        <v>246</v>
      </c>
      <c r="AB216" s="43"/>
      <c r="AC216" s="31" t="str">
        <f t="shared" si="26"/>
        <v/>
      </c>
      <c r="AD216" s="44" t="str">
        <f t="shared" si="31"/>
        <v/>
      </c>
    </row>
    <row r="217" spans="1:30" ht="14.1" customHeight="1" x14ac:dyDescent="0.25">
      <c r="A217" s="3">
        <v>19</v>
      </c>
      <c r="B217" s="376"/>
      <c r="C217" s="373"/>
      <c r="D217" s="373"/>
      <c r="E217" s="373"/>
      <c r="F217" s="373"/>
      <c r="G217" s="373"/>
      <c r="H217" s="373"/>
      <c r="I217" s="373"/>
      <c r="J217" s="373"/>
      <c r="K217" s="373"/>
      <c r="L217" s="373"/>
      <c r="M217" s="377"/>
      <c r="O217" s="611"/>
      <c r="P217" s="147" t="str">
        <f>IF($O$119="","",$O$119)</f>
        <v/>
      </c>
      <c r="Q217" s="148"/>
      <c r="R217" s="148"/>
      <c r="S217" s="148"/>
      <c r="T217" s="147"/>
      <c r="U217" s="149" t="str">
        <f t="shared" si="32"/>
        <v/>
      </c>
      <c r="Y217" s="15"/>
      <c r="AA217" s="2" t="s">
        <v>248</v>
      </c>
      <c r="AB217" s="43"/>
      <c r="AC217" s="31" t="str">
        <f t="shared" si="26"/>
        <v/>
      </c>
      <c r="AD217" s="44" t="str">
        <f t="shared" si="31"/>
        <v/>
      </c>
    </row>
    <row r="218" spans="1:30" ht="14.1" customHeight="1" x14ac:dyDescent="0.25">
      <c r="A218" s="3">
        <v>20</v>
      </c>
      <c r="B218" s="376"/>
      <c r="C218" s="373"/>
      <c r="D218" s="165" t="s">
        <v>273</v>
      </c>
      <c r="E218" s="372" t="str">
        <f>Q291</f>
        <v>Piranha CB2-17090320</v>
      </c>
      <c r="F218" s="373"/>
      <c r="G218" s="373"/>
      <c r="H218" s="373"/>
      <c r="I218" s="373"/>
      <c r="J218" s="373"/>
      <c r="K218" s="373"/>
      <c r="L218" s="373"/>
      <c r="M218" s="377"/>
      <c r="O218" s="611"/>
      <c r="P218" s="137" t="str">
        <f>IF($O$122="","",$O$122)</f>
        <v/>
      </c>
      <c r="Q218" s="150"/>
      <c r="R218" s="150"/>
      <c r="S218" s="150"/>
      <c r="T218" s="137"/>
      <c r="U218" s="151" t="str">
        <f t="shared" si="32"/>
        <v/>
      </c>
      <c r="Y218" s="15"/>
      <c r="AA218" s="2" t="s">
        <v>250</v>
      </c>
      <c r="AB218" s="43"/>
      <c r="AC218" s="31" t="str">
        <f t="shared" ref="AC218:AC230" si="33">IF(AB218&lt;&gt;AD218,"Change","")</f>
        <v/>
      </c>
      <c r="AD218" s="44" t="str">
        <f t="shared" si="31"/>
        <v/>
      </c>
    </row>
    <row r="219" spans="1:30" ht="14.1" customHeight="1" thickBot="1" x14ac:dyDescent="0.3">
      <c r="A219" s="3">
        <v>21</v>
      </c>
      <c r="B219" s="376"/>
      <c r="C219" s="373"/>
      <c r="D219" s="373"/>
      <c r="E219" s="373"/>
      <c r="F219" s="373"/>
      <c r="G219" s="373"/>
      <c r="H219" s="373"/>
      <c r="I219" s="373"/>
      <c r="J219" s="373"/>
      <c r="K219" s="373"/>
      <c r="L219" s="373"/>
      <c r="M219" s="377"/>
      <c r="O219" s="611" t="str">
        <f>$T$139</f>
        <v>Auto 2</v>
      </c>
      <c r="P219" s="144" t="str">
        <f>IF($O$110="","",$O$110)</f>
        <v/>
      </c>
      <c r="Q219" s="145"/>
      <c r="R219" s="145"/>
      <c r="S219" s="145"/>
      <c r="T219" s="144"/>
      <c r="U219" s="146" t="str">
        <f t="shared" si="32"/>
        <v/>
      </c>
      <c r="Y219" s="15"/>
      <c r="AA219" s="2" t="s">
        <v>229</v>
      </c>
      <c r="AB219" s="43"/>
      <c r="AC219" s="31" t="str">
        <f t="shared" si="33"/>
        <v/>
      </c>
      <c r="AD219" s="44" t="str">
        <f t="shared" ref="AD219:AD230" si="34">IF(U331="","",U331)</f>
        <v/>
      </c>
    </row>
    <row r="220" spans="1:30" ht="14.1" customHeight="1" thickBot="1" x14ac:dyDescent="0.3">
      <c r="A220" s="3">
        <v>22</v>
      </c>
      <c r="B220" s="376"/>
      <c r="C220" s="373"/>
      <c r="D220" s="436" t="s">
        <v>274</v>
      </c>
      <c r="E220" s="373"/>
      <c r="F220" s="373"/>
      <c r="G220" s="373"/>
      <c r="H220" s="373"/>
      <c r="I220" s="439" t="s">
        <v>274</v>
      </c>
      <c r="J220" s="373"/>
      <c r="K220" s="373"/>
      <c r="L220" s="373"/>
      <c r="M220" s="377"/>
      <c r="O220" s="611"/>
      <c r="P220" s="147" t="str">
        <f>IF($O$113="","",$O$113)</f>
        <v/>
      </c>
      <c r="Q220" s="148"/>
      <c r="R220" s="148"/>
      <c r="S220" s="148"/>
      <c r="T220" s="147"/>
      <c r="U220" s="149" t="str">
        <f t="shared" si="32"/>
        <v/>
      </c>
      <c r="Y220" s="15"/>
      <c r="AA220" s="2" t="s">
        <v>233</v>
      </c>
      <c r="AB220" s="43"/>
      <c r="AC220" s="31" t="str">
        <f t="shared" si="33"/>
        <v/>
      </c>
      <c r="AD220" s="44" t="str">
        <f t="shared" si="34"/>
        <v/>
      </c>
    </row>
    <row r="221" spans="1:30" ht="14.1" customHeight="1" thickBot="1" x14ac:dyDescent="0.3">
      <c r="A221" s="3">
        <v>23</v>
      </c>
      <c r="B221" s="376"/>
      <c r="C221" s="427" t="s">
        <v>275</v>
      </c>
      <c r="D221" s="428" t="s">
        <v>230</v>
      </c>
      <c r="E221" s="429" t="s">
        <v>276</v>
      </c>
      <c r="F221" s="373"/>
      <c r="G221" s="373"/>
      <c r="H221" s="437" t="s">
        <v>275</v>
      </c>
      <c r="I221" s="440" t="s">
        <v>230</v>
      </c>
      <c r="J221" s="373"/>
      <c r="K221" s="373"/>
      <c r="L221" s="373"/>
      <c r="M221" s="377"/>
      <c r="O221" s="611"/>
      <c r="P221" s="147" t="str">
        <f>IF($O$116="","",$O$116)</f>
        <v/>
      </c>
      <c r="Q221" s="148"/>
      <c r="R221" s="148"/>
      <c r="S221" s="148"/>
      <c r="T221" s="147"/>
      <c r="U221" s="149" t="str">
        <f t="shared" si="32"/>
        <v/>
      </c>
      <c r="Y221" s="15"/>
      <c r="AA221" s="2" t="s">
        <v>237</v>
      </c>
      <c r="AB221" s="43"/>
      <c r="AC221" s="31" t="str">
        <f t="shared" si="33"/>
        <v/>
      </c>
      <c r="AD221" s="44" t="str">
        <f t="shared" si="34"/>
        <v/>
      </c>
    </row>
    <row r="222" spans="1:30" ht="14.1" customHeight="1" thickBot="1" x14ac:dyDescent="0.3">
      <c r="A222" s="3">
        <v>24</v>
      </c>
      <c r="B222" s="376"/>
      <c r="C222" s="430">
        <f t="shared" ref="C222:D225" si="35">IF(O295="","",O295)</f>
        <v>60</v>
      </c>
      <c r="D222" s="431" t="str">
        <f t="shared" si="35"/>
        <v/>
      </c>
      <c r="E222" s="432" t="str">
        <f>IF(T295="","",T295)</f>
        <v/>
      </c>
      <c r="F222" s="373"/>
      <c r="G222" s="373"/>
      <c r="H222" s="438">
        <f>IF(O304="","",O304)</f>
        <v>80</v>
      </c>
      <c r="I222" s="431" t="str">
        <f>IF(P304="","",P304)</f>
        <v/>
      </c>
      <c r="J222" s="373"/>
      <c r="K222" s="373"/>
      <c r="L222" s="373"/>
      <c r="M222" s="377"/>
      <c r="O222" s="611"/>
      <c r="P222" s="147" t="str">
        <f>IF($O$119="","",$O$119)</f>
        <v/>
      </c>
      <c r="Q222" s="148"/>
      <c r="R222" s="148"/>
      <c r="S222" s="148"/>
      <c r="T222" s="147"/>
      <c r="U222" s="149" t="str">
        <f t="shared" si="32"/>
        <v/>
      </c>
      <c r="Y222" s="15"/>
      <c r="AA222" s="2" t="s">
        <v>238</v>
      </c>
      <c r="AB222" s="43"/>
      <c r="AC222" s="31" t="str">
        <f t="shared" si="33"/>
        <v/>
      </c>
      <c r="AD222" s="44" t="str">
        <f t="shared" si="34"/>
        <v/>
      </c>
    </row>
    <row r="223" spans="1:30" ht="14.1" customHeight="1" thickBot="1" x14ac:dyDescent="0.3">
      <c r="A223" s="3">
        <v>25</v>
      </c>
      <c r="B223" s="376"/>
      <c r="C223" s="430">
        <f t="shared" si="35"/>
        <v>80</v>
      </c>
      <c r="D223" s="431" t="str">
        <f t="shared" si="35"/>
        <v/>
      </c>
      <c r="E223" s="432" t="str">
        <f>IF(T296="","",T296)</f>
        <v/>
      </c>
      <c r="F223" s="373"/>
      <c r="G223" s="373"/>
      <c r="H223" s="373"/>
      <c r="I223" s="431" t="str">
        <f t="shared" ref="I223:I230" si="36">IF(P305="","",P305)</f>
        <v/>
      </c>
      <c r="J223" s="373"/>
      <c r="K223" s="373"/>
      <c r="L223" s="373"/>
      <c r="M223" s="377"/>
      <c r="O223" s="611"/>
      <c r="P223" s="137" t="str">
        <f>IF($O$122="","",$O$122)</f>
        <v/>
      </c>
      <c r="Q223" s="150"/>
      <c r="R223" s="150"/>
      <c r="S223" s="150"/>
      <c r="T223" s="137"/>
      <c r="U223" s="151" t="str">
        <f t="shared" si="32"/>
        <v/>
      </c>
      <c r="Y223" s="15"/>
      <c r="AA223" s="2" t="s">
        <v>239</v>
      </c>
      <c r="AB223" s="43"/>
      <c r="AC223" s="31" t="str">
        <f t="shared" si="33"/>
        <v/>
      </c>
      <c r="AD223" s="44" t="str">
        <f t="shared" si="34"/>
        <v/>
      </c>
    </row>
    <row r="224" spans="1:30" ht="14.1" customHeight="1" thickBot="1" x14ac:dyDescent="0.3">
      <c r="A224" s="3">
        <v>26</v>
      </c>
      <c r="B224" s="376"/>
      <c r="C224" s="430">
        <f t="shared" si="35"/>
        <v>100</v>
      </c>
      <c r="D224" s="431" t="str">
        <f t="shared" si="35"/>
        <v/>
      </c>
      <c r="E224" s="432" t="str">
        <f>IF(T297="","",T297)</f>
        <v/>
      </c>
      <c r="F224" s="373"/>
      <c r="G224" s="373"/>
      <c r="H224" s="373"/>
      <c r="I224" s="431" t="str">
        <f t="shared" si="36"/>
        <v/>
      </c>
      <c r="J224" s="373"/>
      <c r="K224" s="373"/>
      <c r="L224" s="373"/>
      <c r="M224" s="377"/>
      <c r="O224" s="611" t="str">
        <f>$W$139</f>
        <v>High Level</v>
      </c>
      <c r="P224" s="144" t="str">
        <f>IF($O$110="","",$O$110)</f>
        <v/>
      </c>
      <c r="Q224" s="145"/>
      <c r="R224" s="145"/>
      <c r="S224" s="145"/>
      <c r="T224" s="144"/>
      <c r="U224" s="146" t="str">
        <f t="shared" si="32"/>
        <v/>
      </c>
      <c r="Y224" s="15"/>
      <c r="AA224" s="2" t="s">
        <v>240</v>
      </c>
      <c r="AB224" s="43"/>
      <c r="AC224" s="31" t="str">
        <f t="shared" si="33"/>
        <v/>
      </c>
      <c r="AD224" s="44" t="str">
        <f t="shared" si="34"/>
        <v/>
      </c>
    </row>
    <row r="225" spans="1:30" ht="14.1" customHeight="1" thickBot="1" x14ac:dyDescent="0.3">
      <c r="A225" s="3">
        <v>27</v>
      </c>
      <c r="B225" s="376"/>
      <c r="C225" s="433">
        <f t="shared" si="35"/>
        <v>120</v>
      </c>
      <c r="D225" s="434" t="str">
        <f t="shared" si="35"/>
        <v/>
      </c>
      <c r="E225" s="435" t="str">
        <f>IF(T298="","",T298)</f>
        <v/>
      </c>
      <c r="F225" s="373"/>
      <c r="G225" s="373"/>
      <c r="H225" s="373"/>
      <c r="I225" s="431" t="str">
        <f t="shared" si="36"/>
        <v/>
      </c>
      <c r="J225" s="373"/>
      <c r="K225" s="373"/>
      <c r="L225" s="373"/>
      <c r="M225" s="377"/>
      <c r="O225" s="611"/>
      <c r="P225" s="147" t="str">
        <f>IF($O$113="","",$O$113)</f>
        <v/>
      </c>
      <c r="Q225" s="148"/>
      <c r="R225" s="148"/>
      <c r="S225" s="148"/>
      <c r="T225" s="147"/>
      <c r="U225" s="149" t="str">
        <f t="shared" si="32"/>
        <v/>
      </c>
      <c r="Y225" s="15"/>
      <c r="AA225" s="2" t="s">
        <v>243</v>
      </c>
      <c r="AB225" s="43"/>
      <c r="AC225" s="31" t="str">
        <f t="shared" si="33"/>
        <v/>
      </c>
      <c r="AD225" s="44" t="str">
        <f t="shared" si="34"/>
        <v/>
      </c>
    </row>
    <row r="226" spans="1:30" ht="14.1" customHeight="1" thickBot="1" x14ac:dyDescent="0.3">
      <c r="A226" s="3">
        <v>28</v>
      </c>
      <c r="B226" s="376"/>
      <c r="C226" s="373"/>
      <c r="D226" s="165" t="s">
        <v>182</v>
      </c>
      <c r="E226" s="446" t="str">
        <f>T299</f>
        <v/>
      </c>
      <c r="F226" s="373"/>
      <c r="G226" s="373"/>
      <c r="H226" s="373"/>
      <c r="I226" s="441" t="str">
        <f t="shared" si="36"/>
        <v/>
      </c>
      <c r="J226" s="373"/>
      <c r="K226" s="373"/>
      <c r="L226" s="373"/>
      <c r="M226" s="377"/>
      <c r="O226" s="611"/>
      <c r="P226" s="147" t="str">
        <f>IF($O$116="","",$O$116)</f>
        <v/>
      </c>
      <c r="Q226" s="148"/>
      <c r="R226" s="148"/>
      <c r="S226" s="148"/>
      <c r="T226" s="147"/>
      <c r="U226" s="149" t="str">
        <f t="shared" si="32"/>
        <v/>
      </c>
      <c r="Y226" s="15"/>
      <c r="AA226" s="2" t="s">
        <v>244</v>
      </c>
      <c r="AB226" s="43"/>
      <c r="AC226" s="31" t="str">
        <f t="shared" si="33"/>
        <v/>
      </c>
      <c r="AD226" s="44" t="str">
        <f t="shared" si="34"/>
        <v/>
      </c>
    </row>
    <row r="227" spans="1:30" ht="14.1" customHeight="1" thickBot="1" x14ac:dyDescent="0.3">
      <c r="A227" s="3">
        <v>29</v>
      </c>
      <c r="B227" s="376"/>
      <c r="C227" s="373"/>
      <c r="D227" s="384" t="str">
        <f>P300</f>
        <v>Criteria:</v>
      </c>
      <c r="E227" s="385" t="str">
        <f>Q300</f>
        <v>kVp accurate to within 5% of indicated.</v>
      </c>
      <c r="F227" s="373"/>
      <c r="G227" s="373"/>
      <c r="H227" s="165" t="s">
        <v>277</v>
      </c>
      <c r="I227" s="442" t="str">
        <f t="shared" si="36"/>
        <v/>
      </c>
      <c r="J227" s="373"/>
      <c r="K227" s="373"/>
      <c r="L227" s="373"/>
      <c r="M227" s="377"/>
      <c r="O227" s="611"/>
      <c r="P227" s="147" t="str">
        <f>IF($O$119="","",$O$119)</f>
        <v/>
      </c>
      <c r="Q227" s="148"/>
      <c r="R227" s="148"/>
      <c r="S227" s="148"/>
      <c r="T227" s="147"/>
      <c r="U227" s="149" t="str">
        <f t="shared" si="32"/>
        <v/>
      </c>
      <c r="Y227" s="15"/>
      <c r="AA227" s="2" t="s">
        <v>245</v>
      </c>
      <c r="AB227" s="43"/>
      <c r="AC227" s="31" t="str">
        <f t="shared" si="33"/>
        <v/>
      </c>
      <c r="AD227" s="44" t="str">
        <f t="shared" si="34"/>
        <v/>
      </c>
    </row>
    <row r="228" spans="1:30" ht="14.1" customHeight="1" thickBot="1" x14ac:dyDescent="0.3">
      <c r="A228" s="3">
        <v>30</v>
      </c>
      <c r="B228" s="376"/>
      <c r="C228" s="373"/>
      <c r="D228" s="373"/>
      <c r="E228" s="373"/>
      <c r="F228" s="373"/>
      <c r="G228" s="373"/>
      <c r="H228" s="165" t="s">
        <v>278</v>
      </c>
      <c r="I228" s="443" t="str">
        <f t="shared" si="36"/>
        <v/>
      </c>
      <c r="J228" s="373"/>
      <c r="K228" s="373"/>
      <c r="L228" s="373"/>
      <c r="M228" s="377"/>
      <c r="O228" s="611"/>
      <c r="P228" s="137" t="str">
        <f>IF($O$122="","",$O$122)</f>
        <v/>
      </c>
      <c r="Q228" s="150"/>
      <c r="R228" s="150"/>
      <c r="S228" s="150"/>
      <c r="T228" s="137"/>
      <c r="U228" s="151" t="str">
        <f t="shared" si="32"/>
        <v/>
      </c>
      <c r="Y228" s="15"/>
      <c r="AA228" s="2" t="s">
        <v>246</v>
      </c>
      <c r="AB228" s="43"/>
      <c r="AC228" s="31" t="str">
        <f t="shared" si="33"/>
        <v/>
      </c>
      <c r="AD228" s="44" t="str">
        <f t="shared" si="34"/>
        <v/>
      </c>
    </row>
    <row r="229" spans="1:30" ht="14.1" customHeight="1" x14ac:dyDescent="0.25">
      <c r="A229" s="3">
        <v>31</v>
      </c>
      <c r="B229" s="376"/>
      <c r="C229" s="373"/>
      <c r="D229" s="373"/>
      <c r="E229" s="373"/>
      <c r="F229" s="373"/>
      <c r="G229" s="373"/>
      <c r="H229" s="165" t="s">
        <v>279</v>
      </c>
      <c r="I229" s="444" t="str">
        <f t="shared" si="36"/>
        <v/>
      </c>
      <c r="J229" s="373"/>
      <c r="K229" s="373"/>
      <c r="L229" s="373"/>
      <c r="M229" s="377"/>
      <c r="O229" s="14"/>
      <c r="Y229" s="15"/>
      <c r="AA229" s="2" t="s">
        <v>248</v>
      </c>
      <c r="AB229" s="43"/>
      <c r="AC229" s="31" t="str">
        <f t="shared" si="33"/>
        <v/>
      </c>
      <c r="AD229" s="44" t="str">
        <f t="shared" si="34"/>
        <v/>
      </c>
    </row>
    <row r="230" spans="1:30" ht="14.1" customHeight="1" thickBot="1" x14ac:dyDescent="0.3">
      <c r="A230" s="3">
        <v>32</v>
      </c>
      <c r="B230" s="376"/>
      <c r="C230" s="373"/>
      <c r="D230" s="373"/>
      <c r="E230" s="373"/>
      <c r="F230" s="373"/>
      <c r="G230" s="373"/>
      <c r="H230" s="165" t="s">
        <v>182</v>
      </c>
      <c r="I230" s="445" t="str">
        <f t="shared" si="36"/>
        <v/>
      </c>
      <c r="J230" s="373"/>
      <c r="K230" s="373"/>
      <c r="L230" s="373"/>
      <c r="M230" s="377"/>
      <c r="O230" s="14"/>
      <c r="P230" s="2" t="s">
        <v>191</v>
      </c>
      <c r="Q230" s="109" t="str">
        <f>IF(Q232&lt;&gt;"",Q232,IF(AB235="","",AB235))</f>
        <v/>
      </c>
      <c r="R230" s="69"/>
      <c r="S230" s="69"/>
      <c r="T230" s="69"/>
      <c r="U230" s="69"/>
      <c r="V230" s="69"/>
      <c r="W230" s="69"/>
      <c r="X230" s="69"/>
      <c r="Y230" s="15"/>
      <c r="AA230" s="2" t="s">
        <v>250</v>
      </c>
      <c r="AB230" s="43"/>
      <c r="AC230" s="31" t="str">
        <f t="shared" si="33"/>
        <v/>
      </c>
      <c r="AD230" s="44" t="str">
        <f t="shared" si="34"/>
        <v/>
      </c>
    </row>
    <row r="231" spans="1:30" ht="14.1" customHeight="1" x14ac:dyDescent="0.25">
      <c r="A231" s="3">
        <v>33</v>
      </c>
      <c r="B231" s="376"/>
      <c r="C231" s="373"/>
      <c r="D231" s="373"/>
      <c r="E231" s="373"/>
      <c r="F231" s="373"/>
      <c r="G231" s="373"/>
      <c r="H231" s="373"/>
      <c r="I231" s="384" t="str">
        <f>P313</f>
        <v>Criteria:</v>
      </c>
      <c r="J231" s="385" t="str">
        <f>Q313</f>
        <v>kVp coefficient of variation (std dev./mean) &lt;= 5%.</v>
      </c>
      <c r="K231" s="373"/>
      <c r="L231" s="373"/>
      <c r="M231" s="377"/>
      <c r="O231" s="14"/>
      <c r="P231" s="110" t="s">
        <v>192</v>
      </c>
      <c r="Q231" s="111"/>
      <c r="R231" s="112">
        <f>LEN(Q230)</f>
        <v>0</v>
      </c>
      <c r="S231" s="113"/>
      <c r="T231" s="113"/>
      <c r="U231" s="113"/>
      <c r="V231" s="113"/>
      <c r="W231" s="113"/>
      <c r="X231" s="113"/>
      <c r="Y231" s="15"/>
      <c r="AA231" s="25" t="s">
        <v>280</v>
      </c>
      <c r="AB231" s="56"/>
      <c r="AC231" s="56"/>
      <c r="AD231" s="56"/>
    </row>
    <row r="232" spans="1:30" ht="14.1" customHeight="1" x14ac:dyDescent="0.25">
      <c r="A232" s="3">
        <v>34</v>
      </c>
      <c r="B232" s="424"/>
      <c r="C232" s="425"/>
      <c r="D232" s="425"/>
      <c r="E232" s="425"/>
      <c r="F232" s="425"/>
      <c r="G232" s="425"/>
      <c r="H232" s="425"/>
      <c r="I232" s="425"/>
      <c r="J232" s="425"/>
      <c r="K232" s="425"/>
      <c r="L232" s="425"/>
      <c r="M232" s="426"/>
      <c r="O232" s="14"/>
      <c r="P232" s="2" t="s">
        <v>194</v>
      </c>
      <c r="Q232" s="115"/>
      <c r="R232" s="113"/>
      <c r="S232" s="113"/>
      <c r="T232" s="113"/>
      <c r="U232" s="113"/>
      <c r="V232" s="113"/>
      <c r="W232" s="113"/>
      <c r="X232" s="113"/>
      <c r="Y232" s="15"/>
      <c r="AA232" s="2" t="s">
        <v>281</v>
      </c>
      <c r="AB232" s="30"/>
      <c r="AC232" s="31" t="str">
        <f t="shared" ref="AC232:AC240" si="37">IF(AB232&lt;&gt;AD232,"Change","")</f>
        <v/>
      </c>
      <c r="AD232" s="32" t="str">
        <f>IF(Q133="","",Q133)</f>
        <v/>
      </c>
    </row>
    <row r="233" spans="1:30" ht="14.1" customHeight="1" x14ac:dyDescent="0.25">
      <c r="A233" s="3">
        <v>35</v>
      </c>
      <c r="B233" s="376"/>
      <c r="C233" s="373"/>
      <c r="D233" s="373"/>
      <c r="E233" s="373"/>
      <c r="F233" s="373"/>
      <c r="G233" s="373"/>
      <c r="H233" s="373"/>
      <c r="I233" s="373"/>
      <c r="J233" s="373"/>
      <c r="K233" s="373"/>
      <c r="L233" s="373"/>
      <c r="M233" s="377"/>
      <c r="O233" s="22"/>
      <c r="P233" s="23"/>
      <c r="Q233" s="23"/>
      <c r="R233" s="23"/>
      <c r="S233" s="23"/>
      <c r="T233" s="23"/>
      <c r="U233" s="23"/>
      <c r="V233" s="23"/>
      <c r="W233" s="23"/>
      <c r="X233" s="23"/>
      <c r="Y233" s="24"/>
      <c r="AA233" s="2" t="s">
        <v>282</v>
      </c>
      <c r="AB233" s="30"/>
      <c r="AC233" s="31" t="str">
        <f t="shared" si="37"/>
        <v/>
      </c>
      <c r="AD233" s="32" t="str">
        <f>IF(Q165="","",Q165)</f>
        <v/>
      </c>
    </row>
    <row r="234" spans="1:30" ht="14.1" customHeight="1" x14ac:dyDescent="0.25">
      <c r="A234" s="3">
        <v>36</v>
      </c>
      <c r="B234" s="376"/>
      <c r="C234" s="373"/>
      <c r="D234" s="373"/>
      <c r="E234" s="373"/>
      <c r="F234" s="373"/>
      <c r="G234" s="373"/>
      <c r="H234" s="373"/>
      <c r="I234" s="373"/>
      <c r="J234" s="373"/>
      <c r="K234" s="373"/>
      <c r="L234" s="373"/>
      <c r="M234" s="377"/>
      <c r="O234" s="118" t="s">
        <v>283</v>
      </c>
      <c r="P234" s="8"/>
      <c r="Q234" s="8"/>
      <c r="R234" s="8"/>
      <c r="S234" s="8"/>
      <c r="T234" s="8"/>
      <c r="U234" s="8"/>
      <c r="V234" s="8"/>
      <c r="W234" s="8"/>
      <c r="X234" s="8"/>
      <c r="Y234" s="9"/>
      <c r="AA234" s="2" t="s">
        <v>284</v>
      </c>
      <c r="AB234" s="30"/>
      <c r="AC234" s="31" t="str">
        <f t="shared" si="37"/>
        <v/>
      </c>
      <c r="AD234" s="32"/>
    </row>
    <row r="235" spans="1:30" ht="14.1" customHeight="1" x14ac:dyDescent="0.25">
      <c r="A235" s="3">
        <v>37</v>
      </c>
      <c r="B235" s="376"/>
      <c r="C235" s="373"/>
      <c r="D235" s="373"/>
      <c r="E235" s="373"/>
      <c r="F235" s="373"/>
      <c r="G235" s="373"/>
      <c r="H235" s="373"/>
      <c r="I235" s="373"/>
      <c r="J235" s="373"/>
      <c r="K235" s="373"/>
      <c r="L235" s="373"/>
      <c r="M235" s="377"/>
      <c r="O235" s="14"/>
      <c r="S235" s="1" t="s">
        <v>285</v>
      </c>
      <c r="Y235" s="15"/>
      <c r="AA235" s="2" t="s">
        <v>286</v>
      </c>
      <c r="AB235" s="30"/>
      <c r="AC235" s="31" t="str">
        <f t="shared" si="37"/>
        <v/>
      </c>
      <c r="AD235" s="32"/>
    </row>
    <row r="236" spans="1:30" ht="14.1" customHeight="1" x14ac:dyDescent="0.25">
      <c r="A236" s="3">
        <v>38</v>
      </c>
      <c r="B236" s="376"/>
      <c r="C236" s="373"/>
      <c r="D236" s="373"/>
      <c r="E236" s="373"/>
      <c r="F236" s="373"/>
      <c r="G236" s="373"/>
      <c r="H236" s="373"/>
      <c r="I236" s="373"/>
      <c r="J236" s="373"/>
      <c r="K236" s="373"/>
      <c r="L236" s="373"/>
      <c r="M236" s="377"/>
      <c r="O236" s="14"/>
      <c r="Q236" s="1" t="s">
        <v>168</v>
      </c>
      <c r="R236" s="1" t="s">
        <v>169</v>
      </c>
      <c r="S236" s="1" t="s">
        <v>170</v>
      </c>
      <c r="T236" s="1" t="s">
        <v>287</v>
      </c>
      <c r="U236" s="1" t="s">
        <v>8</v>
      </c>
      <c r="W236" s="167" t="s">
        <v>288</v>
      </c>
      <c r="X236" s="56"/>
      <c r="Y236" s="15"/>
      <c r="AA236" s="2" t="s">
        <v>289</v>
      </c>
      <c r="AB236" s="30"/>
      <c r="AC236" s="31" t="str">
        <f t="shared" si="37"/>
        <v/>
      </c>
      <c r="AD236" s="32"/>
    </row>
    <row r="237" spans="1:30" ht="14.1" customHeight="1" x14ac:dyDescent="0.25">
      <c r="A237" s="3">
        <v>39</v>
      </c>
      <c r="B237" s="376"/>
      <c r="C237" s="373"/>
      <c r="D237" s="373"/>
      <c r="E237" s="373"/>
      <c r="F237" s="373"/>
      <c r="G237" s="373"/>
      <c r="H237" s="373"/>
      <c r="I237" s="373"/>
      <c r="J237" s="373"/>
      <c r="K237" s="373"/>
      <c r="L237" s="373"/>
      <c r="M237" s="377"/>
      <c r="O237" s="14"/>
      <c r="P237" s="168" t="s">
        <v>290</v>
      </c>
      <c r="Q237" s="169">
        <f>IF(AND(Q110="",T110=""),"",IF($O$101=1,Q110,IF(AND($O$102=1,W110&lt;&gt;""),W110,IF(T110&lt;&gt;"",T110,IF(Q110&lt;&gt;"",Q110,"")))))</f>
        <v>0</v>
      </c>
      <c r="R237" s="169">
        <f>IF(AND(R110="",U110=""),"",IF($O$101=1,R110,IF(AND($O$102=1,X110&lt;&gt;""),X110,IF(U110&lt;&gt;"",U110,IF(R110&lt;&gt;"",R110,"")))))</f>
        <v>0</v>
      </c>
      <c r="S237" s="170">
        <f>IF(AND(S110="",V110=""),"",IF($O$101=1,S110,IF(AND($O$102=1,Y110&lt;&gt;""),Y110,IF(V110&lt;&gt;"",V110,IF(S110&lt;&gt;"",S110,"")))))</f>
        <v>0</v>
      </c>
      <c r="T237" s="100">
        <v>0</v>
      </c>
      <c r="U237" s="104" t="str">
        <f>IF(AB143="","",AB143)</f>
        <v/>
      </c>
      <c r="W237" s="171" t="str">
        <f>IF(T237="NA","NA",IF(OR(S237="",T237=""),"TBD",IF(T237&lt;=2*S237,"YES","NO")))</f>
        <v>YES</v>
      </c>
      <c r="X237" s="56"/>
      <c r="Y237" s="15"/>
      <c r="AA237" s="2" t="s">
        <v>291</v>
      </c>
      <c r="AB237" s="30"/>
      <c r="AC237" s="31" t="str">
        <f t="shared" si="37"/>
        <v/>
      </c>
      <c r="AD237" s="32"/>
    </row>
    <row r="238" spans="1:30" ht="14.1" customHeight="1" x14ac:dyDescent="0.25">
      <c r="A238" s="3">
        <v>40</v>
      </c>
      <c r="B238" s="376"/>
      <c r="C238" s="373"/>
      <c r="D238" s="373"/>
      <c r="E238" s="373"/>
      <c r="F238" s="373"/>
      <c r="G238" s="373"/>
      <c r="H238" s="373"/>
      <c r="I238" s="373"/>
      <c r="J238" s="373"/>
      <c r="K238" s="373"/>
      <c r="L238" s="373"/>
      <c r="M238" s="377"/>
      <c r="O238" s="14"/>
      <c r="P238" s="56"/>
      <c r="Q238" s="56"/>
      <c r="R238" s="56"/>
      <c r="S238" s="56" t="s">
        <v>292</v>
      </c>
      <c r="T238" s="56" t="s">
        <v>293</v>
      </c>
      <c r="U238" s="56" t="s">
        <v>292</v>
      </c>
      <c r="V238" s="56" t="s">
        <v>293</v>
      </c>
      <c r="W238" s="56" t="s">
        <v>292</v>
      </c>
      <c r="X238" s="56" t="s">
        <v>293</v>
      </c>
      <c r="Y238" s="15"/>
      <c r="AA238" s="2" t="s">
        <v>294</v>
      </c>
      <c r="AB238" s="30"/>
      <c r="AC238" s="31" t="str">
        <f t="shared" si="37"/>
        <v/>
      </c>
      <c r="AD238" s="32"/>
    </row>
    <row r="239" spans="1:30" ht="14.1" customHeight="1" x14ac:dyDescent="0.25">
      <c r="A239" s="3">
        <v>41</v>
      </c>
      <c r="B239" s="376"/>
      <c r="C239" s="373"/>
      <c r="D239" s="373"/>
      <c r="E239" s="373"/>
      <c r="F239" s="373"/>
      <c r="G239" s="373"/>
      <c r="H239" s="373"/>
      <c r="I239" s="373"/>
      <c r="J239" s="373"/>
      <c r="K239" s="373"/>
      <c r="L239" s="373"/>
      <c r="M239" s="377"/>
      <c r="O239" s="133"/>
      <c r="P239" s="56"/>
      <c r="Q239" s="56"/>
      <c r="R239" s="56"/>
      <c r="S239" s="56" t="s">
        <v>259</v>
      </c>
      <c r="T239" s="56" t="s">
        <v>259</v>
      </c>
      <c r="U239" s="56" t="s">
        <v>287</v>
      </c>
      <c r="V239" s="56" t="s">
        <v>287</v>
      </c>
      <c r="W239" s="56" t="s">
        <v>287</v>
      </c>
      <c r="X239" s="56" t="s">
        <v>287</v>
      </c>
      <c r="Y239" s="15"/>
      <c r="AA239" s="2" t="s">
        <v>295</v>
      </c>
      <c r="AB239" s="30"/>
      <c r="AC239" s="31" t="str">
        <f t="shared" si="37"/>
        <v/>
      </c>
      <c r="AD239" s="32"/>
    </row>
    <row r="240" spans="1:30" ht="14.1" customHeight="1" x14ac:dyDescent="0.25">
      <c r="A240" s="3">
        <v>42</v>
      </c>
      <c r="B240" s="376"/>
      <c r="C240" s="373"/>
      <c r="D240" s="373"/>
      <c r="E240" s="373"/>
      <c r="F240" s="373"/>
      <c r="G240" s="373"/>
      <c r="H240" s="373"/>
      <c r="I240" s="373"/>
      <c r="J240" s="373"/>
      <c r="K240" s="373"/>
      <c r="L240" s="373"/>
      <c r="M240" s="377"/>
      <c r="O240" s="612" t="s">
        <v>296</v>
      </c>
      <c r="P240" s="172" t="s">
        <v>297</v>
      </c>
      <c r="Q240" s="173">
        <f>IF(Q237="","",Q237)</f>
        <v>0</v>
      </c>
      <c r="R240" s="173">
        <f>IF(R237="","",R237)</f>
        <v>0</v>
      </c>
      <c r="S240" s="87"/>
      <c r="T240" s="87"/>
      <c r="U240" s="174" t="str">
        <f t="shared" ref="U240:V243" si="38">IF(S240="","",S240*60)</f>
        <v/>
      </c>
      <c r="V240" s="174" t="str">
        <f t="shared" si="38"/>
        <v/>
      </c>
      <c r="W240" s="175" t="str">
        <f>IF(AB144="","",AB144)</f>
        <v/>
      </c>
      <c r="X240" s="176" t="str">
        <f>IF(AB146="","",AB146)</f>
        <v/>
      </c>
      <c r="Y240" s="15"/>
      <c r="AA240" s="25" t="s">
        <v>298</v>
      </c>
      <c r="AB240" s="30"/>
      <c r="AC240" s="31" t="str">
        <f t="shared" si="37"/>
        <v/>
      </c>
      <c r="AD240" s="32" t="str">
        <f>IF(Q371="","",Q371)</f>
        <v/>
      </c>
    </row>
    <row r="241" spans="1:30" ht="14.1" customHeight="1" x14ac:dyDescent="0.25">
      <c r="A241" s="3">
        <v>43</v>
      </c>
      <c r="B241" s="376"/>
      <c r="C241" s="373"/>
      <c r="D241" s="373"/>
      <c r="E241" s="373"/>
      <c r="F241" s="373"/>
      <c r="G241" s="373"/>
      <c r="H241" s="373"/>
      <c r="I241" s="373"/>
      <c r="J241" s="373"/>
      <c r="K241" s="373"/>
      <c r="L241" s="373"/>
      <c r="M241" s="377"/>
      <c r="O241" s="612"/>
      <c r="P241" s="177" t="s">
        <v>299</v>
      </c>
      <c r="Q241" s="178">
        <f>IF(Q237="","",Q237)</f>
        <v>0</v>
      </c>
      <c r="R241" s="178">
        <f>IF(R237="","",R237)</f>
        <v>0</v>
      </c>
      <c r="S241" s="96"/>
      <c r="T241" s="96"/>
      <c r="U241" s="179" t="str">
        <f t="shared" si="38"/>
        <v/>
      </c>
      <c r="V241" s="179" t="str">
        <f t="shared" si="38"/>
        <v/>
      </c>
      <c r="W241" s="180" t="str">
        <f>IF(AB145="","",AB145)</f>
        <v/>
      </c>
      <c r="X241" s="181" t="str">
        <f>IF(AB147="","",AB147)</f>
        <v/>
      </c>
      <c r="Y241" s="15"/>
      <c r="AB241" s="74"/>
      <c r="AC241" s="56"/>
      <c r="AD241" s="74"/>
    </row>
    <row r="242" spans="1:30" ht="14.1" customHeight="1" x14ac:dyDescent="0.25">
      <c r="A242" s="3">
        <v>44</v>
      </c>
      <c r="B242" s="376"/>
      <c r="C242" s="373"/>
      <c r="D242" s="373"/>
      <c r="E242" s="373"/>
      <c r="F242" s="373"/>
      <c r="G242" s="373"/>
      <c r="H242" s="373"/>
      <c r="I242" s="373"/>
      <c r="J242" s="373"/>
      <c r="K242" s="373"/>
      <c r="L242" s="373"/>
      <c r="M242" s="377"/>
      <c r="O242" s="612" t="str">
        <f>IF($U$137=1,"Scatter - Pulse", "Scatter – Digital acq")</f>
        <v>Scatter – Digital acq</v>
      </c>
      <c r="P242" s="172" t="s">
        <v>297</v>
      </c>
      <c r="Q242" s="173">
        <f>IF(AND(Q142="",T142=""),"",IF($O$101=1,Q142,IF(AND($O$102=1,W142&lt;&gt;""),W142,IF(T142&lt;&gt;"",T142,IF(Q142&lt;&gt;"",Q142,"")))))</f>
        <v>0</v>
      </c>
      <c r="R242" s="173">
        <f>IF(AND(R142="",U142=""),"",IF($O$101=1,R142,IF(AND($O$102=1,X142&lt;&gt;""),X142,IF(U142&lt;&gt;"",U142,IF(R142&lt;&gt;"",R142,"")))))</f>
        <v>0</v>
      </c>
      <c r="S242" s="87"/>
      <c r="T242" s="87"/>
      <c r="U242" s="174" t="str">
        <f t="shared" si="38"/>
        <v/>
      </c>
      <c r="V242" s="174" t="str">
        <f t="shared" si="38"/>
        <v/>
      </c>
      <c r="W242" s="175" t="str">
        <f>IF(AB149="","",AB149)</f>
        <v/>
      </c>
      <c r="X242" s="176" t="str">
        <f>IF(AB151="","",AB151)</f>
        <v/>
      </c>
      <c r="Y242" s="15"/>
      <c r="AB242" s="30"/>
      <c r="AC242" s="31" t="str">
        <f>IF(AB242&lt;&gt;AD242,"Change","")</f>
        <v/>
      </c>
      <c r="AD242" s="32" t="str">
        <f>IF(Q373="","",Q373)</f>
        <v/>
      </c>
    </row>
    <row r="243" spans="1:30" ht="14.1" customHeight="1" x14ac:dyDescent="0.25">
      <c r="A243" s="3">
        <v>45</v>
      </c>
      <c r="B243" s="376"/>
      <c r="C243" s="373"/>
      <c r="D243" s="373"/>
      <c r="E243" s="373"/>
      <c r="F243" s="373"/>
      <c r="G243" s="373"/>
      <c r="H243" s="373"/>
      <c r="I243" s="373"/>
      <c r="J243" s="373"/>
      <c r="K243" s="373"/>
      <c r="L243" s="373"/>
      <c r="M243" s="377"/>
      <c r="O243" s="612"/>
      <c r="P243" s="177" t="s">
        <v>299</v>
      </c>
      <c r="Q243" s="178">
        <f>IF(Q242="","",Q242)</f>
        <v>0</v>
      </c>
      <c r="R243" s="178">
        <f>IF(R242="","",R242)</f>
        <v>0</v>
      </c>
      <c r="S243" s="96"/>
      <c r="T243" s="96"/>
      <c r="U243" s="179" t="str">
        <f t="shared" si="38"/>
        <v/>
      </c>
      <c r="V243" s="179" t="str">
        <f t="shared" si="38"/>
        <v/>
      </c>
      <c r="W243" s="180" t="str">
        <f>IF(AB150="","",AB150)</f>
        <v/>
      </c>
      <c r="X243" s="181" t="str">
        <f>IF(AB152="","",AB152)</f>
        <v/>
      </c>
      <c r="Y243" s="15"/>
      <c r="AB243" s="74"/>
      <c r="AC243" s="56"/>
      <c r="AD243" s="74"/>
    </row>
    <row r="244" spans="1:30" ht="14.1" customHeight="1" x14ac:dyDescent="0.25">
      <c r="A244" s="3">
        <v>46</v>
      </c>
      <c r="B244" s="376"/>
      <c r="C244" s="373"/>
      <c r="D244" s="373"/>
      <c r="E244" s="373"/>
      <c r="F244" s="373"/>
      <c r="G244" s="373"/>
      <c r="H244" s="373"/>
      <c r="I244" s="373"/>
      <c r="J244" s="373"/>
      <c r="K244" s="373"/>
      <c r="L244" s="373"/>
      <c r="M244" s="377"/>
      <c r="O244" s="14"/>
      <c r="P244" s="18" t="s">
        <v>300</v>
      </c>
      <c r="Y244" s="15"/>
      <c r="AB244" s="30"/>
      <c r="AC244" s="31" t="str">
        <f>IF(AB244&lt;&gt;AD244,"Change","")</f>
        <v/>
      </c>
      <c r="AD244" s="32" t="str">
        <f>IF(Q375="","",Q375)</f>
        <v/>
      </c>
    </row>
    <row r="245" spans="1:30" ht="14.1" customHeight="1" x14ac:dyDescent="0.25">
      <c r="A245" s="3">
        <v>47</v>
      </c>
      <c r="B245" s="376"/>
      <c r="C245" s="373"/>
      <c r="D245" s="373"/>
      <c r="E245" s="373"/>
      <c r="F245" s="373"/>
      <c r="G245" s="373"/>
      <c r="H245" s="373"/>
      <c r="I245" s="373"/>
      <c r="J245" s="373"/>
      <c r="K245" s="373"/>
      <c r="L245" s="373"/>
      <c r="M245" s="377"/>
      <c r="O245" s="14"/>
      <c r="P245" s="18" t="s">
        <v>301</v>
      </c>
      <c r="Y245" s="15"/>
      <c r="AB245" s="74"/>
      <c r="AD245" s="74"/>
    </row>
    <row r="246" spans="1:30" ht="14.1" customHeight="1" x14ac:dyDescent="0.25">
      <c r="A246" s="3">
        <v>48</v>
      </c>
      <c r="B246" s="376"/>
      <c r="C246" s="373"/>
      <c r="D246" s="373"/>
      <c r="E246" s="373"/>
      <c r="F246" s="373"/>
      <c r="G246" s="373"/>
      <c r="H246" s="373"/>
      <c r="I246" s="373"/>
      <c r="J246" s="373"/>
      <c r="K246" s="373"/>
      <c r="L246" s="373"/>
      <c r="M246" s="377"/>
      <c r="O246" s="14"/>
      <c r="P246" s="25" t="s">
        <v>188</v>
      </c>
      <c r="Q246" s="18" t="s">
        <v>302</v>
      </c>
      <c r="Y246" s="15"/>
      <c r="AB246" s="30"/>
      <c r="AC246" s="31" t="str">
        <f>IF(AB246&lt;&gt;AD246,"Change","")</f>
        <v/>
      </c>
      <c r="AD246" s="32" t="str">
        <f>IF(Q377="","",Q377)</f>
        <v/>
      </c>
    </row>
    <row r="247" spans="1:30" ht="14.1" customHeight="1" x14ac:dyDescent="0.25">
      <c r="A247" s="3">
        <v>49</v>
      </c>
      <c r="B247" s="376"/>
      <c r="C247" s="373"/>
      <c r="D247" s="373"/>
      <c r="E247" s="373"/>
      <c r="F247" s="373"/>
      <c r="G247" s="373"/>
      <c r="H247" s="373"/>
      <c r="I247" s="373"/>
      <c r="J247" s="373"/>
      <c r="K247" s="373"/>
      <c r="L247" s="373"/>
      <c r="M247" s="377"/>
      <c r="O247" s="14"/>
      <c r="P247" s="2" t="s">
        <v>191</v>
      </c>
      <c r="Q247" s="109" t="str">
        <f>IF(Q249&lt;&gt;"",Q249,IF(AB236="","",AB236))</f>
        <v/>
      </c>
      <c r="R247" s="69"/>
      <c r="S247" s="69"/>
      <c r="T247" s="69"/>
      <c r="U247" s="69"/>
      <c r="V247" s="69"/>
      <c r="W247" s="69"/>
      <c r="X247" s="69"/>
      <c r="Y247" s="15"/>
      <c r="AB247" s="74"/>
      <c r="AD247" s="74"/>
    </row>
    <row r="248" spans="1:30" ht="14.1" customHeight="1" x14ac:dyDescent="0.25">
      <c r="A248" s="3">
        <v>50</v>
      </c>
      <c r="B248" s="376"/>
      <c r="C248" s="373"/>
      <c r="D248" s="373"/>
      <c r="E248" s="373"/>
      <c r="F248" s="373"/>
      <c r="G248" s="373"/>
      <c r="H248" s="373"/>
      <c r="I248" s="373"/>
      <c r="J248" s="373"/>
      <c r="K248" s="373"/>
      <c r="L248" s="373"/>
      <c r="M248" s="377"/>
      <c r="O248" s="14"/>
      <c r="P248" s="110" t="s">
        <v>192</v>
      </c>
      <c r="Q248" s="111"/>
      <c r="R248" s="112">
        <f>LEN(Q247)</f>
        <v>0</v>
      </c>
      <c r="S248" s="113"/>
      <c r="T248" s="113"/>
      <c r="U248" s="113"/>
      <c r="V248" s="113"/>
      <c r="W248" s="113"/>
      <c r="X248" s="113"/>
      <c r="Y248" s="15"/>
      <c r="AB248" s="30"/>
      <c r="AC248" s="31" t="str">
        <f>IF(AB248&lt;&gt;AD248,"Change","")</f>
        <v/>
      </c>
      <c r="AD248" s="32" t="str">
        <f>IF(Q379="","",Q379)</f>
        <v/>
      </c>
    </row>
    <row r="249" spans="1:30" ht="14.1" customHeight="1" x14ac:dyDescent="0.25">
      <c r="A249" s="3">
        <v>51</v>
      </c>
      <c r="B249" s="376"/>
      <c r="C249" s="373"/>
      <c r="D249" s="373"/>
      <c r="E249" s="373"/>
      <c r="F249" s="373"/>
      <c r="G249" s="373"/>
      <c r="H249" s="373"/>
      <c r="I249" s="373"/>
      <c r="J249" s="373"/>
      <c r="K249" s="373"/>
      <c r="L249" s="373"/>
      <c r="M249" s="377"/>
      <c r="O249" s="14"/>
      <c r="P249" s="2" t="s">
        <v>194</v>
      </c>
      <c r="Q249" s="115"/>
      <c r="R249" s="113"/>
      <c r="S249" s="113"/>
      <c r="T249" s="113"/>
      <c r="U249" s="113"/>
      <c r="V249" s="113"/>
      <c r="W249" s="113"/>
      <c r="X249" s="113"/>
      <c r="Y249" s="15"/>
      <c r="AB249" s="74"/>
      <c r="AD249" s="74"/>
    </row>
    <row r="250" spans="1:30" ht="14.1" customHeight="1" x14ac:dyDescent="0.25">
      <c r="A250" s="3">
        <v>52</v>
      </c>
      <c r="B250" s="376"/>
      <c r="C250" s="373"/>
      <c r="D250" s="373"/>
      <c r="E250" s="373"/>
      <c r="F250" s="373"/>
      <c r="G250" s="373"/>
      <c r="H250" s="373"/>
      <c r="I250" s="373"/>
      <c r="J250" s="373"/>
      <c r="K250" s="373"/>
      <c r="L250" s="373"/>
      <c r="M250" s="377"/>
      <c r="O250" s="22"/>
      <c r="P250" s="23"/>
      <c r="Q250" s="23"/>
      <c r="R250" s="23"/>
      <c r="S250" s="23"/>
      <c r="T250" s="23"/>
      <c r="U250" s="23"/>
      <c r="V250" s="23"/>
      <c r="W250" s="23"/>
      <c r="X250" s="23"/>
      <c r="Y250" s="24"/>
      <c r="AB250" s="30"/>
      <c r="AC250" s="31" t="str">
        <f>IF(AB250&lt;&gt;AD250,"Change","")</f>
        <v/>
      </c>
      <c r="AD250" s="32" t="str">
        <f>IF(Q381="","",Q381)</f>
        <v/>
      </c>
    </row>
    <row r="251" spans="1:30" ht="14.1" customHeight="1" x14ac:dyDescent="0.25">
      <c r="A251" s="3">
        <v>53</v>
      </c>
      <c r="B251" s="376"/>
      <c r="C251" s="373"/>
      <c r="D251" s="373"/>
      <c r="E251" s="373"/>
      <c r="F251" s="373"/>
      <c r="G251" s="373"/>
      <c r="H251" s="373"/>
      <c r="I251" s="373"/>
      <c r="J251" s="373"/>
      <c r="K251" s="373"/>
      <c r="L251" s="373"/>
      <c r="M251" s="377"/>
      <c r="O251" s="118" t="s">
        <v>303</v>
      </c>
      <c r="P251" s="8"/>
      <c r="Q251" s="8"/>
      <c r="R251" s="8"/>
      <c r="S251" s="8"/>
      <c r="T251" s="8"/>
      <c r="U251" s="8"/>
      <c r="V251" s="8"/>
      <c r="W251" s="8"/>
      <c r="X251" s="8"/>
      <c r="Y251" s="9"/>
      <c r="AB251" s="74"/>
      <c r="AD251" s="74"/>
    </row>
    <row r="252" spans="1:30" ht="14.1" customHeight="1" x14ac:dyDescent="0.25">
      <c r="A252" s="3">
        <v>54</v>
      </c>
      <c r="B252" s="376"/>
      <c r="C252" s="373"/>
      <c r="D252" s="373"/>
      <c r="E252" s="373"/>
      <c r="F252" s="373"/>
      <c r="G252" s="373"/>
      <c r="H252" s="373"/>
      <c r="I252" s="373"/>
      <c r="J252" s="373"/>
      <c r="K252" s="373"/>
      <c r="L252" s="373"/>
      <c r="M252" s="377"/>
      <c r="O252" s="182">
        <v>30</v>
      </c>
      <c r="P252" s="18" t="s">
        <v>304</v>
      </c>
      <c r="Q252" s="183"/>
      <c r="R252" s="183"/>
      <c r="S252" s="184"/>
      <c r="T252" s="18" t="s">
        <v>305</v>
      </c>
      <c r="U252" s="183"/>
      <c r="V252" s="183"/>
      <c r="W252" s="183"/>
      <c r="X252" s="183"/>
      <c r="Y252" s="185"/>
      <c r="AB252" s="30"/>
      <c r="AC252" s="31" t="str">
        <f>IF(AB252&lt;&gt;AD252,"Change","")</f>
        <v/>
      </c>
      <c r="AD252" s="32" t="str">
        <f>IF(Q383="","",Q383)</f>
        <v/>
      </c>
    </row>
    <row r="253" spans="1:30" ht="14.1" customHeight="1" x14ac:dyDescent="0.25">
      <c r="A253" s="3">
        <v>55</v>
      </c>
      <c r="B253" s="376"/>
      <c r="C253" s="373"/>
      <c r="D253" s="373"/>
      <c r="E253" s="373"/>
      <c r="F253" s="373"/>
      <c r="G253" s="373"/>
      <c r="H253" s="373"/>
      <c r="I253" s="373"/>
      <c r="J253" s="373"/>
      <c r="K253" s="373"/>
      <c r="L253" s="373"/>
      <c r="M253" s="377"/>
      <c r="O253" s="182">
        <v>30</v>
      </c>
      <c r="P253" s="18" t="s">
        <v>306</v>
      </c>
      <c r="Q253" s="183"/>
      <c r="R253" s="183"/>
      <c r="S253" s="184"/>
      <c r="T253" s="1" t="s">
        <v>307</v>
      </c>
      <c r="U253" s="183"/>
      <c r="V253" s="183"/>
      <c r="W253" s="183"/>
      <c r="X253" s="183"/>
      <c r="Y253" s="185"/>
      <c r="AB253" s="74"/>
      <c r="AD253" s="74"/>
    </row>
    <row r="254" spans="1:30" ht="14.1" customHeight="1" x14ac:dyDescent="0.25">
      <c r="A254" s="3">
        <v>56</v>
      </c>
      <c r="B254" s="376"/>
      <c r="C254" s="373"/>
      <c r="D254" s="373"/>
      <c r="E254" s="373"/>
      <c r="F254" s="373"/>
      <c r="G254" s="373"/>
      <c r="H254" s="373"/>
      <c r="I254" s="373"/>
      <c r="J254" s="373"/>
      <c r="K254" s="373"/>
      <c r="L254" s="373"/>
      <c r="M254" s="377"/>
      <c r="O254" s="186">
        <f>IF(OR(O252=0,O253=0),"",SQRT((O252^2)/(O253^2)))</f>
        <v>1</v>
      </c>
      <c r="P254" s="18" t="s">
        <v>308</v>
      </c>
      <c r="Q254" s="183"/>
      <c r="R254" s="183"/>
      <c r="S254" s="184"/>
      <c r="T254" s="1" t="s">
        <v>309</v>
      </c>
      <c r="U254" s="183"/>
      <c r="V254" s="183"/>
      <c r="W254" s="183"/>
      <c r="X254" s="183"/>
      <c r="Y254" s="185"/>
      <c r="AB254" s="30"/>
      <c r="AC254" s="31" t="str">
        <f>IF(AB254&lt;&gt;AD254,"Change","")</f>
        <v/>
      </c>
      <c r="AD254" s="32" t="str">
        <f>IF(Q385="","",Q385)</f>
        <v/>
      </c>
    </row>
    <row r="255" spans="1:30" ht="14.1" customHeight="1" x14ac:dyDescent="0.25">
      <c r="A255" s="3">
        <v>57</v>
      </c>
      <c r="B255" s="376"/>
      <c r="C255" s="373"/>
      <c r="D255" s="373"/>
      <c r="E255" s="373"/>
      <c r="F255" s="373"/>
      <c r="G255" s="373"/>
      <c r="H255" s="373"/>
      <c r="I255" s="373"/>
      <c r="J255" s="373"/>
      <c r="K255" s="373"/>
      <c r="L255" s="373"/>
      <c r="M255" s="377"/>
      <c r="O255" s="182">
        <v>1</v>
      </c>
      <c r="P255" s="18" t="s">
        <v>310</v>
      </c>
      <c r="Q255" s="56"/>
      <c r="R255" s="56"/>
      <c r="S255" s="56"/>
      <c r="T255" s="56"/>
      <c r="U255" s="56"/>
      <c r="V255" s="56"/>
      <c r="X255" s="56"/>
      <c r="Y255" s="15"/>
      <c r="AB255" s="74"/>
      <c r="AD255" s="18"/>
    </row>
    <row r="256" spans="1:30" ht="14.1" customHeight="1" x14ac:dyDescent="0.25">
      <c r="A256" s="3">
        <v>58</v>
      </c>
      <c r="B256" s="376"/>
      <c r="C256" s="373"/>
      <c r="D256" s="373"/>
      <c r="E256" s="373"/>
      <c r="F256" s="373"/>
      <c r="G256" s="373"/>
      <c r="H256" s="373"/>
      <c r="I256" s="373"/>
      <c r="J256" s="373"/>
      <c r="K256" s="373"/>
      <c r="L256" s="373"/>
      <c r="M256" s="377"/>
      <c r="O256" s="14"/>
      <c r="Q256" s="1" t="s">
        <v>311</v>
      </c>
      <c r="R256" s="1" t="s">
        <v>312</v>
      </c>
      <c r="T256" s="1" t="s">
        <v>313</v>
      </c>
      <c r="U256" s="1" t="s">
        <v>314</v>
      </c>
      <c r="W256" s="1" t="s">
        <v>268</v>
      </c>
      <c r="X256" s="1" t="s">
        <v>269</v>
      </c>
      <c r="Y256" s="187"/>
      <c r="AB256" s="30"/>
      <c r="AC256" s="31" t="str">
        <f>IF(AB256&lt;&gt;AD256,"Change","")</f>
        <v/>
      </c>
      <c r="AD256" s="32" t="str">
        <f>IF(Q387="","",Q387)</f>
        <v/>
      </c>
    </row>
    <row r="257" spans="1:30" ht="14.1" customHeight="1" x14ac:dyDescent="0.25">
      <c r="A257" s="3">
        <v>59</v>
      </c>
      <c r="B257" s="376"/>
      <c r="C257" s="373"/>
      <c r="D257" s="373"/>
      <c r="E257" s="373"/>
      <c r="F257" s="373"/>
      <c r="G257" s="373"/>
      <c r="H257" s="373"/>
      <c r="I257" s="373"/>
      <c r="J257" s="373"/>
      <c r="K257" s="373"/>
      <c r="L257" s="373"/>
      <c r="M257" s="377"/>
      <c r="O257" s="14" t="s">
        <v>230</v>
      </c>
      <c r="P257" s="1" t="s">
        <v>169</v>
      </c>
      <c r="Q257" s="613" t="s">
        <v>315</v>
      </c>
      <c r="R257" s="613"/>
      <c r="S257" s="1" t="s">
        <v>316</v>
      </c>
      <c r="T257" s="613" t="s">
        <v>317</v>
      </c>
      <c r="U257" s="613"/>
      <c r="V257" s="1" t="s">
        <v>318</v>
      </c>
      <c r="W257" s="1" t="s">
        <v>170</v>
      </c>
      <c r="X257" s="1" t="s">
        <v>170</v>
      </c>
      <c r="Y257" s="187"/>
      <c r="AB257" s="74"/>
      <c r="AD257" s="74"/>
    </row>
    <row r="258" spans="1:30" ht="14.1" customHeight="1" x14ac:dyDescent="0.25">
      <c r="A258" s="3">
        <v>60</v>
      </c>
      <c r="B258" s="376"/>
      <c r="C258" s="373"/>
      <c r="D258" s="373"/>
      <c r="E258" s="373"/>
      <c r="F258" s="373"/>
      <c r="G258" s="373"/>
      <c r="H258" s="373"/>
      <c r="I258" s="373"/>
      <c r="J258" s="373"/>
      <c r="K258" s="373"/>
      <c r="L258" s="373"/>
      <c r="M258" s="377"/>
      <c r="O258" s="86"/>
      <c r="P258" s="87"/>
      <c r="Q258" s="86"/>
      <c r="R258" s="87"/>
      <c r="S258" s="188" t="str">
        <f t="shared" ref="S258:S265" si="39">IF(OR(Q258="",R258=""),"",R258-Q258)</f>
        <v/>
      </c>
      <c r="T258" s="87"/>
      <c r="U258" s="87"/>
      <c r="V258" s="188" t="str">
        <f t="shared" ref="V258:V265" si="40">IF(OR(T258="",U258=""),"",U258-T258)</f>
        <v/>
      </c>
      <c r="W258" s="86"/>
      <c r="X258" s="88"/>
      <c r="Y258" s="187"/>
      <c r="AB258" s="30"/>
      <c r="AC258" s="31" t="str">
        <f>IF(AB258&lt;&gt;AD258,"Change","")</f>
        <v/>
      </c>
      <c r="AD258" s="32" t="str">
        <f>IF(Q389="","",Q389)</f>
        <v/>
      </c>
    </row>
    <row r="259" spans="1:30" ht="14.1" customHeight="1" x14ac:dyDescent="0.25">
      <c r="A259" s="3">
        <v>61</v>
      </c>
      <c r="B259" s="376"/>
      <c r="C259" s="373"/>
      <c r="D259" s="373"/>
      <c r="E259" s="373"/>
      <c r="F259" s="373"/>
      <c r="G259" s="373"/>
      <c r="H259" s="373"/>
      <c r="I259" s="373"/>
      <c r="J259" s="373"/>
      <c r="K259" s="373"/>
      <c r="L259" s="373"/>
      <c r="M259" s="377"/>
      <c r="O259" s="90"/>
      <c r="P259" s="91"/>
      <c r="Q259" s="90"/>
      <c r="R259" s="91"/>
      <c r="S259" s="189" t="str">
        <f t="shared" si="39"/>
        <v/>
      </c>
      <c r="T259" s="91"/>
      <c r="U259" s="91"/>
      <c r="V259" s="189" t="str">
        <f t="shared" si="40"/>
        <v/>
      </c>
      <c r="W259" s="90"/>
      <c r="X259" s="92"/>
      <c r="Y259" s="187"/>
      <c r="AB259" s="74"/>
      <c r="AD259" s="74"/>
    </row>
    <row r="260" spans="1:30" ht="14.1" customHeight="1" x14ac:dyDescent="0.25">
      <c r="A260" s="3">
        <v>62</v>
      </c>
      <c r="B260" s="376"/>
      <c r="C260" s="373"/>
      <c r="D260" s="373"/>
      <c r="E260" s="373"/>
      <c r="F260" s="373"/>
      <c r="G260" s="373"/>
      <c r="H260" s="373"/>
      <c r="I260" s="373"/>
      <c r="J260" s="373"/>
      <c r="K260" s="373"/>
      <c r="L260" s="373"/>
      <c r="M260" s="377"/>
      <c r="O260" s="90"/>
      <c r="P260" s="91"/>
      <c r="Q260" s="90"/>
      <c r="R260" s="91"/>
      <c r="S260" s="189" t="str">
        <f t="shared" si="39"/>
        <v/>
      </c>
      <c r="T260" s="91"/>
      <c r="U260" s="91"/>
      <c r="V260" s="189" t="str">
        <f t="shared" si="40"/>
        <v/>
      </c>
      <c r="W260" s="90"/>
      <c r="X260" s="92"/>
      <c r="Y260" s="187"/>
      <c r="AB260" s="30"/>
      <c r="AC260" s="31" t="str">
        <f>IF(AB260&lt;&gt;AD260,"Change","")</f>
        <v/>
      </c>
      <c r="AD260" s="32" t="str">
        <f>IF(Q391="","",Q391)</f>
        <v/>
      </c>
    </row>
    <row r="261" spans="1:30" ht="14.1" customHeight="1" x14ac:dyDescent="0.25">
      <c r="A261" s="3">
        <v>63</v>
      </c>
      <c r="B261" s="376"/>
      <c r="C261" s="373"/>
      <c r="D261" s="373"/>
      <c r="E261" s="373"/>
      <c r="F261" s="373"/>
      <c r="G261" s="373"/>
      <c r="H261" s="373"/>
      <c r="I261" s="373"/>
      <c r="J261" s="373"/>
      <c r="K261" s="373"/>
      <c r="L261" s="373"/>
      <c r="M261" s="377"/>
      <c r="O261" s="90"/>
      <c r="P261" s="91"/>
      <c r="Q261" s="90"/>
      <c r="R261" s="91"/>
      <c r="S261" s="189" t="str">
        <f t="shared" si="39"/>
        <v/>
      </c>
      <c r="T261" s="91"/>
      <c r="U261" s="91"/>
      <c r="V261" s="189" t="str">
        <f t="shared" si="40"/>
        <v/>
      </c>
      <c r="W261" s="90"/>
      <c r="X261" s="92"/>
      <c r="Y261" s="187"/>
      <c r="AB261" s="74"/>
      <c r="AD261" s="74"/>
    </row>
    <row r="262" spans="1:30" ht="14.1" customHeight="1" x14ac:dyDescent="0.25">
      <c r="A262" s="3">
        <v>64</v>
      </c>
      <c r="B262" s="386"/>
      <c r="C262" s="387"/>
      <c r="D262" s="387"/>
      <c r="E262" s="387"/>
      <c r="F262" s="387"/>
      <c r="G262" s="387"/>
      <c r="H262" s="387"/>
      <c r="I262" s="387"/>
      <c r="J262" s="387"/>
      <c r="K262" s="387"/>
      <c r="L262" s="387"/>
      <c r="M262" s="388"/>
      <c r="O262" s="90"/>
      <c r="P262" s="91"/>
      <c r="Q262" s="90"/>
      <c r="R262" s="91"/>
      <c r="S262" s="189" t="str">
        <f t="shared" si="39"/>
        <v/>
      </c>
      <c r="T262" s="91"/>
      <c r="U262" s="91"/>
      <c r="V262" s="189" t="str">
        <f t="shared" si="40"/>
        <v/>
      </c>
      <c r="W262" s="90"/>
      <c r="X262" s="92"/>
      <c r="Y262" s="187"/>
      <c r="AB262" s="30"/>
      <c r="AC262" s="31" t="str">
        <f>IF(AB262&lt;&gt;AD262,"Change","")</f>
        <v/>
      </c>
      <c r="AD262" s="32" t="str">
        <f>IF(Q393="","",Q393)</f>
        <v/>
      </c>
    </row>
    <row r="263" spans="1:30" ht="14.1" customHeight="1" x14ac:dyDescent="0.25">
      <c r="A263" s="3">
        <v>65</v>
      </c>
      <c r="B263"/>
      <c r="C263" s="2" t="s">
        <v>10</v>
      </c>
      <c r="D263" s="68" t="str">
        <f>IF($P$7="","",$P$7)</f>
        <v/>
      </c>
      <c r="L263" s="2" t="s">
        <v>11</v>
      </c>
      <c r="M263" s="69" t="str">
        <f>IF($X$7="","",$X$7)</f>
        <v>Eugene Mah</v>
      </c>
      <c r="O263" s="90"/>
      <c r="P263" s="91"/>
      <c r="Q263" s="90"/>
      <c r="R263" s="91"/>
      <c r="S263" s="189" t="str">
        <f t="shared" si="39"/>
        <v/>
      </c>
      <c r="T263" s="91"/>
      <c r="U263" s="91"/>
      <c r="V263" s="189" t="str">
        <f t="shared" si="40"/>
        <v/>
      </c>
      <c r="W263" s="90"/>
      <c r="X263" s="92"/>
      <c r="Y263" s="187"/>
      <c r="AB263" s="74"/>
      <c r="AD263" s="74"/>
    </row>
    <row r="264" spans="1:30" ht="14.1" customHeight="1" x14ac:dyDescent="0.25">
      <c r="A264" s="3">
        <v>66</v>
      </c>
      <c r="B264"/>
      <c r="C264" s="2" t="s">
        <v>79</v>
      </c>
      <c r="D264" s="70" t="str">
        <f>IF($R$14="","",$R$14&amp;" Tube "&amp;$W$48)</f>
        <v/>
      </c>
      <c r="L264" s="2" t="s">
        <v>25</v>
      </c>
      <c r="M264" s="71" t="str">
        <f>IF($R$13="","",$R$13)</f>
        <v/>
      </c>
      <c r="O264" s="90"/>
      <c r="P264" s="91"/>
      <c r="Q264" s="90"/>
      <c r="R264" s="91"/>
      <c r="S264" s="189" t="str">
        <f t="shared" si="39"/>
        <v/>
      </c>
      <c r="T264" s="91"/>
      <c r="U264" s="91"/>
      <c r="V264" s="189" t="str">
        <f t="shared" si="40"/>
        <v/>
      </c>
      <c r="W264" s="90"/>
      <c r="X264" s="92"/>
      <c r="Y264" s="187"/>
      <c r="AB264" s="30"/>
      <c r="AC264" s="31" t="str">
        <f>IF(AB264&lt;&gt;AD264,"Change","")</f>
        <v/>
      </c>
      <c r="AD264" s="32" t="str">
        <f>IF(Q395="","",Q395)</f>
        <v/>
      </c>
    </row>
    <row r="265" spans="1:30" ht="14.1" customHeight="1" x14ac:dyDescent="0.25">
      <c r="A265" s="3">
        <v>1</v>
      </c>
      <c r="M265" s="72" t="str">
        <f>$H$2</f>
        <v>Medical University of South Carolina</v>
      </c>
      <c r="O265" s="95"/>
      <c r="P265" s="96"/>
      <c r="Q265" s="95"/>
      <c r="R265" s="96"/>
      <c r="S265" s="190" t="str">
        <f t="shared" si="39"/>
        <v/>
      </c>
      <c r="T265" s="96"/>
      <c r="U265" s="96"/>
      <c r="V265" s="190" t="str">
        <f t="shared" si="40"/>
        <v/>
      </c>
      <c r="W265" s="95"/>
      <c r="X265" s="97"/>
      <c r="Y265" s="187"/>
      <c r="AB265" s="74"/>
      <c r="AD265" s="74"/>
    </row>
    <row r="266" spans="1:30" ht="14.1" customHeight="1" x14ac:dyDescent="0.25">
      <c r="A266" s="3">
        <v>2</v>
      </c>
      <c r="H266" s="33" t="str">
        <f>$H$68</f>
        <v>Inspection Results</v>
      </c>
      <c r="M266" s="25" t="str">
        <f>$H$5</f>
        <v>Fluoroscopy System Compliance Inspection</v>
      </c>
      <c r="O266" s="191" t="s">
        <v>319</v>
      </c>
      <c r="P266" s="56"/>
      <c r="S266" s="2" t="s">
        <v>320</v>
      </c>
      <c r="T266" s="192"/>
      <c r="Y266" s="15"/>
      <c r="AB266" s="30"/>
      <c r="AC266" s="31" t="str">
        <f>IF(AB266&lt;&gt;AD266,"Change","")</f>
        <v/>
      </c>
      <c r="AD266" s="32" t="str">
        <f>IF(Q397="","",Q397)</f>
        <v/>
      </c>
    </row>
    <row r="267" spans="1:30" ht="14.1" customHeight="1" thickTop="1" thickBot="1" x14ac:dyDescent="0.3">
      <c r="A267" s="3">
        <v>3</v>
      </c>
      <c r="B267" s="348"/>
      <c r="C267" s="374" t="s">
        <v>321</v>
      </c>
      <c r="D267" s="349"/>
      <c r="E267" s="349"/>
      <c r="F267" s="349"/>
      <c r="G267" s="349"/>
      <c r="H267" s="349"/>
      <c r="I267" s="349"/>
      <c r="J267" s="349"/>
      <c r="K267" s="349"/>
      <c r="L267" s="349"/>
      <c r="M267" s="350"/>
      <c r="O267" s="14" t="s">
        <v>230</v>
      </c>
      <c r="P267" s="1" t="s">
        <v>169</v>
      </c>
      <c r="Q267" s="1" t="s">
        <v>317</v>
      </c>
      <c r="R267" s="1" t="s">
        <v>322</v>
      </c>
      <c r="S267" s="1" t="s">
        <v>315</v>
      </c>
      <c r="T267" s="1" t="s">
        <v>323</v>
      </c>
      <c r="U267"/>
      <c r="V267"/>
      <c r="W267" s="56"/>
      <c r="X267" s="56"/>
      <c r="Y267" s="15"/>
      <c r="AB267" s="74"/>
      <c r="AD267" s="74"/>
    </row>
    <row r="268" spans="1:30" ht="14.1" customHeight="1" x14ac:dyDescent="0.25">
      <c r="A268" s="3">
        <v>4</v>
      </c>
      <c r="B268" s="351"/>
      <c r="C268" s="449" t="str">
        <f t="shared" ref="C268:D270" si="41">O106</f>
        <v>Image</v>
      </c>
      <c r="D268" s="450" t="str">
        <f t="shared" si="41"/>
        <v>Acrylic</v>
      </c>
      <c r="E268" s="45"/>
      <c r="F268" s="45"/>
      <c r="G268" s="45"/>
      <c r="H268" s="45"/>
      <c r="I268" s="45"/>
      <c r="J268" s="45"/>
      <c r="K268" s="45"/>
      <c r="L268" s="45"/>
      <c r="M268" s="362"/>
      <c r="O268" s="194" t="str">
        <f t="shared" ref="O268:P275" si="42">IF(O258="","",O258)</f>
        <v/>
      </c>
      <c r="P268" s="195" t="str">
        <f t="shared" si="42"/>
        <v/>
      </c>
      <c r="Q268" s="195"/>
      <c r="R268" s="195"/>
      <c r="S268" s="195"/>
      <c r="T268" s="188"/>
      <c r="U268"/>
      <c r="V268"/>
      <c r="W268" s="56"/>
      <c r="X268" s="56"/>
      <c r="Y268" s="15"/>
      <c r="AB268" s="30"/>
      <c r="AC268" s="31" t="str">
        <f>IF(AB268&lt;&gt;AD268,"Change","")</f>
        <v/>
      </c>
      <c r="AD268" s="32" t="str">
        <f>IF(Q399="","",Q399)</f>
        <v/>
      </c>
    </row>
    <row r="269" spans="1:30" ht="14.1" customHeight="1" x14ac:dyDescent="0.25">
      <c r="A269" s="3">
        <v>5</v>
      </c>
      <c r="B269" s="351"/>
      <c r="C269" s="449" t="str">
        <f t="shared" si="41"/>
        <v>Mode</v>
      </c>
      <c r="D269" s="450" t="str">
        <f t="shared" si="41"/>
        <v>Attenuator</v>
      </c>
      <c r="E269" s="605" t="str">
        <f>Q107</f>
        <v>Auto 1</v>
      </c>
      <c r="F269" s="606"/>
      <c r="G269" s="606"/>
      <c r="H269" s="606" t="str">
        <f>T107</f>
        <v>Auto 2</v>
      </c>
      <c r="I269" s="606"/>
      <c r="J269" s="606"/>
      <c r="K269" s="607" t="str">
        <f>W107</f>
        <v>High Level</v>
      </c>
      <c r="L269" s="607"/>
      <c r="M269" s="608"/>
      <c r="O269" s="196" t="str">
        <f t="shared" si="42"/>
        <v/>
      </c>
      <c r="P269" s="132" t="str">
        <f t="shared" si="42"/>
        <v/>
      </c>
      <c r="Q269" s="132"/>
      <c r="R269" s="132"/>
      <c r="S269" s="132"/>
      <c r="T269" s="189"/>
      <c r="U269"/>
      <c r="V269"/>
      <c r="W269" s="56"/>
      <c r="X269" s="56"/>
      <c r="Y269" s="15"/>
      <c r="AB269" s="74"/>
      <c r="AD269" s="74"/>
    </row>
    <row r="270" spans="1:30" ht="14.1" customHeight="1" thickBot="1" x14ac:dyDescent="0.3">
      <c r="A270" s="3">
        <v>6</v>
      </c>
      <c r="B270" s="351"/>
      <c r="C270" s="449" t="str">
        <f t="shared" si="41"/>
        <v>(cm)</v>
      </c>
      <c r="D270" s="450" t="str">
        <f t="shared" si="41"/>
        <v>(cm)</v>
      </c>
      <c r="E270" s="45" t="str">
        <f>Q108</f>
        <v>kVp</v>
      </c>
      <c r="F270" s="45" t="str">
        <f>R108</f>
        <v>mA</v>
      </c>
      <c r="G270" s="448" t="str">
        <f>S108</f>
        <v>mGy/min</v>
      </c>
      <c r="H270" s="460" t="str">
        <f>T108</f>
        <v>kVp</v>
      </c>
      <c r="I270" s="45" t="str">
        <f>U108</f>
        <v>mA</v>
      </c>
      <c r="J270" s="448" t="str">
        <f>V108</f>
        <v>mGy/min</v>
      </c>
      <c r="K270" s="460" t="str">
        <f>W108</f>
        <v>kVp</v>
      </c>
      <c r="L270" s="45" t="str">
        <f>X108</f>
        <v>mA</v>
      </c>
      <c r="M270" s="362" t="str">
        <f>Y108</f>
        <v>mGy/min</v>
      </c>
      <c r="O270" s="196" t="str">
        <f t="shared" si="42"/>
        <v/>
      </c>
      <c r="P270" s="132" t="str">
        <f t="shared" si="42"/>
        <v/>
      </c>
      <c r="Q270" s="132"/>
      <c r="R270" s="132"/>
      <c r="S270" s="132"/>
      <c r="T270" s="189"/>
      <c r="U270"/>
      <c r="V270"/>
      <c r="W270" s="56"/>
      <c r="X270" s="56"/>
      <c r="Y270" s="15"/>
      <c r="AB270" s="30"/>
      <c r="AC270" s="31" t="str">
        <f>IF(AB270&lt;&gt;AD270,"Change","")</f>
        <v/>
      </c>
      <c r="AD270" s="32" t="str">
        <f>IF(Q401="","",Q401)</f>
        <v/>
      </c>
    </row>
    <row r="271" spans="1:30" ht="14.1" customHeight="1" thickBot="1" x14ac:dyDescent="0.3">
      <c r="A271" s="3">
        <v>7</v>
      </c>
      <c r="B271" s="351"/>
      <c r="C271" s="595" t="str">
        <f>O110&amp;" "&amp;flocm_in</f>
        <v xml:space="preserve"> cm</v>
      </c>
      <c r="D271" s="451">
        <f t="shared" ref="D271:D286" si="43">P109</f>
        <v>10</v>
      </c>
      <c r="E271" s="409">
        <f t="shared" ref="E271:E286" si="44">IF(Q109="","",Q109)</f>
        <v>0</v>
      </c>
      <c r="F271" s="415">
        <f t="shared" ref="F271:F286" si="45">IF(R109="","",R109)</f>
        <v>0</v>
      </c>
      <c r="G271" s="410">
        <f t="shared" ref="G271:G286" si="46">IF(S109="","",S109)</f>
        <v>0</v>
      </c>
      <c r="H271" s="409">
        <f t="shared" ref="H271:H286" si="47">IF(T109="","",T109)</f>
        <v>0</v>
      </c>
      <c r="I271" s="415">
        <f t="shared" ref="I271:I286" si="48">IF(U109="","",U109)</f>
        <v>0</v>
      </c>
      <c r="J271" s="410">
        <f t="shared" ref="J271:J286" si="49">IF(V109="","",V109)</f>
        <v>0</v>
      </c>
      <c r="K271" s="466">
        <f t="shared" ref="K271:K286" si="50">IF(W109="","",W109)</f>
        <v>0</v>
      </c>
      <c r="L271" s="415">
        <f t="shared" ref="L271:L286" si="51">IF(X109="","",X109)</f>
        <v>0</v>
      </c>
      <c r="M271" s="461">
        <f t="shared" ref="M271:M286" si="52">IF(Y109="","",Y109)</f>
        <v>0</v>
      </c>
      <c r="O271" s="196" t="str">
        <f t="shared" si="42"/>
        <v/>
      </c>
      <c r="P271" s="132" t="str">
        <f t="shared" si="42"/>
        <v/>
      </c>
      <c r="Q271" s="132"/>
      <c r="R271" s="132"/>
      <c r="S271" s="132"/>
      <c r="T271" s="189"/>
      <c r="U271"/>
      <c r="V271"/>
      <c r="W271" s="56"/>
      <c r="X271" s="56"/>
      <c r="Y271" s="15"/>
      <c r="AB271" s="74"/>
      <c r="AD271" s="18"/>
    </row>
    <row r="272" spans="1:30" ht="14.1" customHeight="1" thickBot="1" x14ac:dyDescent="0.3">
      <c r="A272" s="3">
        <v>8</v>
      </c>
      <c r="B272" s="351"/>
      <c r="C272" s="595"/>
      <c r="D272" s="449">
        <f t="shared" si="43"/>
        <v>20</v>
      </c>
      <c r="E272" s="411">
        <f t="shared" si="44"/>
        <v>0</v>
      </c>
      <c r="F272" s="416">
        <f t="shared" si="45"/>
        <v>0</v>
      </c>
      <c r="G272" s="412">
        <f t="shared" si="46"/>
        <v>0</v>
      </c>
      <c r="H272" s="411">
        <f t="shared" si="47"/>
        <v>0</v>
      </c>
      <c r="I272" s="416">
        <f t="shared" si="48"/>
        <v>0</v>
      </c>
      <c r="J272" s="412">
        <f t="shared" si="49"/>
        <v>0</v>
      </c>
      <c r="K272" s="467">
        <f t="shared" si="50"/>
        <v>0</v>
      </c>
      <c r="L272" s="416">
        <f t="shared" si="51"/>
        <v>0</v>
      </c>
      <c r="M272" s="462">
        <f t="shared" si="52"/>
        <v>0</v>
      </c>
      <c r="O272" s="196" t="str">
        <f t="shared" si="42"/>
        <v/>
      </c>
      <c r="P272" s="132" t="str">
        <f t="shared" si="42"/>
        <v/>
      </c>
      <c r="Q272" s="132"/>
      <c r="R272" s="132"/>
      <c r="S272" s="132"/>
      <c r="T272" s="189"/>
      <c r="U272"/>
      <c r="V272"/>
      <c r="W272" s="56"/>
      <c r="X272" s="56"/>
      <c r="Y272" s="15"/>
      <c r="AB272" s="30"/>
      <c r="AC272" s="31" t="str">
        <f>IF(AB272&lt;&gt;AD272,"Change","")</f>
        <v/>
      </c>
      <c r="AD272" s="32" t="str">
        <f>IF(Q403="","",Q403)</f>
        <v/>
      </c>
    </row>
    <row r="273" spans="1:30" ht="14.1" customHeight="1" thickBot="1" x14ac:dyDescent="0.3">
      <c r="A273" s="3">
        <v>9</v>
      </c>
      <c r="B273" s="351"/>
      <c r="C273" s="595"/>
      <c r="D273" s="452">
        <f t="shared" si="43"/>
        <v>30</v>
      </c>
      <c r="E273" s="413">
        <f t="shared" si="44"/>
        <v>0</v>
      </c>
      <c r="F273" s="417">
        <f t="shared" si="45"/>
        <v>0</v>
      </c>
      <c r="G273" s="414">
        <f t="shared" si="46"/>
        <v>0</v>
      </c>
      <c r="H273" s="413">
        <f t="shared" si="47"/>
        <v>0</v>
      </c>
      <c r="I273" s="417">
        <f t="shared" si="48"/>
        <v>0</v>
      </c>
      <c r="J273" s="414">
        <f t="shared" si="49"/>
        <v>0</v>
      </c>
      <c r="K273" s="468">
        <f t="shared" si="50"/>
        <v>0</v>
      </c>
      <c r="L273" s="417">
        <f t="shared" si="51"/>
        <v>0</v>
      </c>
      <c r="M273" s="463">
        <f t="shared" si="52"/>
        <v>0</v>
      </c>
      <c r="O273" s="196" t="str">
        <f t="shared" si="42"/>
        <v/>
      </c>
      <c r="P273" s="132" t="str">
        <f t="shared" si="42"/>
        <v/>
      </c>
      <c r="Q273" s="132"/>
      <c r="R273" s="132"/>
      <c r="S273" s="132"/>
      <c r="T273" s="189"/>
      <c r="U273"/>
      <c r="V273"/>
      <c r="W273" s="56"/>
      <c r="X273" s="56"/>
      <c r="Y273" s="15"/>
      <c r="AB273" s="74"/>
      <c r="AD273" s="18"/>
    </row>
    <row r="274" spans="1:30" ht="14.1" customHeight="1" thickBot="1" x14ac:dyDescent="0.3">
      <c r="A274" s="3">
        <v>10</v>
      </c>
      <c r="B274" s="351"/>
      <c r="C274" s="595" t="str">
        <f>O113&amp;" "&amp;flocm_in</f>
        <v xml:space="preserve"> cm</v>
      </c>
      <c r="D274" s="451">
        <f t="shared" si="43"/>
        <v>10</v>
      </c>
      <c r="E274" s="409">
        <f t="shared" si="44"/>
        <v>0</v>
      </c>
      <c r="F274" s="415">
        <f t="shared" si="45"/>
        <v>0</v>
      </c>
      <c r="G274" s="410">
        <f t="shared" si="46"/>
        <v>0</v>
      </c>
      <c r="H274" s="409">
        <f t="shared" si="47"/>
        <v>0</v>
      </c>
      <c r="I274" s="415">
        <f t="shared" si="48"/>
        <v>0</v>
      </c>
      <c r="J274" s="410">
        <f t="shared" si="49"/>
        <v>0</v>
      </c>
      <c r="K274" s="466">
        <f t="shared" si="50"/>
        <v>0</v>
      </c>
      <c r="L274" s="415">
        <f t="shared" si="51"/>
        <v>0</v>
      </c>
      <c r="M274" s="461">
        <f t="shared" si="52"/>
        <v>0</v>
      </c>
      <c r="O274" s="196" t="str">
        <f t="shared" si="42"/>
        <v/>
      </c>
      <c r="P274" s="132" t="str">
        <f t="shared" si="42"/>
        <v/>
      </c>
      <c r="Q274" s="132"/>
      <c r="R274" s="132"/>
      <c r="S274" s="132"/>
      <c r="T274" s="189"/>
      <c r="U274"/>
      <c r="V274"/>
      <c r="W274" s="56"/>
      <c r="X274" s="56"/>
      <c r="Y274" s="187"/>
      <c r="AB274" s="30"/>
      <c r="AC274" s="31" t="str">
        <f>IF(AB274&lt;&gt;AD274,"Change","")</f>
        <v/>
      </c>
      <c r="AD274" s="32" t="str">
        <f>IF(Q405="","",Q405)</f>
        <v/>
      </c>
    </row>
    <row r="275" spans="1:30" ht="14.1" customHeight="1" thickBot="1" x14ac:dyDescent="0.3">
      <c r="A275" s="3">
        <v>11</v>
      </c>
      <c r="B275" s="351"/>
      <c r="C275" s="595"/>
      <c r="D275" s="449">
        <f t="shared" si="43"/>
        <v>20</v>
      </c>
      <c r="E275" s="411">
        <f t="shared" si="44"/>
        <v>0</v>
      </c>
      <c r="F275" s="416">
        <f t="shared" si="45"/>
        <v>0</v>
      </c>
      <c r="G275" s="412">
        <f t="shared" si="46"/>
        <v>0</v>
      </c>
      <c r="H275" s="411">
        <f t="shared" si="47"/>
        <v>0</v>
      </c>
      <c r="I275" s="416">
        <f t="shared" si="48"/>
        <v>0</v>
      </c>
      <c r="J275" s="412">
        <f t="shared" si="49"/>
        <v>0</v>
      </c>
      <c r="K275" s="467">
        <f t="shared" si="50"/>
        <v>0</v>
      </c>
      <c r="L275" s="416">
        <f t="shared" si="51"/>
        <v>0</v>
      </c>
      <c r="M275" s="462">
        <f t="shared" si="52"/>
        <v>0</v>
      </c>
      <c r="O275" s="205" t="str">
        <f t="shared" si="42"/>
        <v/>
      </c>
      <c r="P275" s="206" t="str">
        <f t="shared" si="42"/>
        <v/>
      </c>
      <c r="Q275" s="206"/>
      <c r="R275" s="206"/>
      <c r="S275" s="206"/>
      <c r="T275" s="190"/>
      <c r="U275"/>
      <c r="V275"/>
      <c r="W275" s="56"/>
      <c r="X275" s="56"/>
      <c r="Y275" s="187"/>
      <c r="AB275" s="74"/>
      <c r="AD275" s="18"/>
    </row>
    <row r="276" spans="1:30" ht="14.1" customHeight="1" thickBot="1" x14ac:dyDescent="0.3">
      <c r="A276" s="3">
        <v>12</v>
      </c>
      <c r="B276" s="351"/>
      <c r="C276" s="595"/>
      <c r="D276" s="452">
        <f t="shared" si="43"/>
        <v>30</v>
      </c>
      <c r="E276" s="413">
        <f t="shared" si="44"/>
        <v>0</v>
      </c>
      <c r="F276" s="417">
        <f t="shared" si="45"/>
        <v>0</v>
      </c>
      <c r="G276" s="414">
        <f t="shared" si="46"/>
        <v>0</v>
      </c>
      <c r="H276" s="413">
        <f t="shared" si="47"/>
        <v>0</v>
      </c>
      <c r="I276" s="417">
        <f t="shared" si="48"/>
        <v>0</v>
      </c>
      <c r="J276" s="414">
        <f t="shared" si="49"/>
        <v>0</v>
      </c>
      <c r="K276" s="468">
        <f t="shared" si="50"/>
        <v>0</v>
      </c>
      <c r="L276" s="417">
        <f t="shared" si="51"/>
        <v>0</v>
      </c>
      <c r="M276" s="463">
        <f t="shared" si="52"/>
        <v>0</v>
      </c>
      <c r="O276" s="609" t="s">
        <v>264</v>
      </c>
      <c r="P276" s="610" t="s">
        <v>265</v>
      </c>
      <c r="R276" s="610" t="str">
        <f>"Ind AK @ Ref Pt ("&amp;T257&amp;")"</f>
        <v>Ind AK @ Ref Pt (mGy)</v>
      </c>
      <c r="S276" s="610" t="str">
        <f>"Meas AK @ Ref Pt ("&amp;T257&amp;")"</f>
        <v>Meas AK @ Ref Pt (mGy)</v>
      </c>
      <c r="T276" s="56"/>
      <c r="U276" s="1" t="s">
        <v>268</v>
      </c>
      <c r="V276" s="1" t="s">
        <v>269</v>
      </c>
      <c r="W276" s="207"/>
      <c r="X276"/>
      <c r="Y276" s="187"/>
      <c r="AB276" s="30"/>
      <c r="AC276" s="31" t="str">
        <f>IF(AB276&lt;&gt;AD276,"Change","")</f>
        <v/>
      </c>
      <c r="AD276" s="32" t="str">
        <f>IF(Q407="","",Q407)</f>
        <v/>
      </c>
    </row>
    <row r="277" spans="1:30" ht="14.1" customHeight="1" thickBot="1" x14ac:dyDescent="0.3">
      <c r="A277" s="3">
        <v>13</v>
      </c>
      <c r="B277" s="351"/>
      <c r="C277" s="595" t="str">
        <f>O116&amp;" "&amp;flocm_in</f>
        <v xml:space="preserve"> cm</v>
      </c>
      <c r="D277" s="451">
        <f t="shared" si="43"/>
        <v>10</v>
      </c>
      <c r="E277" s="409">
        <f t="shared" si="44"/>
        <v>0</v>
      </c>
      <c r="F277" s="415">
        <f t="shared" si="45"/>
        <v>0</v>
      </c>
      <c r="G277" s="410">
        <f t="shared" si="46"/>
        <v>0</v>
      </c>
      <c r="H277" s="409">
        <f t="shared" si="47"/>
        <v>0</v>
      </c>
      <c r="I277" s="415">
        <f t="shared" si="48"/>
        <v>0</v>
      </c>
      <c r="J277" s="410">
        <f t="shared" si="49"/>
        <v>0</v>
      </c>
      <c r="K277" s="466">
        <f t="shared" si="50"/>
        <v>0</v>
      </c>
      <c r="L277" s="415">
        <f t="shared" si="51"/>
        <v>0</v>
      </c>
      <c r="M277" s="461">
        <f t="shared" si="52"/>
        <v>0</v>
      </c>
      <c r="O277" s="609"/>
      <c r="P277" s="610"/>
      <c r="Q277" s="1" t="s">
        <v>266</v>
      </c>
      <c r="R277" s="610"/>
      <c r="S277" s="610"/>
      <c r="T277" s="1" t="s">
        <v>324</v>
      </c>
      <c r="U277" s="1" t="str">
        <f>W257</f>
        <v>mGy/min</v>
      </c>
      <c r="V277" s="1" t="str">
        <f>X257</f>
        <v>mGy/min</v>
      </c>
      <c r="W277" s="117" t="s">
        <v>325</v>
      </c>
      <c r="X277"/>
      <c r="Y277" s="187"/>
      <c r="AA277" s="25" t="s">
        <v>326</v>
      </c>
      <c r="AB277" s="30"/>
      <c r="AC277" s="31" t="str">
        <f>IF(AB277&lt;&gt;AD277,"Change","")</f>
        <v/>
      </c>
      <c r="AD277" s="32" t="str">
        <f>IF(Q413="","",Q413)</f>
        <v/>
      </c>
    </row>
    <row r="278" spans="1:30" ht="14.1" customHeight="1" thickBot="1" x14ac:dyDescent="0.3">
      <c r="A278" s="3">
        <v>14</v>
      </c>
      <c r="B278" s="351"/>
      <c r="C278" s="595"/>
      <c r="D278" s="449">
        <f t="shared" si="43"/>
        <v>20</v>
      </c>
      <c r="E278" s="411">
        <f t="shared" si="44"/>
        <v>0</v>
      </c>
      <c r="F278" s="416">
        <f t="shared" si="45"/>
        <v>0</v>
      </c>
      <c r="G278" s="412">
        <f t="shared" si="46"/>
        <v>0</v>
      </c>
      <c r="H278" s="411">
        <f t="shared" si="47"/>
        <v>0</v>
      </c>
      <c r="I278" s="416">
        <f t="shared" si="48"/>
        <v>0</v>
      </c>
      <c r="J278" s="412">
        <f t="shared" si="49"/>
        <v>0</v>
      </c>
      <c r="K278" s="467">
        <f t="shared" si="50"/>
        <v>0</v>
      </c>
      <c r="L278" s="416">
        <f t="shared" si="51"/>
        <v>0</v>
      </c>
      <c r="M278" s="462">
        <f t="shared" si="52"/>
        <v>0</v>
      </c>
      <c r="O278" s="194" t="str">
        <f>IF(S258="","",S258*VLOOKUP($Q$257,Tables!$A$112:$B$115,2))</f>
        <v/>
      </c>
      <c r="P278" s="208" t="str">
        <f t="shared" ref="P278:P285" si="53">IF(S268="","",S268)</f>
        <v/>
      </c>
      <c r="Q278" s="209" t="str">
        <f t="shared" ref="Q278:Q285" si="54">IF(OR(O278="",P278=""),"",(P278-O278)/O278)</f>
        <v/>
      </c>
      <c r="R278" s="210" t="str">
        <f t="shared" ref="R278:R285" si="55">IF(V258="","",V258)</f>
        <v/>
      </c>
      <c r="S278" s="211" t="str">
        <f t="shared" ref="S278:S285" si="56">IF(OR($O$254="",Q268=""),"",$O$254*Q268)</f>
        <v/>
      </c>
      <c r="T278" s="209" t="str">
        <f t="shared" ref="T278:T285" si="57">IF(OR(R278="",S278=""),"",(S278-R278)/R278)</f>
        <v/>
      </c>
      <c r="U278" s="194" t="str">
        <f t="shared" ref="U278:U285" si="58">IF(W258="","",W258)</f>
        <v/>
      </c>
      <c r="V278" s="195" t="str">
        <f t="shared" ref="V278:V285" si="59">IF(AND(X258="",R268=""),"",IF(NOT(ISBLANK(X258)),X258,IF(NOT(ISBLANK(R268)),R268,"")))</f>
        <v/>
      </c>
      <c r="W278" s="212" t="str">
        <f t="shared" ref="W278:W285" si="60">IF(OR(V278="",U278=""),"",(V278-U278)/V278)</f>
        <v/>
      </c>
      <c r="X278"/>
      <c r="Y278" s="187"/>
      <c r="AB278" s="74"/>
      <c r="AD278" s="74"/>
    </row>
    <row r="279" spans="1:30" ht="14.1" customHeight="1" thickBot="1" x14ac:dyDescent="0.3">
      <c r="A279" s="3">
        <v>15</v>
      </c>
      <c r="B279" s="351"/>
      <c r="C279" s="595"/>
      <c r="D279" s="452">
        <f t="shared" si="43"/>
        <v>30</v>
      </c>
      <c r="E279" s="413">
        <f t="shared" si="44"/>
        <v>0</v>
      </c>
      <c r="F279" s="417">
        <f t="shared" si="45"/>
        <v>0</v>
      </c>
      <c r="G279" s="414">
        <f t="shared" si="46"/>
        <v>0</v>
      </c>
      <c r="H279" s="413">
        <f t="shared" si="47"/>
        <v>0</v>
      </c>
      <c r="I279" s="417">
        <f t="shared" si="48"/>
        <v>0</v>
      </c>
      <c r="J279" s="414">
        <f t="shared" si="49"/>
        <v>0</v>
      </c>
      <c r="K279" s="468">
        <f t="shared" si="50"/>
        <v>0</v>
      </c>
      <c r="L279" s="417">
        <f t="shared" si="51"/>
        <v>0</v>
      </c>
      <c r="M279" s="463">
        <f t="shared" si="52"/>
        <v>0</v>
      </c>
      <c r="O279" s="196" t="str">
        <f>IF(S259="","",S259*VLOOKUP($Q$257,Tables!$A$112:$B$115,2))</f>
        <v/>
      </c>
      <c r="P279" s="213" t="str">
        <f t="shared" si="53"/>
        <v/>
      </c>
      <c r="Q279" s="214" t="str">
        <f t="shared" si="54"/>
        <v/>
      </c>
      <c r="R279" s="215" t="str">
        <f t="shared" si="55"/>
        <v/>
      </c>
      <c r="S279" s="216" t="str">
        <f t="shared" si="56"/>
        <v/>
      </c>
      <c r="T279" s="214" t="str">
        <f t="shared" si="57"/>
        <v/>
      </c>
      <c r="U279" s="217" t="str">
        <f t="shared" si="58"/>
        <v/>
      </c>
      <c r="V279" s="132" t="str">
        <f t="shared" si="59"/>
        <v/>
      </c>
      <c r="W279" s="218" t="str">
        <f t="shared" si="60"/>
        <v/>
      </c>
      <c r="X279"/>
      <c r="Y279" s="187"/>
      <c r="AB279" s="30"/>
      <c r="AC279" s="31" t="str">
        <f>IF(AB279&lt;&gt;AD279,"Change","")</f>
        <v/>
      </c>
      <c r="AD279" s="32" t="str">
        <f>IF(Q415="","",Q415)</f>
        <v/>
      </c>
    </row>
    <row r="280" spans="1:30" ht="14.1" customHeight="1" thickBot="1" x14ac:dyDescent="0.3">
      <c r="A280" s="3">
        <v>16</v>
      </c>
      <c r="B280" s="351"/>
      <c r="C280" s="595" t="str">
        <f>O119&amp;" "&amp;flocm_in</f>
        <v xml:space="preserve"> cm</v>
      </c>
      <c r="D280" s="451">
        <f t="shared" si="43"/>
        <v>10</v>
      </c>
      <c r="E280" s="409">
        <f t="shared" si="44"/>
        <v>0</v>
      </c>
      <c r="F280" s="415">
        <f t="shared" si="45"/>
        <v>0</v>
      </c>
      <c r="G280" s="410">
        <f t="shared" si="46"/>
        <v>0</v>
      </c>
      <c r="H280" s="409">
        <f t="shared" si="47"/>
        <v>0</v>
      </c>
      <c r="I280" s="415">
        <f t="shared" si="48"/>
        <v>0</v>
      </c>
      <c r="J280" s="410">
        <f t="shared" si="49"/>
        <v>0</v>
      </c>
      <c r="K280" s="466">
        <f t="shared" si="50"/>
        <v>0</v>
      </c>
      <c r="L280" s="415">
        <f t="shared" si="51"/>
        <v>0</v>
      </c>
      <c r="M280" s="461">
        <f t="shared" si="52"/>
        <v>0</v>
      </c>
      <c r="O280" s="196" t="str">
        <f>IF(S260="","",S260*VLOOKUP($Q$257,Tables!$A$112:$B$115,2))</f>
        <v/>
      </c>
      <c r="P280" s="213" t="str">
        <f t="shared" si="53"/>
        <v/>
      </c>
      <c r="Q280" s="214" t="str">
        <f t="shared" si="54"/>
        <v/>
      </c>
      <c r="R280" s="215" t="str">
        <f t="shared" si="55"/>
        <v/>
      </c>
      <c r="S280" s="216" t="str">
        <f t="shared" si="56"/>
        <v/>
      </c>
      <c r="T280" s="214" t="str">
        <f t="shared" si="57"/>
        <v/>
      </c>
      <c r="U280" s="217" t="str">
        <f t="shared" si="58"/>
        <v/>
      </c>
      <c r="V280" s="132" t="str">
        <f t="shared" si="59"/>
        <v/>
      </c>
      <c r="W280" s="218" t="str">
        <f t="shared" si="60"/>
        <v/>
      </c>
      <c r="X280"/>
      <c r="Y280" s="187"/>
      <c r="AB280" s="74"/>
      <c r="AD280" s="74"/>
    </row>
    <row r="281" spans="1:30" ht="14.1" customHeight="1" thickBot="1" x14ac:dyDescent="0.3">
      <c r="A281" s="3">
        <v>17</v>
      </c>
      <c r="B281" s="351"/>
      <c r="C281" s="595"/>
      <c r="D281" s="449">
        <f t="shared" si="43"/>
        <v>20</v>
      </c>
      <c r="E281" s="411">
        <f t="shared" si="44"/>
        <v>0</v>
      </c>
      <c r="F281" s="416">
        <f t="shared" si="45"/>
        <v>0</v>
      </c>
      <c r="G281" s="412">
        <f t="shared" si="46"/>
        <v>0</v>
      </c>
      <c r="H281" s="411">
        <f t="shared" si="47"/>
        <v>0</v>
      </c>
      <c r="I281" s="416">
        <f t="shared" si="48"/>
        <v>0</v>
      </c>
      <c r="J281" s="412">
        <f t="shared" si="49"/>
        <v>0</v>
      </c>
      <c r="K281" s="467">
        <f t="shared" si="50"/>
        <v>0</v>
      </c>
      <c r="L281" s="416">
        <f t="shared" si="51"/>
        <v>0</v>
      </c>
      <c r="M281" s="462">
        <f t="shared" si="52"/>
        <v>0</v>
      </c>
      <c r="O281" s="196" t="str">
        <f>IF(S261="","",S261*VLOOKUP($Q$257,Tables!$A$112:$B$115,2))</f>
        <v/>
      </c>
      <c r="P281" s="213" t="str">
        <f t="shared" si="53"/>
        <v/>
      </c>
      <c r="Q281" s="214" t="str">
        <f t="shared" si="54"/>
        <v/>
      </c>
      <c r="R281" s="215" t="str">
        <f t="shared" si="55"/>
        <v/>
      </c>
      <c r="S281" s="216" t="str">
        <f t="shared" si="56"/>
        <v/>
      </c>
      <c r="T281" s="214" t="str">
        <f t="shared" si="57"/>
        <v/>
      </c>
      <c r="U281" s="196" t="str">
        <f t="shared" si="58"/>
        <v/>
      </c>
      <c r="V281" s="132" t="str">
        <f t="shared" si="59"/>
        <v/>
      </c>
      <c r="W281" s="218" t="str">
        <f t="shared" si="60"/>
        <v/>
      </c>
      <c r="X281"/>
      <c r="Y281" s="187"/>
      <c r="AB281" s="30"/>
      <c r="AC281" s="31" t="str">
        <f>IF(AB281&lt;&gt;AD281,"Change","")</f>
        <v/>
      </c>
      <c r="AD281" s="32" t="str">
        <f>IF(Q417="","",Q417)</f>
        <v/>
      </c>
    </row>
    <row r="282" spans="1:30" ht="14.1" customHeight="1" thickBot="1" x14ac:dyDescent="0.3">
      <c r="A282" s="3">
        <v>18</v>
      </c>
      <c r="B282" s="351"/>
      <c r="C282" s="595"/>
      <c r="D282" s="452">
        <f t="shared" si="43"/>
        <v>30</v>
      </c>
      <c r="E282" s="413">
        <f t="shared" si="44"/>
        <v>0</v>
      </c>
      <c r="F282" s="417">
        <f t="shared" si="45"/>
        <v>0</v>
      </c>
      <c r="G282" s="414">
        <f t="shared" si="46"/>
        <v>0</v>
      </c>
      <c r="H282" s="413">
        <f t="shared" si="47"/>
        <v>0</v>
      </c>
      <c r="I282" s="417">
        <f t="shared" si="48"/>
        <v>0</v>
      </c>
      <c r="J282" s="414">
        <f t="shared" si="49"/>
        <v>0</v>
      </c>
      <c r="K282" s="468">
        <f t="shared" si="50"/>
        <v>0</v>
      </c>
      <c r="L282" s="417">
        <f t="shared" si="51"/>
        <v>0</v>
      </c>
      <c r="M282" s="463">
        <f t="shared" si="52"/>
        <v>0</v>
      </c>
      <c r="O282" s="196" t="str">
        <f>IF(S262="","",S262*VLOOKUP($Q$257,Tables!$A$112:$B$115,2))</f>
        <v/>
      </c>
      <c r="P282" s="213" t="str">
        <f t="shared" si="53"/>
        <v/>
      </c>
      <c r="Q282" s="214" t="str">
        <f t="shared" si="54"/>
        <v/>
      </c>
      <c r="R282" s="215" t="str">
        <f t="shared" si="55"/>
        <v/>
      </c>
      <c r="S282" s="216" t="str">
        <f t="shared" si="56"/>
        <v/>
      </c>
      <c r="T282" s="214" t="str">
        <f t="shared" si="57"/>
        <v/>
      </c>
      <c r="U282" s="196" t="str">
        <f t="shared" si="58"/>
        <v/>
      </c>
      <c r="V282" s="132" t="str">
        <f t="shared" si="59"/>
        <v/>
      </c>
      <c r="W282" s="218" t="str">
        <f t="shared" si="60"/>
        <v/>
      </c>
      <c r="X282"/>
      <c r="Y282" s="187"/>
      <c r="AB282" s="74"/>
      <c r="AD282" s="74"/>
    </row>
    <row r="283" spans="1:30" ht="14.1" customHeight="1" thickBot="1" x14ac:dyDescent="0.3">
      <c r="A283" s="3">
        <v>19</v>
      </c>
      <c r="B283" s="351"/>
      <c r="C283" s="595" t="str">
        <f>O122&amp;" "&amp;flocm_in</f>
        <v xml:space="preserve"> cm</v>
      </c>
      <c r="D283" s="451">
        <f t="shared" si="43"/>
        <v>10</v>
      </c>
      <c r="E283" s="464">
        <f t="shared" si="44"/>
        <v>0</v>
      </c>
      <c r="F283" s="439">
        <f t="shared" si="45"/>
        <v>0</v>
      </c>
      <c r="G283" s="470">
        <f t="shared" si="46"/>
        <v>0</v>
      </c>
      <c r="H283" s="464">
        <f t="shared" si="47"/>
        <v>0</v>
      </c>
      <c r="I283" s="439">
        <f t="shared" si="48"/>
        <v>0</v>
      </c>
      <c r="J283" s="470">
        <f t="shared" si="49"/>
        <v>0</v>
      </c>
      <c r="K283" s="469">
        <f t="shared" si="50"/>
        <v>0</v>
      </c>
      <c r="L283" s="439">
        <f t="shared" si="51"/>
        <v>0</v>
      </c>
      <c r="M283" s="465">
        <f t="shared" si="52"/>
        <v>0</v>
      </c>
      <c r="O283" s="196" t="str">
        <f>IF(S263="","",S263*VLOOKUP($Q$257,Tables!$A$112:$B$115,2))</f>
        <v/>
      </c>
      <c r="P283" s="213" t="str">
        <f t="shared" si="53"/>
        <v/>
      </c>
      <c r="Q283" s="214" t="str">
        <f t="shared" si="54"/>
        <v/>
      </c>
      <c r="R283" s="215" t="str">
        <f t="shared" si="55"/>
        <v/>
      </c>
      <c r="S283" s="216" t="str">
        <f t="shared" si="56"/>
        <v/>
      </c>
      <c r="T283" s="214" t="str">
        <f t="shared" si="57"/>
        <v/>
      </c>
      <c r="U283" s="196" t="str">
        <f t="shared" si="58"/>
        <v/>
      </c>
      <c r="V283" s="132" t="str">
        <f t="shared" si="59"/>
        <v/>
      </c>
      <c r="W283" s="218" t="str">
        <f t="shared" si="60"/>
        <v/>
      </c>
      <c r="X283"/>
      <c r="Y283" s="187"/>
      <c r="AB283" s="30"/>
      <c r="AC283" s="31" t="str">
        <f>IF(AB283&lt;&gt;AD283,"Change","")</f>
        <v/>
      </c>
      <c r="AD283" s="32" t="str">
        <f>IF(Q419="","",Q419)</f>
        <v/>
      </c>
    </row>
    <row r="284" spans="1:30" ht="14.1" customHeight="1" thickBot="1" x14ac:dyDescent="0.3">
      <c r="A284" s="3">
        <v>20</v>
      </c>
      <c r="B284" s="351"/>
      <c r="C284" s="595"/>
      <c r="D284" s="449">
        <f t="shared" si="43"/>
        <v>20</v>
      </c>
      <c r="E284" s="411">
        <f t="shared" si="44"/>
        <v>0</v>
      </c>
      <c r="F284" s="416">
        <f t="shared" si="45"/>
        <v>0</v>
      </c>
      <c r="G284" s="412">
        <f t="shared" si="46"/>
        <v>0</v>
      </c>
      <c r="H284" s="411">
        <f t="shared" si="47"/>
        <v>0</v>
      </c>
      <c r="I284" s="416">
        <f t="shared" si="48"/>
        <v>0</v>
      </c>
      <c r="J284" s="412">
        <f t="shared" si="49"/>
        <v>0</v>
      </c>
      <c r="K284" s="467">
        <f t="shared" si="50"/>
        <v>0</v>
      </c>
      <c r="L284" s="416">
        <f t="shared" si="51"/>
        <v>0</v>
      </c>
      <c r="M284" s="462">
        <f t="shared" si="52"/>
        <v>0</v>
      </c>
      <c r="O284" s="196" t="str">
        <f>IF(S264="","",S264*VLOOKUP($Q$257,Tables!$A$112:$B$115,2))</f>
        <v/>
      </c>
      <c r="P284" s="213" t="str">
        <f t="shared" si="53"/>
        <v/>
      </c>
      <c r="Q284" s="214" t="str">
        <f t="shared" si="54"/>
        <v/>
      </c>
      <c r="R284" s="215" t="str">
        <f t="shared" si="55"/>
        <v/>
      </c>
      <c r="S284" s="216" t="str">
        <f t="shared" si="56"/>
        <v/>
      </c>
      <c r="T284" s="214" t="str">
        <f t="shared" si="57"/>
        <v/>
      </c>
      <c r="U284" s="196" t="str">
        <f t="shared" si="58"/>
        <v/>
      </c>
      <c r="V284" s="132" t="str">
        <f t="shared" si="59"/>
        <v/>
      </c>
      <c r="W284" s="218" t="str">
        <f t="shared" si="60"/>
        <v/>
      </c>
      <c r="X284"/>
      <c r="Y284" s="187"/>
      <c r="AB284" s="74"/>
      <c r="AD284" s="74"/>
    </row>
    <row r="285" spans="1:30" ht="14.1" customHeight="1" thickBot="1" x14ac:dyDescent="0.3">
      <c r="A285" s="3">
        <v>21</v>
      </c>
      <c r="B285" s="351"/>
      <c r="C285" s="595"/>
      <c r="D285" s="449">
        <f t="shared" si="43"/>
        <v>30</v>
      </c>
      <c r="E285" s="413">
        <f t="shared" si="44"/>
        <v>0</v>
      </c>
      <c r="F285" s="417">
        <f t="shared" si="45"/>
        <v>0</v>
      </c>
      <c r="G285" s="414">
        <f t="shared" si="46"/>
        <v>0</v>
      </c>
      <c r="H285" s="413">
        <f t="shared" si="47"/>
        <v>0</v>
      </c>
      <c r="I285" s="417">
        <f t="shared" si="48"/>
        <v>0</v>
      </c>
      <c r="J285" s="414">
        <f t="shared" si="49"/>
        <v>0</v>
      </c>
      <c r="K285" s="468">
        <f t="shared" si="50"/>
        <v>0</v>
      </c>
      <c r="L285" s="417">
        <f t="shared" si="51"/>
        <v>0</v>
      </c>
      <c r="M285" s="463">
        <f t="shared" si="52"/>
        <v>0</v>
      </c>
      <c r="O285" s="205" t="str">
        <f>IF(S265="","",S265*VLOOKUP($Q$257,Tables!$A$112:$B$115,2))</f>
        <v/>
      </c>
      <c r="P285" s="219" t="str">
        <f t="shared" si="53"/>
        <v/>
      </c>
      <c r="Q285" s="220" t="str">
        <f t="shared" si="54"/>
        <v/>
      </c>
      <c r="R285" s="221" t="str">
        <f t="shared" si="55"/>
        <v/>
      </c>
      <c r="S285" s="222" t="str">
        <f t="shared" si="56"/>
        <v/>
      </c>
      <c r="T285" s="220" t="str">
        <f t="shared" si="57"/>
        <v/>
      </c>
      <c r="U285" s="205" t="str">
        <f t="shared" si="58"/>
        <v/>
      </c>
      <c r="V285" s="206" t="str">
        <f t="shared" si="59"/>
        <v/>
      </c>
      <c r="W285" s="223" t="str">
        <f t="shared" si="60"/>
        <v/>
      </c>
      <c r="X285"/>
      <c r="Y285" s="187"/>
      <c r="AB285" s="30"/>
      <c r="AC285" s="31" t="str">
        <f>IF(AB285&lt;&gt;AD285,"Change","")</f>
        <v/>
      </c>
      <c r="AD285" s="32" t="str">
        <f>IF(Q421="","",Q421)</f>
        <v/>
      </c>
    </row>
    <row r="286" spans="1:30" ht="14.1" customHeight="1" thickBot="1" x14ac:dyDescent="0.3">
      <c r="A286" s="3">
        <v>22</v>
      </c>
      <c r="B286" s="351"/>
      <c r="C286" s="447"/>
      <c r="D286" s="453" t="str">
        <f t="shared" si="43"/>
        <v>max</v>
      </c>
      <c r="E286" s="454">
        <f t="shared" si="44"/>
        <v>0</v>
      </c>
      <c r="F286" s="455">
        <f t="shared" si="45"/>
        <v>0</v>
      </c>
      <c r="G286" s="456">
        <f t="shared" si="46"/>
        <v>0</v>
      </c>
      <c r="H286" s="454">
        <f t="shared" si="47"/>
        <v>0</v>
      </c>
      <c r="I286" s="455">
        <f t="shared" si="48"/>
        <v>0</v>
      </c>
      <c r="J286" s="456">
        <f t="shared" si="49"/>
        <v>0</v>
      </c>
      <c r="K286" s="457">
        <f t="shared" si="50"/>
        <v>0</v>
      </c>
      <c r="L286" s="458">
        <f t="shared" si="51"/>
        <v>0</v>
      </c>
      <c r="M286" s="459">
        <f t="shared" si="52"/>
        <v>0</v>
      </c>
      <c r="O286" s="152"/>
      <c r="P286" s="1" t="s">
        <v>182</v>
      </c>
      <c r="Q286" s="98" t="str">
        <f>IF($O$255=2,"NA",IF(Q278="","",IF(AND(MAX(Q278:Q285)&lt;=0.4,MIN(Q278:Q285)&gt;=-0.4),"YES","NO")))</f>
        <v/>
      </c>
      <c r="R286"/>
      <c r="S286" s="1" t="s">
        <v>182</v>
      </c>
      <c r="T286" s="98" t="str">
        <f>IF($O$255=2,"NA",IF(T278="","",IF(AND(MAX(T278:T285)&lt;=0.4,MIN(T278:T285)&gt;=-0.4),"YES","NO")))</f>
        <v/>
      </c>
      <c r="U286"/>
      <c r="V286" s="1" t="s">
        <v>182</v>
      </c>
      <c r="W286" s="98" t="str">
        <f>IF($O$255=2,"NA",IF(W278="","",IF(AND(MAX(W278:W285)&lt;=0.4,MIN(W278:W285)&gt;=-0.4),"YES","NO")))</f>
        <v/>
      </c>
      <c r="X286"/>
      <c r="Y286" s="187"/>
      <c r="AB286" s="74"/>
      <c r="AD286" s="74"/>
    </row>
    <row r="287" spans="1:30" ht="14.1" customHeight="1" thickBot="1" x14ac:dyDescent="0.3">
      <c r="A287" s="3">
        <v>23</v>
      </c>
      <c r="B287" s="351"/>
      <c r="C287" s="138"/>
      <c r="D287" s="138"/>
      <c r="E287" s="138"/>
      <c r="F287" s="138"/>
      <c r="G287" s="138"/>
      <c r="H287" s="138"/>
      <c r="I287" s="138"/>
      <c r="J287" s="138"/>
      <c r="K287" s="138"/>
      <c r="L287" s="138"/>
      <c r="M287" s="353"/>
      <c r="O287" s="152"/>
      <c r="P287"/>
      <c r="Q287"/>
      <c r="R287"/>
      <c r="S287"/>
      <c r="T287"/>
      <c r="U287"/>
      <c r="V287"/>
      <c r="W287"/>
      <c r="X287"/>
      <c r="Y287" s="187"/>
      <c r="AB287" s="30"/>
      <c r="AC287" s="31" t="str">
        <f>IF(AB287&lt;&gt;AD287,"Change","")</f>
        <v/>
      </c>
      <c r="AD287" s="32" t="str">
        <f>IF(Q423="","",Q423)</f>
        <v/>
      </c>
    </row>
    <row r="288" spans="1:30" ht="14.1" customHeight="1" x14ac:dyDescent="0.25">
      <c r="A288" s="3">
        <v>24</v>
      </c>
      <c r="B288" s="351"/>
      <c r="C288" s="138"/>
      <c r="D288" s="389" t="str">
        <f t="shared" ref="D288:D293" si="61">P126</f>
        <v>*Measured at:</v>
      </c>
      <c r="E288" s="138"/>
      <c r="F288" s="471" t="str">
        <f>R126</f>
        <v>Acceptable:</v>
      </c>
      <c r="G288" s="472" t="str">
        <f>S126</f>
        <v>YES</v>
      </c>
      <c r="H288" s="138"/>
      <c r="I288" s="471" t="str">
        <f>U126</f>
        <v>Acceptable:</v>
      </c>
      <c r="J288" s="472" t="str">
        <f>V126</f>
        <v>YES</v>
      </c>
      <c r="K288" s="138"/>
      <c r="L288" s="471" t="str">
        <f>X126</f>
        <v>Acceptable:</v>
      </c>
      <c r="M288" s="473" t="str">
        <f>Y126</f>
        <v>YES</v>
      </c>
      <c r="O288" s="233"/>
      <c r="P288" s="234" t="s">
        <v>188</v>
      </c>
      <c r="Q288" s="235" t="s">
        <v>327</v>
      </c>
      <c r="R288" s="236"/>
      <c r="S288" s="236"/>
      <c r="T288" s="236"/>
      <c r="U288" s="236"/>
      <c r="V288" s="236"/>
      <c r="W288" s="236"/>
      <c r="X288" s="236"/>
      <c r="Y288" s="237"/>
      <c r="AB288" s="74"/>
      <c r="AD288" s="74"/>
    </row>
    <row r="289" spans="1:30" ht="14.1" customHeight="1" x14ac:dyDescent="0.25">
      <c r="A289" s="3">
        <v>25</v>
      </c>
      <c r="B289" s="351"/>
      <c r="C289" s="138"/>
      <c r="D289" s="390" t="str">
        <f t="shared" si="61"/>
        <v>Undertable fluoroscopy units: 1 cm above table top</v>
      </c>
      <c r="E289" s="138"/>
      <c r="F289" s="138"/>
      <c r="G289" s="138"/>
      <c r="H289" s="138"/>
      <c r="I289" s="138"/>
      <c r="J289" s="138"/>
      <c r="K289" s="138"/>
      <c r="L289" s="138"/>
      <c r="M289" s="353"/>
      <c r="O289" s="238" t="s">
        <v>328</v>
      </c>
      <c r="P289" s="239"/>
      <c r="Q289" s="239"/>
      <c r="R289" s="239"/>
      <c r="S289" s="239"/>
      <c r="T289" s="239"/>
      <c r="U289" s="239"/>
      <c r="V289" s="239"/>
      <c r="W289" s="239"/>
      <c r="X289" s="239"/>
      <c r="Y289" s="240"/>
      <c r="AB289" s="30"/>
      <c r="AC289" s="31" t="str">
        <f>IF(AB289&lt;&gt;AD289,"Change","")</f>
        <v/>
      </c>
      <c r="AD289" s="32" t="str">
        <f>IF(Q425="","",Q425)</f>
        <v/>
      </c>
    </row>
    <row r="290" spans="1:30" ht="14.1" customHeight="1" x14ac:dyDescent="0.25">
      <c r="A290" s="3">
        <v>26</v>
      </c>
      <c r="B290" s="351"/>
      <c r="C290" s="138"/>
      <c r="D290" s="390" t="str">
        <f t="shared" si="61"/>
        <v>Overhead tube fluoroscopy units: 30 cm above table top (Tube as close as possible to measuring point)</v>
      </c>
      <c r="E290" s="138"/>
      <c r="F290" s="138"/>
      <c r="G290" s="138"/>
      <c r="H290" s="138"/>
      <c r="I290" s="138"/>
      <c r="J290" s="138"/>
      <c r="K290" s="138"/>
      <c r="L290" s="138"/>
      <c r="M290" s="353"/>
      <c r="O290" s="241"/>
      <c r="P290" s="239"/>
      <c r="Q290" s="239"/>
      <c r="R290" s="239"/>
      <c r="S290" s="239"/>
      <c r="T290" s="239"/>
      <c r="U290" s="239"/>
      <c r="V290" s="239"/>
      <c r="W290" s="239"/>
      <c r="X290" s="239"/>
      <c r="Y290" s="240"/>
      <c r="AB290" s="74"/>
      <c r="AD290" s="74"/>
    </row>
    <row r="291" spans="1:30" ht="14.1" customHeight="1" x14ac:dyDescent="0.25">
      <c r="A291" s="3">
        <v>27</v>
      </c>
      <c r="B291" s="351"/>
      <c r="C291" s="138"/>
      <c r="D291" s="390" t="str">
        <f t="shared" si="61"/>
        <v>C-arm fluoroscopy units: 30 cm from image receptor input (Tube at any ID, but spacer no closer than measuring point</v>
      </c>
      <c r="E291" s="138"/>
      <c r="F291" s="138"/>
      <c r="G291" s="138"/>
      <c r="H291" s="138"/>
      <c r="I291" s="138"/>
      <c r="J291" s="138"/>
      <c r="K291" s="138"/>
      <c r="L291" s="138"/>
      <c r="M291" s="353"/>
      <c r="O291" s="241"/>
      <c r="P291" s="242" t="s">
        <v>273</v>
      </c>
      <c r="Q291" s="243" t="s">
        <v>329</v>
      </c>
      <c r="R291" s="239"/>
      <c r="S291" s="239"/>
      <c r="T291" s="239"/>
      <c r="U291" s="239"/>
      <c r="V291" s="239"/>
      <c r="W291" s="239"/>
      <c r="X291" s="239"/>
      <c r="Y291" s="240"/>
      <c r="AB291" s="30"/>
      <c r="AC291" s="31" t="str">
        <f>IF(AB291&lt;&gt;AD291,"Change","")</f>
        <v/>
      </c>
      <c r="AD291" s="32" t="str">
        <f>IF(Q427="","",Q427)</f>
        <v/>
      </c>
    </row>
    <row r="292" spans="1:30" ht="14.1" customHeight="1" x14ac:dyDescent="0.25">
      <c r="A292" s="3">
        <v>28</v>
      </c>
      <c r="B292" s="351"/>
      <c r="C292" s="138"/>
      <c r="D292" s="390" t="str">
        <f t="shared" si="61"/>
        <v>Lateral fluoroscopy units: 15 cm from center line of table and towards the tube (Position table and tube so spacer is as close as possible to measuring point)</v>
      </c>
      <c r="E292" s="138"/>
      <c r="F292" s="138"/>
      <c r="G292" s="138"/>
      <c r="H292" s="138"/>
      <c r="I292" s="138"/>
      <c r="J292" s="138"/>
      <c r="K292" s="138"/>
      <c r="L292" s="138"/>
      <c r="M292" s="353"/>
      <c r="O292" s="241"/>
      <c r="P292" s="244"/>
      <c r="Q292" s="239"/>
      <c r="R292" s="239"/>
      <c r="S292" s="239"/>
      <c r="T292" s="239"/>
      <c r="U292" s="239"/>
      <c r="V292" s="239"/>
      <c r="W292" s="239"/>
      <c r="X292" s="239"/>
      <c r="Y292" s="240"/>
      <c r="AB292" s="74"/>
      <c r="AD292" s="74"/>
    </row>
    <row r="293" spans="1:30" ht="14.1" customHeight="1" x14ac:dyDescent="0.25">
      <c r="A293" s="3">
        <v>29</v>
      </c>
      <c r="B293" s="351"/>
      <c r="C293" s="138"/>
      <c r="D293" s="244" t="str">
        <f t="shared" si="61"/>
        <v>Criteria:</v>
      </c>
      <c r="E293" s="391" t="str">
        <f>Q131</f>
        <v>Max Entrance Exposure Rate &lt;= 88 mGy/min (auto) and &lt;= 44 mGy/min (manual)</v>
      </c>
      <c r="F293" s="138"/>
      <c r="G293" s="138"/>
      <c r="H293" s="138"/>
      <c r="I293" s="138"/>
      <c r="J293" s="138"/>
      <c r="K293" s="138"/>
      <c r="L293" s="138"/>
      <c r="M293" s="353"/>
      <c r="O293" s="241"/>
      <c r="P293" s="600" t="s">
        <v>330</v>
      </c>
      <c r="Q293" s="600"/>
      <c r="R293" s="600"/>
      <c r="S293" s="600"/>
      <c r="T293" s="239"/>
      <c r="U293" s="239"/>
      <c r="V293" s="239"/>
      <c r="W293" s="239"/>
      <c r="X293" s="239"/>
      <c r="Y293" s="240"/>
      <c r="AB293" s="30"/>
      <c r="AC293" s="31" t="str">
        <f>IF(AB293&lt;&gt;AD293,"Change","")</f>
        <v/>
      </c>
      <c r="AD293" s="32" t="str">
        <f>IF(Q429="","",Q429)</f>
        <v/>
      </c>
    </row>
    <row r="294" spans="1:30" ht="14.1" customHeight="1" x14ac:dyDescent="0.25">
      <c r="A294" s="3">
        <v>30</v>
      </c>
      <c r="B294" s="351"/>
      <c r="C294" s="138"/>
      <c r="D294" s="380"/>
      <c r="E294" s="391" t="str">
        <f>Q132</f>
        <v>Max Entrance Exposure Rate &lt; = 176 mGy/min (high level)</v>
      </c>
      <c r="F294" s="138"/>
      <c r="G294" s="138"/>
      <c r="H294" s="138"/>
      <c r="I294" s="138"/>
      <c r="J294" s="138"/>
      <c r="K294" s="138"/>
      <c r="L294" s="138"/>
      <c r="M294" s="353"/>
      <c r="O294" s="14" t="s">
        <v>331</v>
      </c>
      <c r="P294" s="1" t="s">
        <v>230</v>
      </c>
      <c r="Q294" s="1" t="s">
        <v>332</v>
      </c>
      <c r="R294" s="1" t="s">
        <v>151</v>
      </c>
      <c r="S294" s="1" t="s">
        <v>333</v>
      </c>
      <c r="T294" s="239" t="s">
        <v>334</v>
      </c>
      <c r="U294" s="239"/>
      <c r="V294" s="239"/>
      <c r="W294" s="239"/>
      <c r="X294" s="239"/>
      <c r="Y294" s="240"/>
      <c r="AB294" s="74"/>
      <c r="AD294" s="74"/>
    </row>
    <row r="295" spans="1:30" ht="14.1" customHeight="1" x14ac:dyDescent="0.25">
      <c r="A295" s="3">
        <v>31</v>
      </c>
      <c r="B295" s="351"/>
      <c r="C295" s="138" t="str">
        <f>P133</f>
        <v>Comments:</v>
      </c>
      <c r="D295" s="477" t="str">
        <f>IF(Q133="","",IF(LEN(Q133)&lt;=135,Q133,IF(LEN(Q133)&lt;=260,LEFT(Q133,SEARCH(" ",Q133,125)),LEFT(Q133,SEARCH(" ",Q133,130)))))</f>
        <v/>
      </c>
      <c r="E295" s="478"/>
      <c r="F295" s="478"/>
      <c r="G295" s="478"/>
      <c r="H295" s="478"/>
      <c r="I295" s="478"/>
      <c r="J295" s="478"/>
      <c r="K295" s="478"/>
      <c r="L295" s="478"/>
      <c r="M295" s="479"/>
      <c r="O295" s="246">
        <v>60</v>
      </c>
      <c r="P295" s="87"/>
      <c r="Q295" s="87"/>
      <c r="R295" s="87"/>
      <c r="S295" s="87"/>
      <c r="T295" s="247" t="str">
        <f>IF(OR(O295="",P295=""),"",IF(AND(O295&gt;0,P295&gt;0),(P295-O295)/O295,""))</f>
        <v/>
      </c>
      <c r="U295" s="239"/>
      <c r="V295" s="239"/>
      <c r="W295" s="239"/>
      <c r="X295" s="239"/>
      <c r="Y295" s="240"/>
      <c r="AB295" s="30"/>
      <c r="AC295" s="31" t="str">
        <f>IF(AB295&lt;&gt;AD295,"Change","")</f>
        <v/>
      </c>
      <c r="AD295" s="32" t="str">
        <f>IF(Q431="","",Q431)</f>
        <v/>
      </c>
    </row>
    <row r="296" spans="1:30" ht="14.1" customHeight="1" x14ac:dyDescent="0.25">
      <c r="A296" s="3">
        <v>32</v>
      </c>
      <c r="B296" s="351"/>
      <c r="C296" s="138"/>
      <c r="D296" s="480" t="str">
        <f>IF(LEN(Q133)&lt;=135,"",IF(LEN(Q133)&lt;=260,RIGHT(Q133,LEN(Q133)-SEARCH(" ",Q133,125)),MID(Q133,SEARCH(" ",Q133,130),IF(LEN(Q133)&lt;=265,LEN(Q133),SEARCH(" ",Q133,255)-SEARCH(" ",Q133,130)))))</f>
        <v/>
      </c>
      <c r="E296" s="481"/>
      <c r="F296" s="481"/>
      <c r="G296" s="481"/>
      <c r="H296" s="481"/>
      <c r="I296" s="481"/>
      <c r="J296" s="481"/>
      <c r="K296" s="481"/>
      <c r="L296" s="481"/>
      <c r="M296" s="482"/>
      <c r="O296" s="249">
        <v>80</v>
      </c>
      <c r="P296" s="91"/>
      <c r="Q296" s="91"/>
      <c r="R296" s="91"/>
      <c r="S296" s="91"/>
      <c r="T296" s="250" t="str">
        <f>IF(OR(O296="",P296=""),"",IF(AND(O296&gt;0,P296&gt;0),(P296-O296)/O296,""))</f>
        <v/>
      </c>
      <c r="U296" s="239"/>
      <c r="V296" s="239"/>
      <c r="W296" s="239"/>
      <c r="X296" s="239"/>
      <c r="Y296" s="240"/>
      <c r="AB296" s="74"/>
      <c r="AD296" s="74"/>
    </row>
    <row r="297" spans="1:30" ht="14.1" customHeight="1" x14ac:dyDescent="0.25">
      <c r="A297" s="3">
        <v>33</v>
      </c>
      <c r="B297" s="351"/>
      <c r="C297" s="138"/>
      <c r="D297" s="480" t="str">
        <f>IF(LEN(Q133)&lt;=265,"",RIGHT(Q133,LEN(Q133)-SEARCH(" ",Q133,255)))</f>
        <v/>
      </c>
      <c r="E297" s="481"/>
      <c r="F297" s="481"/>
      <c r="G297" s="481"/>
      <c r="H297" s="481"/>
      <c r="I297" s="481"/>
      <c r="J297" s="481"/>
      <c r="K297" s="481"/>
      <c r="L297" s="481"/>
      <c r="M297" s="482"/>
      <c r="O297" s="249">
        <v>100</v>
      </c>
      <c r="P297" s="91"/>
      <c r="Q297" s="91"/>
      <c r="R297" s="91"/>
      <c r="S297" s="91"/>
      <c r="T297" s="250" t="str">
        <f>IF(OR(O297="",P297=""),"",IF(AND(O297&gt;0,P297&gt;0),(P297-O297)/O297,""))</f>
        <v/>
      </c>
      <c r="U297" s="239"/>
      <c r="V297" s="239"/>
      <c r="W297" s="239"/>
      <c r="X297" s="239"/>
      <c r="Y297" s="240"/>
      <c r="AB297" s="30"/>
      <c r="AC297" s="31" t="str">
        <f>IF(AB297&lt;&gt;AD297,"Change","")</f>
        <v/>
      </c>
      <c r="AD297" s="32" t="str">
        <f>IF(Q433="","",Q433)</f>
        <v/>
      </c>
    </row>
    <row r="298" spans="1:30" ht="14.1" customHeight="1" thickBot="1" x14ac:dyDescent="0.3">
      <c r="A298" s="3">
        <v>34</v>
      </c>
      <c r="B298" s="474"/>
      <c r="C298" s="475"/>
      <c r="D298" s="475"/>
      <c r="E298" s="475"/>
      <c r="F298" s="475"/>
      <c r="G298" s="475"/>
      <c r="H298" s="475"/>
      <c r="I298" s="475"/>
      <c r="J298" s="475"/>
      <c r="K298" s="475"/>
      <c r="L298" s="475"/>
      <c r="M298" s="476"/>
      <c r="O298" s="135">
        <v>120</v>
      </c>
      <c r="P298" s="96"/>
      <c r="Q298" s="96"/>
      <c r="R298" s="96"/>
      <c r="S298" s="96"/>
      <c r="T298" s="252" t="str">
        <f>IF(OR(O298="",P298=""),"",IF(AND(O298&gt;0,P298&gt;0),(P298-O298)/O298,""))</f>
        <v/>
      </c>
      <c r="U298" s="239"/>
      <c r="V298" s="239"/>
      <c r="W298" s="239"/>
      <c r="X298" s="239"/>
      <c r="Y298" s="240"/>
      <c r="AB298" s="74"/>
      <c r="AD298" s="74"/>
    </row>
    <row r="299" spans="1:30" ht="14.1" customHeight="1" thickBot="1" x14ac:dyDescent="0.3">
      <c r="A299" s="3">
        <v>35</v>
      </c>
      <c r="B299" s="351"/>
      <c r="C299" s="395" t="s">
        <v>253</v>
      </c>
      <c r="D299" s="138"/>
      <c r="E299" s="138"/>
      <c r="F299" s="138"/>
      <c r="G299" s="138"/>
      <c r="H299" s="138"/>
      <c r="I299" s="138"/>
      <c r="J299" s="138"/>
      <c r="K299" s="138"/>
      <c r="L299" s="138"/>
      <c r="M299" s="353"/>
      <c r="O299" s="241"/>
      <c r="P299" s="239"/>
      <c r="Q299" s="239"/>
      <c r="R299" s="239"/>
      <c r="S299" s="1" t="s">
        <v>182</v>
      </c>
      <c r="T299" s="254" t="str">
        <f>IF(T295="","",IF(AND(ABS(MAX(T295:T298))&lt;=0.05,ABS(MIN(T295:T298))&lt;=0.05),"YES","NO"))</f>
        <v/>
      </c>
      <c r="U299" s="239"/>
      <c r="V299" s="239"/>
      <c r="W299" s="239"/>
      <c r="X299" s="239"/>
      <c r="Y299" s="240"/>
      <c r="AB299" s="30"/>
      <c r="AC299" s="31" t="str">
        <f>IF(AB299&lt;&gt;AD299,"Change","")</f>
        <v/>
      </c>
      <c r="AD299" s="32" t="str">
        <f>IF(Q435="","",Q435)</f>
        <v/>
      </c>
    </row>
    <row r="300" spans="1:30" ht="14.1" customHeight="1" x14ac:dyDescent="0.25">
      <c r="A300" s="3">
        <v>36</v>
      </c>
      <c r="B300" s="351"/>
      <c r="C300" s="138"/>
      <c r="D300" s="138"/>
      <c r="E300" s="138"/>
      <c r="F300" s="138"/>
      <c r="G300" s="138"/>
      <c r="H300" s="138"/>
      <c r="I300" s="138"/>
      <c r="J300" s="138"/>
      <c r="K300" s="138"/>
      <c r="L300" s="138"/>
      <c r="M300" s="353"/>
      <c r="O300" s="241"/>
      <c r="P300" s="25" t="s">
        <v>188</v>
      </c>
      <c r="Q300" s="166" t="s">
        <v>171</v>
      </c>
      <c r="R300" s="239"/>
      <c r="S300" s="239"/>
      <c r="T300" s="239"/>
      <c r="U300" s="239"/>
      <c r="V300" s="239"/>
      <c r="W300" s="239"/>
      <c r="X300" s="239"/>
      <c r="Y300" s="240"/>
      <c r="AB300" s="74"/>
      <c r="AD300" s="74"/>
    </row>
    <row r="301" spans="1:30" ht="14.1" customHeight="1" x14ac:dyDescent="0.25">
      <c r="A301" s="3">
        <v>37</v>
      </c>
      <c r="B301" s="351"/>
      <c r="C301" s="45" t="str">
        <f>O188</f>
        <v>Dose</v>
      </c>
      <c r="D301" s="45" t="str">
        <f>P188</f>
        <v>Receptor</v>
      </c>
      <c r="E301" s="45"/>
      <c r="F301" s="45"/>
      <c r="G301" s="45"/>
      <c r="H301" s="45"/>
      <c r="I301" s="138"/>
      <c r="J301" s="138"/>
      <c r="K301" s="138"/>
      <c r="L301" s="138"/>
      <c r="M301" s="353"/>
      <c r="O301" s="241"/>
      <c r="P301" s="239"/>
      <c r="Q301" s="239"/>
      <c r="R301" s="239"/>
      <c r="S301" s="239"/>
      <c r="T301" s="239"/>
      <c r="U301" s="239"/>
      <c r="V301" s="239"/>
      <c r="W301" s="239"/>
      <c r="X301" s="239"/>
      <c r="Y301" s="240"/>
      <c r="AB301" s="30"/>
      <c r="AC301" s="31" t="str">
        <f>IF(AB301&lt;&gt;AD301,"Change","")</f>
        <v/>
      </c>
      <c r="AD301" s="32" t="str">
        <f>IF(Q437="","",Q437)</f>
        <v/>
      </c>
    </row>
    <row r="302" spans="1:30" ht="14.1" customHeight="1" thickBot="1" x14ac:dyDescent="0.3">
      <c r="A302" s="3">
        <v>38</v>
      </c>
      <c r="B302" s="351"/>
      <c r="C302" s="45" t="str">
        <f>O189</f>
        <v>Level</v>
      </c>
      <c r="D302" s="45" t="str">
        <f>P189</f>
        <v>Size (cm)</v>
      </c>
      <c r="E302" s="45" t="str">
        <f>Q189</f>
        <v>kVp</v>
      </c>
      <c r="F302" s="45" t="str">
        <f>R189</f>
        <v>mA</v>
      </c>
      <c r="G302" s="45" t="str">
        <f>S189</f>
        <v>uGy/min</v>
      </c>
      <c r="H302" s="45" t="str">
        <f>T189</f>
        <v>nGy/frame</v>
      </c>
      <c r="I302" s="138"/>
      <c r="J302" s="138"/>
      <c r="K302" s="138"/>
      <c r="L302" s="138"/>
      <c r="M302" s="353"/>
      <c r="O302" s="241"/>
      <c r="P302" s="600" t="s">
        <v>330</v>
      </c>
      <c r="Q302" s="600"/>
      <c r="R302" s="600"/>
      <c r="S302" s="600"/>
      <c r="T302" s="239"/>
      <c r="U302" s="239"/>
      <c r="V302" s="239"/>
      <c r="W302" s="239"/>
      <c r="X302" s="239"/>
      <c r="Y302" s="240"/>
      <c r="AB302" s="74"/>
      <c r="AD302" s="74"/>
    </row>
    <row r="303" spans="1:30" ht="14.1" customHeight="1" thickBot="1" x14ac:dyDescent="0.3">
      <c r="A303" s="3">
        <v>39</v>
      </c>
      <c r="B303" s="351"/>
      <c r="C303" s="578" t="str">
        <f>O190</f>
        <v>Auto 1</v>
      </c>
      <c r="D303" s="488" t="str">
        <f t="shared" ref="D303:D317" si="62">IF(P190="","",P190)</f>
        <v/>
      </c>
      <c r="E303" s="489" t="str">
        <f t="shared" ref="E303:E317" si="63">IF(Q190="","",Q190)</f>
        <v/>
      </c>
      <c r="F303" s="489" t="str">
        <f t="shared" ref="F303:F317" si="64">IF(R190="","",R190)</f>
        <v/>
      </c>
      <c r="G303" s="490" t="str">
        <f t="shared" ref="G303:G317" si="65">IF(S190="","",S190)</f>
        <v/>
      </c>
      <c r="H303" s="488" t="str">
        <f t="shared" ref="H303:H317" si="66">IF(T190="","",T190)</f>
        <v/>
      </c>
      <c r="I303" s="138"/>
      <c r="J303" s="380" t="str">
        <f>W190</f>
        <v>Measure using pancake probe placed against</v>
      </c>
      <c r="K303" s="138"/>
      <c r="L303" s="138"/>
      <c r="M303" s="353"/>
      <c r="O303" s="14" t="s">
        <v>335</v>
      </c>
      <c r="P303" s="1" t="s">
        <v>230</v>
      </c>
      <c r="Q303" s="1" t="s">
        <v>332</v>
      </c>
      <c r="R303" s="1" t="s">
        <v>151</v>
      </c>
      <c r="S303" s="1" t="s">
        <v>333</v>
      </c>
      <c r="T303" s="239"/>
      <c r="U303" s="239"/>
      <c r="V303" s="239"/>
      <c r="W303" s="239"/>
      <c r="X303" s="239"/>
      <c r="Y303" s="240"/>
      <c r="AB303" s="30"/>
      <c r="AC303" s="31" t="str">
        <f>IF(AB303&lt;&gt;AD303,"Change","")</f>
        <v/>
      </c>
      <c r="AD303" s="32" t="str">
        <f>IF(Q439="","",Q439)</f>
        <v/>
      </c>
    </row>
    <row r="304" spans="1:30" ht="14.1" customHeight="1" thickBot="1" x14ac:dyDescent="0.3">
      <c r="A304" s="3">
        <v>40</v>
      </c>
      <c r="B304" s="351"/>
      <c r="C304" s="579"/>
      <c r="D304" s="491" t="str">
        <f t="shared" si="62"/>
        <v/>
      </c>
      <c r="E304" s="492" t="str">
        <f t="shared" si="63"/>
        <v/>
      </c>
      <c r="F304" s="492" t="str">
        <f t="shared" si="64"/>
        <v/>
      </c>
      <c r="G304" s="493" t="str">
        <f t="shared" si="65"/>
        <v/>
      </c>
      <c r="H304" s="491" t="str">
        <f t="shared" si="66"/>
        <v/>
      </c>
      <c r="I304" s="138"/>
      <c r="J304" s="380" t="str">
        <f>W191</f>
        <v>image receptor input window</v>
      </c>
      <c r="K304" s="138"/>
      <c r="L304" s="138"/>
      <c r="M304" s="353"/>
      <c r="O304" s="261">
        <f>O296</f>
        <v>80</v>
      </c>
      <c r="P304" s="262" t="str">
        <f>IF(P296="","",P296)</f>
        <v/>
      </c>
      <c r="Q304" s="174" t="str">
        <f>IF(Q296="","",Q296)</f>
        <v/>
      </c>
      <c r="R304" s="174" t="str">
        <f>IF(R296="","",R296)</f>
        <v/>
      </c>
      <c r="S304" s="263" t="str">
        <f>IF(S296="","",S296)</f>
        <v/>
      </c>
      <c r="T304" s="239"/>
      <c r="U304" s="239"/>
      <c r="V304" s="239"/>
      <c r="W304" s="239"/>
      <c r="X304" s="239"/>
      <c r="Y304" s="240"/>
      <c r="AB304" s="74"/>
      <c r="AD304" s="74"/>
    </row>
    <row r="305" spans="1:30" ht="14.1" customHeight="1" x14ac:dyDescent="0.25">
      <c r="A305" s="3">
        <v>41</v>
      </c>
      <c r="B305" s="351"/>
      <c r="C305" s="579"/>
      <c r="D305" s="491" t="str">
        <f t="shared" si="62"/>
        <v/>
      </c>
      <c r="E305" s="492" t="str">
        <f t="shared" si="63"/>
        <v/>
      </c>
      <c r="F305" s="492" t="str">
        <f t="shared" si="64"/>
        <v/>
      </c>
      <c r="G305" s="493" t="str">
        <f t="shared" si="65"/>
        <v/>
      </c>
      <c r="H305" s="491" t="str">
        <f t="shared" si="66"/>
        <v/>
      </c>
      <c r="I305" s="138"/>
      <c r="J305" s="380" t="str">
        <f>W192</f>
        <v>Use 1.5mm Cu filtration</v>
      </c>
      <c r="K305" s="138"/>
      <c r="L305" s="138"/>
      <c r="M305" s="353"/>
      <c r="O305" s="241"/>
      <c r="P305" s="90"/>
      <c r="Q305" s="91"/>
      <c r="R305" s="91"/>
      <c r="S305" s="92"/>
      <c r="T305" s="239"/>
      <c r="U305" s="239"/>
      <c r="V305" s="239"/>
      <c r="W305" s="239"/>
      <c r="X305" s="239"/>
      <c r="Y305" s="240"/>
      <c r="AB305" s="30"/>
      <c r="AC305" s="31" t="str">
        <f>IF(AB305&lt;&gt;AD305,"Change","")</f>
        <v/>
      </c>
      <c r="AD305" s="32" t="str">
        <f>IF(Q441="","",Q441)</f>
        <v/>
      </c>
    </row>
    <row r="306" spans="1:30" ht="14.1" customHeight="1" x14ac:dyDescent="0.25">
      <c r="A306" s="3">
        <v>42</v>
      </c>
      <c r="B306" s="351"/>
      <c r="C306" s="579"/>
      <c r="D306" s="491" t="str">
        <f t="shared" si="62"/>
        <v/>
      </c>
      <c r="E306" s="492" t="str">
        <f t="shared" si="63"/>
        <v/>
      </c>
      <c r="F306" s="492" t="str">
        <f t="shared" si="64"/>
        <v/>
      </c>
      <c r="G306" s="493" t="str">
        <f t="shared" si="65"/>
        <v/>
      </c>
      <c r="H306" s="491" t="str">
        <f t="shared" si="66"/>
        <v/>
      </c>
      <c r="I306" s="138"/>
      <c r="J306" s="138"/>
      <c r="K306" s="138"/>
      <c r="L306" s="138"/>
      <c r="M306" s="353"/>
      <c r="O306" s="241"/>
      <c r="P306" s="90"/>
      <c r="Q306" s="91"/>
      <c r="R306" s="91"/>
      <c r="S306" s="92"/>
      <c r="T306" s="239"/>
      <c r="U306" s="239"/>
      <c r="V306" s="239"/>
      <c r="W306" s="239"/>
      <c r="X306" s="239"/>
      <c r="Y306" s="240"/>
      <c r="AB306" s="74"/>
      <c r="AD306" s="18"/>
    </row>
    <row r="307" spans="1:30" ht="14.1" customHeight="1" thickBot="1" x14ac:dyDescent="0.3">
      <c r="A307" s="3">
        <v>43</v>
      </c>
      <c r="B307" s="351"/>
      <c r="C307" s="601"/>
      <c r="D307" s="494" t="str">
        <f t="shared" si="62"/>
        <v/>
      </c>
      <c r="E307" s="495" t="str">
        <f t="shared" si="63"/>
        <v/>
      </c>
      <c r="F307" s="495" t="str">
        <f t="shared" si="64"/>
        <v/>
      </c>
      <c r="G307" s="496" t="str">
        <f t="shared" si="65"/>
        <v/>
      </c>
      <c r="H307" s="494" t="str">
        <f t="shared" si="66"/>
        <v/>
      </c>
      <c r="I307" s="138"/>
      <c r="J307" s="138"/>
      <c r="K307" s="138"/>
      <c r="L307" s="138"/>
      <c r="M307" s="353"/>
      <c r="O307" s="241"/>
      <c r="P307" s="90"/>
      <c r="Q307" s="91"/>
      <c r="R307" s="91"/>
      <c r="S307" s="92"/>
      <c r="T307" s="239"/>
      <c r="U307" s="239"/>
      <c r="V307" s="239"/>
      <c r="W307" s="239"/>
      <c r="X307" s="239"/>
      <c r="Y307" s="240"/>
      <c r="AB307" s="30"/>
      <c r="AC307" s="31" t="str">
        <f>IF(AB307&lt;&gt;AD307,"Change","")</f>
        <v/>
      </c>
      <c r="AD307" s="32" t="str">
        <f>IF(Q443="","",Q443)</f>
        <v/>
      </c>
    </row>
    <row r="308" spans="1:30" ht="14.1" customHeight="1" thickBot="1" x14ac:dyDescent="0.3">
      <c r="A308" s="3">
        <v>44</v>
      </c>
      <c r="B308" s="351"/>
      <c r="C308" s="578" t="str">
        <f>O195</f>
        <v>Auto 2</v>
      </c>
      <c r="D308" s="488" t="str">
        <f t="shared" si="62"/>
        <v/>
      </c>
      <c r="E308" s="489" t="str">
        <f t="shared" si="63"/>
        <v/>
      </c>
      <c r="F308" s="489" t="str">
        <f t="shared" si="64"/>
        <v/>
      </c>
      <c r="G308" s="490" t="str">
        <f t="shared" si="65"/>
        <v/>
      </c>
      <c r="H308" s="488" t="str">
        <f t="shared" si="66"/>
        <v/>
      </c>
      <c r="I308" s="138"/>
      <c r="J308" s="138"/>
      <c r="K308" s="138"/>
      <c r="L308" s="138"/>
      <c r="M308" s="353"/>
      <c r="O308" s="241"/>
      <c r="P308" s="95"/>
      <c r="Q308" s="96"/>
      <c r="R308" s="96"/>
      <c r="S308" s="97"/>
      <c r="T308" s="239"/>
      <c r="U308" s="239"/>
      <c r="V308" s="239"/>
      <c r="W308" s="239"/>
      <c r="X308" s="239"/>
      <c r="Y308" s="240"/>
      <c r="AB308" s="74"/>
      <c r="AD308" s="18"/>
    </row>
    <row r="309" spans="1:30" ht="14.1" customHeight="1" x14ac:dyDescent="0.25">
      <c r="A309" s="3">
        <v>45</v>
      </c>
      <c r="B309" s="351"/>
      <c r="C309" s="579"/>
      <c r="D309" s="491" t="str">
        <f t="shared" si="62"/>
        <v/>
      </c>
      <c r="E309" s="492" t="str">
        <f t="shared" si="63"/>
        <v/>
      </c>
      <c r="F309" s="492" t="str">
        <f t="shared" si="64"/>
        <v/>
      </c>
      <c r="G309" s="493" t="str">
        <f t="shared" si="65"/>
        <v/>
      </c>
      <c r="H309" s="491" t="str">
        <f t="shared" si="66"/>
        <v/>
      </c>
      <c r="I309" s="138"/>
      <c r="J309" s="138"/>
      <c r="K309" s="138"/>
      <c r="L309" s="138"/>
      <c r="M309" s="353"/>
      <c r="O309" s="267" t="s">
        <v>277</v>
      </c>
      <c r="P309" s="268" t="str">
        <f>IF(P304="","",AVERAGE(P304:P308))</f>
        <v/>
      </c>
      <c r="Q309" s="269"/>
      <c r="R309" s="239"/>
      <c r="S309" s="239"/>
      <c r="T309" s="239"/>
      <c r="U309" s="239"/>
      <c r="V309" s="239"/>
      <c r="W309" s="239"/>
      <c r="X309" s="239"/>
      <c r="Y309" s="240"/>
      <c r="AB309" s="30"/>
      <c r="AC309" s="31" t="str">
        <f>IF(AB309&lt;&gt;AD309,"Change","")</f>
        <v/>
      </c>
      <c r="AD309" s="32" t="str">
        <f>IF(Q445="","",Q445)</f>
        <v/>
      </c>
    </row>
    <row r="310" spans="1:30" ht="14.1" customHeight="1" x14ac:dyDescent="0.25">
      <c r="A310" s="3">
        <v>46</v>
      </c>
      <c r="B310" s="351"/>
      <c r="C310" s="579"/>
      <c r="D310" s="491" t="str">
        <f t="shared" si="62"/>
        <v/>
      </c>
      <c r="E310" s="492" t="str">
        <f t="shared" si="63"/>
        <v/>
      </c>
      <c r="F310" s="492" t="str">
        <f t="shared" si="64"/>
        <v/>
      </c>
      <c r="G310" s="493" t="str">
        <f t="shared" si="65"/>
        <v/>
      </c>
      <c r="H310" s="491" t="str">
        <f t="shared" si="66"/>
        <v/>
      </c>
      <c r="I310" s="138"/>
      <c r="J310" s="138"/>
      <c r="K310" s="138"/>
      <c r="L310" s="138"/>
      <c r="M310" s="353"/>
      <c r="O310" s="267" t="s">
        <v>278</v>
      </c>
      <c r="P310" s="270" t="str">
        <f>IF(P304="","",STDEV(P304:P308))</f>
        <v/>
      </c>
      <c r="Q310" s="271"/>
      <c r="R310" s="239"/>
      <c r="S310" s="239"/>
      <c r="T310" s="239"/>
      <c r="U310" s="239"/>
      <c r="V310" s="239"/>
      <c r="W310" s="239"/>
      <c r="X310" s="239"/>
      <c r="Y310" s="240"/>
      <c r="AB310" s="74"/>
      <c r="AD310" s="18"/>
    </row>
    <row r="311" spans="1:30" ht="14.1" customHeight="1" thickBot="1" x14ac:dyDescent="0.3">
      <c r="A311" s="3">
        <v>47</v>
      </c>
      <c r="B311" s="351"/>
      <c r="C311" s="579"/>
      <c r="D311" s="491" t="str">
        <f t="shared" si="62"/>
        <v/>
      </c>
      <c r="E311" s="492" t="str">
        <f t="shared" si="63"/>
        <v/>
      </c>
      <c r="F311" s="492" t="str">
        <f t="shared" si="64"/>
        <v/>
      </c>
      <c r="G311" s="493" t="str">
        <f t="shared" si="65"/>
        <v/>
      </c>
      <c r="H311" s="491" t="str">
        <f t="shared" si="66"/>
        <v/>
      </c>
      <c r="I311" s="138"/>
      <c r="J311" s="138"/>
      <c r="K311" s="138"/>
      <c r="L311" s="138"/>
      <c r="M311" s="353"/>
      <c r="O311" s="267" t="s">
        <v>279</v>
      </c>
      <c r="P311" s="272" t="str">
        <f>IF(P309="","",IF(P309&gt;0,P310/P309,""))</f>
        <v/>
      </c>
      <c r="Q311" s="273"/>
      <c r="R311" s="239"/>
      <c r="S311" s="239"/>
      <c r="T311" s="239"/>
      <c r="U311" s="239"/>
      <c r="V311" s="239"/>
      <c r="W311" s="239"/>
      <c r="X311" s="239"/>
      <c r="Y311" s="240"/>
      <c r="AB311" s="30"/>
      <c r="AC311" s="31" t="str">
        <f>IF(AB311&lt;&gt;AD311,"Change","")</f>
        <v/>
      </c>
      <c r="AD311" s="32" t="str">
        <f>IF(Q447="","",Q447)</f>
        <v/>
      </c>
    </row>
    <row r="312" spans="1:30" ht="14.1" customHeight="1" thickBot="1" x14ac:dyDescent="0.3">
      <c r="A312" s="3">
        <v>48</v>
      </c>
      <c r="B312" s="351"/>
      <c r="C312" s="580"/>
      <c r="D312" s="497" t="str">
        <f t="shared" si="62"/>
        <v/>
      </c>
      <c r="E312" s="498" t="str">
        <f t="shared" si="63"/>
        <v/>
      </c>
      <c r="F312" s="498" t="str">
        <f t="shared" si="64"/>
        <v/>
      </c>
      <c r="G312" s="499" t="str">
        <f t="shared" si="65"/>
        <v/>
      </c>
      <c r="H312" s="497" t="str">
        <f t="shared" si="66"/>
        <v/>
      </c>
      <c r="I312" s="138"/>
      <c r="J312" s="138"/>
      <c r="K312" s="138"/>
      <c r="L312" s="138"/>
      <c r="M312" s="353"/>
      <c r="O312" s="14" t="s">
        <v>182</v>
      </c>
      <c r="P312" s="254" t="str">
        <f>IF(P311="","",IF(P311&lt;0.05,"YES","NO"))</f>
        <v/>
      </c>
      <c r="Q312" s="239"/>
      <c r="R312" s="239"/>
      <c r="S312" s="239"/>
      <c r="T312" s="239"/>
      <c r="U312" s="239"/>
      <c r="V312" s="239"/>
      <c r="W312" s="239"/>
      <c r="X312" s="239"/>
      <c r="Y312" s="240"/>
      <c r="AB312" s="74"/>
      <c r="AD312" s="18"/>
    </row>
    <row r="313" spans="1:30" ht="14.1" customHeight="1" x14ac:dyDescent="0.25">
      <c r="A313" s="3">
        <v>49</v>
      </c>
      <c r="B313" s="351"/>
      <c r="C313" s="602" t="str">
        <f>O200</f>
        <v>High Level</v>
      </c>
      <c r="D313" s="500" t="str">
        <f t="shared" si="62"/>
        <v/>
      </c>
      <c r="E313" s="501" t="str">
        <f t="shared" si="63"/>
        <v/>
      </c>
      <c r="F313" s="501" t="str">
        <f t="shared" si="64"/>
        <v/>
      </c>
      <c r="G313" s="502" t="str">
        <f t="shared" si="65"/>
        <v/>
      </c>
      <c r="H313" s="500" t="str">
        <f t="shared" si="66"/>
        <v/>
      </c>
      <c r="I313" s="138"/>
      <c r="J313" s="138"/>
      <c r="K313" s="138"/>
      <c r="L313" s="138"/>
      <c r="M313" s="353"/>
      <c r="O313" s="241"/>
      <c r="P313" s="25" t="s">
        <v>188</v>
      </c>
      <c r="Q313" s="166" t="s">
        <v>336</v>
      </c>
      <c r="R313" s="239"/>
      <c r="S313" s="239"/>
      <c r="T313" s="239"/>
      <c r="U313" s="239"/>
      <c r="V313" s="239"/>
      <c r="W313" s="239"/>
      <c r="X313" s="239"/>
      <c r="Y313" s="240"/>
      <c r="AB313" s="30"/>
      <c r="AC313" s="31" t="str">
        <f>IF(AB313&lt;&gt;AD313,"Change","")</f>
        <v/>
      </c>
      <c r="AD313" s="32" t="str">
        <f>IF(Q449="","",Q449)</f>
        <v/>
      </c>
    </row>
    <row r="314" spans="1:30" ht="14.1" customHeight="1" x14ac:dyDescent="0.25">
      <c r="A314" s="3">
        <v>50</v>
      </c>
      <c r="B314" s="351"/>
      <c r="C314" s="579"/>
      <c r="D314" s="491" t="str">
        <f t="shared" si="62"/>
        <v/>
      </c>
      <c r="E314" s="492" t="str">
        <f t="shared" si="63"/>
        <v/>
      </c>
      <c r="F314" s="492" t="str">
        <f t="shared" si="64"/>
        <v/>
      </c>
      <c r="G314" s="493" t="str">
        <f t="shared" si="65"/>
        <v/>
      </c>
      <c r="H314" s="491" t="str">
        <f t="shared" si="66"/>
        <v/>
      </c>
      <c r="I314" s="138"/>
      <c r="J314" s="138"/>
      <c r="K314" s="138"/>
      <c r="L314" s="138"/>
      <c r="M314" s="353"/>
      <c r="O314" s="241"/>
      <c r="P314" s="239"/>
      <c r="Q314" s="239"/>
      <c r="R314" s="239"/>
      <c r="S314" s="239"/>
      <c r="T314" s="239"/>
      <c r="U314" s="239"/>
      <c r="V314" s="239"/>
      <c r="W314" s="239"/>
      <c r="X314" s="239"/>
      <c r="Y314" s="240"/>
    </row>
    <row r="315" spans="1:30" ht="14.1" customHeight="1" thickBot="1" x14ac:dyDescent="0.3">
      <c r="A315" s="3">
        <v>51</v>
      </c>
      <c r="B315" s="351"/>
      <c r="C315" s="579"/>
      <c r="D315" s="491" t="str">
        <f t="shared" si="62"/>
        <v/>
      </c>
      <c r="E315" s="492" t="str">
        <f t="shared" si="63"/>
        <v/>
      </c>
      <c r="F315" s="492" t="str">
        <f t="shared" si="64"/>
        <v/>
      </c>
      <c r="G315" s="493" t="str">
        <f t="shared" si="65"/>
        <v/>
      </c>
      <c r="H315" s="491" t="str">
        <f t="shared" si="66"/>
        <v/>
      </c>
      <c r="I315" s="207"/>
      <c r="J315" s="207"/>
      <c r="K315" s="207"/>
      <c r="L315" s="207"/>
      <c r="M315" s="353"/>
      <c r="O315" s="241"/>
      <c r="P315" s="239"/>
      <c r="Q315" s="239"/>
      <c r="R315" s="239"/>
      <c r="S315" s="239"/>
      <c r="T315" s="239"/>
      <c r="U315" s="239"/>
      <c r="V315" s="239"/>
      <c r="W315" s="239"/>
      <c r="X315" s="239"/>
      <c r="Y315" s="240"/>
    </row>
    <row r="316" spans="1:30" ht="14.1" customHeight="1" x14ac:dyDescent="0.25">
      <c r="A316" s="3">
        <v>52</v>
      </c>
      <c r="B316" s="351"/>
      <c r="C316" s="579"/>
      <c r="D316" s="491" t="str">
        <f t="shared" si="62"/>
        <v/>
      </c>
      <c r="E316" s="492" t="str">
        <f t="shared" si="63"/>
        <v/>
      </c>
      <c r="F316" s="492" t="str">
        <f t="shared" si="64"/>
        <v/>
      </c>
      <c r="G316" s="493" t="str">
        <f t="shared" si="65"/>
        <v/>
      </c>
      <c r="H316" s="491" t="str">
        <f t="shared" si="66"/>
        <v/>
      </c>
      <c r="I316" s="207"/>
      <c r="J316" s="207"/>
      <c r="K316" s="207"/>
      <c r="L316" s="207"/>
      <c r="M316" s="353"/>
      <c r="O316" s="118" t="s">
        <v>209</v>
      </c>
      <c r="P316" s="8"/>
      <c r="Q316" s="8"/>
      <c r="R316" s="8"/>
      <c r="S316" s="8"/>
      <c r="T316" s="8"/>
      <c r="U316" s="8"/>
      <c r="V316" s="8"/>
      <c r="W316" s="8"/>
      <c r="X316" s="8"/>
      <c r="Y316" s="9"/>
    </row>
    <row r="317" spans="1:30" ht="14.1" customHeight="1" thickBot="1" x14ac:dyDescent="0.3">
      <c r="A317" s="3">
        <v>53</v>
      </c>
      <c r="B317" s="351"/>
      <c r="C317" s="580"/>
      <c r="D317" s="497" t="str">
        <f t="shared" si="62"/>
        <v/>
      </c>
      <c r="E317" s="498" t="str">
        <f t="shared" si="63"/>
        <v/>
      </c>
      <c r="F317" s="498" t="str">
        <f t="shared" si="64"/>
        <v/>
      </c>
      <c r="G317" s="499" t="str">
        <f t="shared" si="65"/>
        <v/>
      </c>
      <c r="H317" s="497" t="str">
        <f t="shared" si="66"/>
        <v/>
      </c>
      <c r="I317" s="207"/>
      <c r="J317" s="207"/>
      <c r="K317" s="207"/>
      <c r="L317" s="207"/>
      <c r="M317" s="353"/>
      <c r="O317" s="14"/>
      <c r="Y317" s="15"/>
    </row>
    <row r="318" spans="1:30" ht="14.1" customHeight="1" thickBot="1" x14ac:dyDescent="0.3">
      <c r="A318" s="3">
        <v>54</v>
      </c>
      <c r="B318" s="351"/>
      <c r="C318" s="138" t="str">
        <f>P206</f>
        <v>Comments:</v>
      </c>
      <c r="D318" s="70" t="str">
        <f>IF(Q206="","",IF(LEN(Q206)&lt;=135,Q206,IF(LEN(Q206)&lt;=260,LEFT(Q206,SEARCH(" ",Q206,125)),LEFT(Q206,SEARCH(" ",Q206,130)))))</f>
        <v/>
      </c>
      <c r="E318" s="69"/>
      <c r="F318" s="69"/>
      <c r="G318" s="69"/>
      <c r="H318" s="69"/>
      <c r="I318" s="69"/>
      <c r="J318" s="69"/>
      <c r="K318" s="69"/>
      <c r="L318" s="69"/>
      <c r="M318" s="392"/>
      <c r="O318" s="22" t="s">
        <v>82</v>
      </c>
      <c r="P318" s="277" t="s">
        <v>337</v>
      </c>
      <c r="Q318" s="278" t="s">
        <v>338</v>
      </c>
      <c r="R318" s="279" t="s">
        <v>339</v>
      </c>
      <c r="S318" s="94" t="s">
        <v>340</v>
      </c>
      <c r="T318" s="94" t="s">
        <v>341</v>
      </c>
      <c r="U318" s="2" t="s">
        <v>210</v>
      </c>
      <c r="V318" s="50">
        <f>IF(W318&lt;&gt;"",W318,IF(AB154="","",AB154))</f>
        <v>70</v>
      </c>
      <c r="W318" s="51">
        <v>70</v>
      </c>
      <c r="X318" s="56"/>
      <c r="Y318" s="187"/>
    </row>
    <row r="319" spans="1:30" ht="14.1" customHeight="1" x14ac:dyDescent="0.25">
      <c r="A319" s="3">
        <v>55</v>
      </c>
      <c r="B319" s="351"/>
      <c r="C319" s="138"/>
      <c r="D319" s="111" t="str">
        <f>IF(LEN(Q206)&lt;=135,"",IF(LEN(Q206)&lt;=260,RIGHT(Q206,LEN(Q206)-SEARCH(" ",Q206,125)),MID(Q206,SEARCH(" ",Q206,130),IF(LEN(Q206)&lt;=265,LEN(Q206),SEARCH(" ",Q206,255)-SEARCH(" ",Q206,130)))))</f>
        <v/>
      </c>
      <c r="E319" s="113"/>
      <c r="F319" s="113"/>
      <c r="G319" s="113"/>
      <c r="H319" s="113"/>
      <c r="I319" s="113"/>
      <c r="J319" s="113"/>
      <c r="K319" s="113"/>
      <c r="L319" s="113"/>
      <c r="M319" s="393"/>
      <c r="O319" s="144" t="str">
        <f>IF($O$110="","",$O$110&amp;" "&amp;flocm_in)</f>
        <v/>
      </c>
      <c r="P319" s="128"/>
      <c r="Q319" s="129"/>
      <c r="R319" s="280"/>
      <c r="S319" s="281"/>
      <c r="T319" s="281"/>
      <c r="V319" s="603" t="s">
        <v>342</v>
      </c>
      <c r="W319" s="603"/>
      <c r="X319" s="18" t="s">
        <v>343</v>
      </c>
      <c r="Y319" s="187"/>
    </row>
    <row r="320" spans="1:30" ht="14.1" customHeight="1" x14ac:dyDescent="0.25">
      <c r="A320" s="3">
        <v>56</v>
      </c>
      <c r="B320" s="351"/>
      <c r="C320" s="138"/>
      <c r="D320" s="138"/>
      <c r="E320" s="111" t="str">
        <f>IF(LEN(Q206)&lt;=265,"",RIGHT(Q206,LEN(Q206)-SEARCH(" ",Q206,255)))</f>
        <v/>
      </c>
      <c r="F320" s="113"/>
      <c r="G320" s="113"/>
      <c r="H320" s="113"/>
      <c r="I320" s="113"/>
      <c r="J320" s="113"/>
      <c r="K320" s="113"/>
      <c r="L320" s="113"/>
      <c r="M320" s="393"/>
      <c r="O320" s="147" t="str">
        <f>IF($O$113="","",$O$113&amp;" "&amp;flocm_in)</f>
        <v/>
      </c>
      <c r="P320" s="282"/>
      <c r="Q320" s="283"/>
      <c r="R320" s="284"/>
      <c r="S320" s="285"/>
      <c r="T320" s="285"/>
      <c r="V320" s="286">
        <v>1</v>
      </c>
      <c r="W320" s="132" t="s">
        <v>344</v>
      </c>
      <c r="X320" s="18" t="s">
        <v>345</v>
      </c>
      <c r="Y320" s="187"/>
    </row>
    <row r="321" spans="1:25" ht="14.1" customHeight="1" x14ac:dyDescent="0.25">
      <c r="A321" s="3">
        <v>57</v>
      </c>
      <c r="B321" s="381"/>
      <c r="C321" s="253" t="s">
        <v>346</v>
      </c>
      <c r="D321" s="80"/>
      <c r="E321" s="8"/>
      <c r="F321" s="8"/>
      <c r="G321" s="287" t="s">
        <v>285</v>
      </c>
      <c r="H321" s="8"/>
      <c r="I321" s="287"/>
      <c r="J321" s="287"/>
      <c r="K321" s="8"/>
      <c r="L321" s="8"/>
      <c r="M321" s="382"/>
      <c r="O321" s="147" t="str">
        <f>IF($O$116="","",$O$116&amp;" "&amp;flocm_in)</f>
        <v/>
      </c>
      <c r="P321" s="282"/>
      <c r="Q321" s="283"/>
      <c r="R321" s="284"/>
      <c r="S321" s="285"/>
      <c r="T321" s="285"/>
      <c r="V321" s="286">
        <v>2</v>
      </c>
      <c r="W321" s="132" t="s">
        <v>347</v>
      </c>
      <c r="X321" s="56"/>
      <c r="Y321" s="187"/>
    </row>
    <row r="322" spans="1:25" ht="14.1" customHeight="1" thickBot="1" x14ac:dyDescent="0.3">
      <c r="A322" s="3">
        <v>58</v>
      </c>
      <c r="B322" s="351"/>
      <c r="C322" s="138"/>
      <c r="D322" s="242"/>
      <c r="E322" s="45" t="str">
        <f t="shared" ref="E322:H323" si="67">Q236</f>
        <v>kVp</v>
      </c>
      <c r="F322" s="45" t="str">
        <f t="shared" si="67"/>
        <v>mA</v>
      </c>
      <c r="G322" s="45" t="str">
        <f t="shared" si="67"/>
        <v>mGy/min</v>
      </c>
      <c r="H322" s="45" t="str">
        <f t="shared" si="67"/>
        <v>uGy/hr</v>
      </c>
      <c r="I322" s="45" t="str">
        <f t="shared" ref="I322:J325" si="68">U238</f>
        <v>Unshielded</v>
      </c>
      <c r="J322" s="45" t="str">
        <f t="shared" si="68"/>
        <v>Shielded</v>
      </c>
      <c r="K322" s="207"/>
      <c r="L322" s="513" t="str">
        <f>W236</f>
        <v>Acceptable</v>
      </c>
      <c r="M322" s="353"/>
      <c r="O322" s="147" t="str">
        <f>IF($O$119="","",$O$119&amp;" "&amp;flocm_in)</f>
        <v/>
      </c>
      <c r="P322" s="282"/>
      <c r="Q322" s="283"/>
      <c r="R322" s="284"/>
      <c r="S322" s="285"/>
      <c r="T322" s="285"/>
      <c r="V322" s="286">
        <v>3</v>
      </c>
      <c r="W322" s="132" t="s">
        <v>348</v>
      </c>
      <c r="X322" s="56"/>
      <c r="Y322" s="187"/>
    </row>
    <row r="323" spans="1:25" ht="14.1" customHeight="1" thickBot="1" x14ac:dyDescent="0.3">
      <c r="A323" s="3">
        <v>59</v>
      </c>
      <c r="B323" s="351"/>
      <c r="C323" s="45"/>
      <c r="D323" s="510" t="str">
        <f>P237</f>
        <v>Transmission* @ 10cm</v>
      </c>
      <c r="E323" s="511">
        <f t="shared" si="67"/>
        <v>0</v>
      </c>
      <c r="F323" s="511">
        <f t="shared" si="67"/>
        <v>0</v>
      </c>
      <c r="G323" s="511">
        <f t="shared" si="67"/>
        <v>0</v>
      </c>
      <c r="H323" s="512">
        <f t="shared" si="67"/>
        <v>0</v>
      </c>
      <c r="I323" s="45" t="str">
        <f t="shared" si="68"/>
        <v>uGy/hr</v>
      </c>
      <c r="J323" s="45" t="str">
        <f t="shared" si="68"/>
        <v>uGy/hr</v>
      </c>
      <c r="K323" s="207"/>
      <c r="L323" s="514" t="str">
        <f>W237</f>
        <v>YES</v>
      </c>
      <c r="M323" s="353"/>
      <c r="O323" s="137" t="str">
        <f>IF($O$122="","",$O$122&amp;" "&amp;flocm_in)</f>
        <v/>
      </c>
      <c r="P323" s="290"/>
      <c r="Q323" s="291"/>
      <c r="R323" s="292"/>
      <c r="S323" s="293"/>
      <c r="T323" s="293"/>
      <c r="V323" s="286">
        <v>4</v>
      </c>
      <c r="W323" s="132" t="s">
        <v>349</v>
      </c>
      <c r="X323" s="56"/>
      <c r="Y323" s="187"/>
    </row>
    <row r="324" spans="1:25" ht="14.1" customHeight="1" thickBot="1" x14ac:dyDescent="0.3">
      <c r="A324" s="3">
        <v>60</v>
      </c>
      <c r="B324" s="351"/>
      <c r="C324" s="584" t="str">
        <f>O240</f>
        <v>Scatter – Fluoro</v>
      </c>
      <c r="D324" s="503" t="str">
        <f>P240</f>
        <v>Eye level</v>
      </c>
      <c r="E324" s="483">
        <f>Q240</f>
        <v>0</v>
      </c>
      <c r="F324" s="483">
        <f>R240</f>
        <v>0</v>
      </c>
      <c r="G324" s="504"/>
      <c r="H324" s="505"/>
      <c r="I324" s="415" t="str">
        <f t="shared" si="68"/>
        <v/>
      </c>
      <c r="J324" s="410" t="str">
        <f t="shared" si="68"/>
        <v/>
      </c>
      <c r="K324" s="138"/>
      <c r="L324" s="138"/>
      <c r="M324" s="353"/>
      <c r="O324" s="14"/>
      <c r="R324" s="1" t="s">
        <v>182</v>
      </c>
      <c r="S324" s="142" t="str">
        <f>IF(AND(H401="",H402="",H403="",H404="",H405=""),"NA",IF(OR(I401="NO",I402="NO",I403="NO",I404="NO",I405="NO"),"NO","YES"))</f>
        <v>NA</v>
      </c>
      <c r="T324" s="107" t="str">
        <f>IF(AND(K401="",K402="",K403="",K404="",K405=""),"NA",IF(OR(K401="NO",K402="NO",K403="NO",K404="NO",K405="NO"),"NO","YES"))</f>
        <v>NA</v>
      </c>
      <c r="V324" s="56"/>
      <c r="X324" s="56"/>
      <c r="Y324" s="187"/>
    </row>
    <row r="325" spans="1:25" ht="14.1" customHeight="1" thickBot="1" x14ac:dyDescent="0.3">
      <c r="A325" s="3">
        <v>61</v>
      </c>
      <c r="B325" s="351"/>
      <c r="C325" s="585"/>
      <c r="D325" s="506" t="str">
        <f>P241</f>
        <v>Waist level</v>
      </c>
      <c r="E325" s="485">
        <f>Q241</f>
        <v>0</v>
      </c>
      <c r="F325" s="485">
        <f>R241</f>
        <v>0</v>
      </c>
      <c r="G325" s="507"/>
      <c r="H325" s="508"/>
      <c r="I325" s="485" t="str">
        <f t="shared" si="68"/>
        <v/>
      </c>
      <c r="J325" s="509" t="str">
        <f t="shared" si="68"/>
        <v/>
      </c>
      <c r="K325" s="138"/>
      <c r="L325" s="138"/>
      <c r="M325" s="353"/>
      <c r="O325" s="14"/>
      <c r="P325" s="2" t="s">
        <v>191</v>
      </c>
      <c r="Q325" s="109" t="str">
        <f>IF(Q327&lt;&gt;"",Q327,IF(AB237="","",AB237))</f>
        <v/>
      </c>
      <c r="R325" s="69"/>
      <c r="S325" s="69"/>
      <c r="T325" s="69"/>
      <c r="U325" s="69"/>
      <c r="V325" s="56"/>
      <c r="X325" s="69"/>
      <c r="Y325" s="15"/>
    </row>
    <row r="326" spans="1:25" ht="14.1" customHeight="1" x14ac:dyDescent="0.25">
      <c r="A326" s="3">
        <v>62</v>
      </c>
      <c r="B326" s="351"/>
      <c r="C326" s="138" t="str">
        <f>P247</f>
        <v>Comments:</v>
      </c>
      <c r="D326" s="70" t="str">
        <f>IF(Q247="","",IF(LEN(Q247)&lt;=135,Q247,IF(LEN(Q247)&lt;=260,LEFT(Q247,SEARCH(" ",Q247,125)),LEFT(Q247,SEARCH(" ",Q247,130)))))</f>
        <v/>
      </c>
      <c r="E326" s="69"/>
      <c r="F326" s="69"/>
      <c r="G326" s="69"/>
      <c r="H326" s="69"/>
      <c r="I326" s="69"/>
      <c r="J326" s="69"/>
      <c r="K326" s="69"/>
      <c r="L326" s="69"/>
      <c r="M326" s="392"/>
      <c r="O326" s="14"/>
      <c r="P326" s="110" t="s">
        <v>192</v>
      </c>
      <c r="Q326" s="111"/>
      <c r="R326" s="112">
        <f>LEN(Q325)</f>
        <v>0</v>
      </c>
      <c r="S326" s="113"/>
      <c r="T326" s="113"/>
      <c r="U326" s="113"/>
      <c r="V326" s="113"/>
      <c r="W326" s="113"/>
      <c r="X326" s="113"/>
      <c r="Y326" s="15"/>
    </row>
    <row r="327" spans="1:25" ht="14.1" customHeight="1" x14ac:dyDescent="0.25">
      <c r="A327" s="3">
        <v>63</v>
      </c>
      <c r="B327" s="351"/>
      <c r="C327" s="138"/>
      <c r="D327" s="111" t="str">
        <f>IF(LEN(Q247)&lt;=135,"",IF(LEN(Q247)&lt;=260,RIGHT(Q247,LEN(Q247)-SEARCH(" ",Q247,125)),MID(Q247,SEARCH(" ",Q247,130),IF(LEN(Q247)&lt;=265,LEN(Q247),SEARCH(" ",Q247,255)-SEARCH(" ",Q247,130)))))</f>
        <v/>
      </c>
      <c r="E327" s="113"/>
      <c r="F327" s="113"/>
      <c r="G327" s="113"/>
      <c r="H327" s="113"/>
      <c r="I327" s="113"/>
      <c r="J327" s="113"/>
      <c r="K327" s="113"/>
      <c r="L327" s="113"/>
      <c r="M327" s="393"/>
      <c r="O327" s="14"/>
      <c r="P327" s="2" t="s">
        <v>194</v>
      </c>
      <c r="Q327" s="115"/>
      <c r="R327" s="113"/>
      <c r="S327" s="113"/>
      <c r="T327" s="113"/>
      <c r="U327" s="113"/>
      <c r="V327" s="113"/>
      <c r="W327" s="113"/>
      <c r="X327" s="113"/>
      <c r="Y327" s="15"/>
    </row>
    <row r="328" spans="1:25" ht="14.1" customHeight="1" x14ac:dyDescent="0.25">
      <c r="A328" s="3">
        <v>64</v>
      </c>
      <c r="B328" s="354"/>
      <c r="C328" s="355"/>
      <c r="D328" s="355"/>
      <c r="E328" s="394" t="str">
        <f>IF(LEN(Q247)&lt;=265,"",RIGHT(Q247,LEN(Q247)-SEARCH(" ",Q247,255)))</f>
        <v/>
      </c>
      <c r="F328" s="355"/>
      <c r="G328" s="355"/>
      <c r="H328" s="355"/>
      <c r="I328" s="355"/>
      <c r="J328" s="355"/>
      <c r="K328" s="355"/>
      <c r="L328" s="355"/>
      <c r="M328" s="356"/>
      <c r="O328" s="14"/>
      <c r="Y328" s="15"/>
    </row>
    <row r="329" spans="1:25" ht="14.1" customHeight="1" x14ac:dyDescent="0.25">
      <c r="A329" s="3">
        <v>65</v>
      </c>
      <c r="C329" s="2" t="s">
        <v>10</v>
      </c>
      <c r="D329" s="68" t="str">
        <f>IF($P$7="","",$P$7)</f>
        <v/>
      </c>
      <c r="L329" s="2" t="s">
        <v>11</v>
      </c>
      <c r="M329" s="69" t="str">
        <f>IF($X$7="","",$X$7)</f>
        <v>Eugene Mah</v>
      </c>
      <c r="O329" s="83" t="s">
        <v>350</v>
      </c>
      <c r="P329" s="56"/>
      <c r="Q329" s="604" t="s">
        <v>351</v>
      </c>
      <c r="R329" s="604"/>
      <c r="S329" s="604"/>
      <c r="T329" s="604"/>
      <c r="U329" s="604"/>
      <c r="Y329" s="15"/>
    </row>
    <row r="330" spans="1:25" ht="14.1" customHeight="1" x14ac:dyDescent="0.25">
      <c r="A330" s="3">
        <v>66</v>
      </c>
      <c r="C330" s="2" t="s">
        <v>79</v>
      </c>
      <c r="D330" s="70" t="str">
        <f>IF($R$14="","",$R$14&amp;" Tube "&amp;$W$48)</f>
        <v/>
      </c>
      <c r="L330" s="2" t="s">
        <v>25</v>
      </c>
      <c r="M330" s="71" t="str">
        <f>IF($R$13="","",$R$13)</f>
        <v/>
      </c>
      <c r="O330" s="133"/>
      <c r="P330" s="132" t="s">
        <v>352</v>
      </c>
      <c r="Q330" s="300" t="str">
        <f>IF($O$110="","",$O$110&amp;" "&amp;flocm_in)</f>
        <v/>
      </c>
      <c r="R330" s="300" t="str">
        <f>IF($O$113="","",$O$113&amp;" "&amp;flocm_in)</f>
        <v/>
      </c>
      <c r="S330" s="300" t="str">
        <f>IF($O$116="","",$O$116&amp;" "&amp;flocm_in)</f>
        <v/>
      </c>
      <c r="T330" s="300" t="str">
        <f>IF($O$119="","",$O$119&amp;" "&amp;flocm_in)</f>
        <v/>
      </c>
      <c r="U330" s="300" t="str">
        <f>IF($O$122="","",$O$122&amp;" "&amp;flocm_in)</f>
        <v/>
      </c>
      <c r="Y330" s="15"/>
    </row>
    <row r="331" spans="1:25" ht="14.1" customHeight="1" x14ac:dyDescent="0.25">
      <c r="A331" s="3">
        <v>1</v>
      </c>
      <c r="M331" s="72" t="str">
        <f>$H$2</f>
        <v>Medical University of South Carolina</v>
      </c>
      <c r="O331" s="133"/>
      <c r="P331" s="132" t="s">
        <v>353</v>
      </c>
      <c r="Q331" s="283"/>
      <c r="R331" s="283"/>
      <c r="S331" s="283"/>
      <c r="T331" s="283"/>
      <c r="U331" s="283"/>
      <c r="Y331" s="15"/>
    </row>
    <row r="332" spans="1:25" ht="14.1" customHeight="1" x14ac:dyDescent="0.25">
      <c r="A332" s="3">
        <v>2</v>
      </c>
      <c r="H332" s="33" t="str">
        <f>$H$68</f>
        <v>Inspection Results</v>
      </c>
      <c r="M332" s="25" t="str">
        <f>$H$5</f>
        <v>Fluoroscopy System Compliance Inspection</v>
      </c>
      <c r="O332" s="133"/>
      <c r="P332" s="132" t="s">
        <v>354</v>
      </c>
      <c r="Q332" s="283"/>
      <c r="R332" s="283"/>
      <c r="S332" s="283"/>
      <c r="T332" s="283"/>
      <c r="U332" s="283"/>
      <c r="Y332" s="15"/>
    </row>
    <row r="333" spans="1:25" ht="14.1" customHeight="1" thickTop="1" x14ac:dyDescent="0.25">
      <c r="A333" s="3">
        <v>3</v>
      </c>
      <c r="B333" s="348"/>
      <c r="C333" s="374" t="str">
        <f>$O$137</f>
        <v>Patient Entrance Exposure Rate – Digital Acquisition</v>
      </c>
      <c r="D333" s="349"/>
      <c r="E333" s="349"/>
      <c r="F333" s="349"/>
      <c r="G333" s="349"/>
      <c r="H333" s="349"/>
      <c r="I333" s="349"/>
      <c r="J333" s="349"/>
      <c r="K333" s="349"/>
      <c r="L333" s="349"/>
      <c r="M333" s="350"/>
      <c r="O333" s="133"/>
      <c r="P333" s="132" t="s">
        <v>355</v>
      </c>
      <c r="Q333" s="283"/>
      <c r="R333" s="283"/>
      <c r="S333" s="283"/>
      <c r="T333" s="283"/>
      <c r="U333" s="283"/>
      <c r="Y333" s="15"/>
    </row>
    <row r="334" spans="1:25" ht="14.1" customHeight="1" x14ac:dyDescent="0.25">
      <c r="A334" s="3">
        <v>4</v>
      </c>
      <c r="B334" s="351"/>
      <c r="C334" s="449" t="str">
        <f t="shared" ref="C334:D336" si="69">O138</f>
        <v>Image</v>
      </c>
      <c r="D334" s="449" t="str">
        <f t="shared" si="69"/>
        <v>Acrylic</v>
      </c>
      <c r="E334" s="45"/>
      <c r="F334" s="45"/>
      <c r="G334" s="45"/>
      <c r="H334" s="45"/>
      <c r="I334" s="45"/>
      <c r="J334" s="45"/>
      <c r="K334" s="45"/>
      <c r="L334" s="45"/>
      <c r="M334" s="362"/>
      <c r="O334" s="133"/>
      <c r="P334" s="132" t="s">
        <v>356</v>
      </c>
      <c r="Q334" s="283"/>
      <c r="R334" s="283"/>
      <c r="S334" s="283"/>
      <c r="T334" s="283"/>
      <c r="U334" s="283"/>
      <c r="Y334" s="15"/>
    </row>
    <row r="335" spans="1:25" ht="14.1" customHeight="1" x14ac:dyDescent="0.25">
      <c r="A335" s="3">
        <v>5</v>
      </c>
      <c r="B335" s="351"/>
      <c r="C335" s="449" t="str">
        <f t="shared" si="69"/>
        <v>Mode</v>
      </c>
      <c r="D335" s="449" t="str">
        <f t="shared" si="69"/>
        <v>Attenuator</v>
      </c>
      <c r="E335" s="605" t="str">
        <f>Q139</f>
        <v>Auto 1</v>
      </c>
      <c r="F335" s="606"/>
      <c r="G335" s="606"/>
      <c r="H335" s="606" t="str">
        <f>T139</f>
        <v>Auto 2</v>
      </c>
      <c r="I335" s="606"/>
      <c r="J335" s="606"/>
      <c r="K335" s="607" t="str">
        <f>W139</f>
        <v>High Level</v>
      </c>
      <c r="L335" s="607"/>
      <c r="M335" s="608"/>
      <c r="O335" s="133"/>
      <c r="P335" s="132" t="s">
        <v>357</v>
      </c>
      <c r="Q335" s="283"/>
      <c r="R335" s="283"/>
      <c r="S335" s="283"/>
      <c r="T335" s="283"/>
      <c r="U335" s="283"/>
      <c r="Y335" s="15"/>
    </row>
    <row r="336" spans="1:25" ht="14.1" customHeight="1" thickBot="1" x14ac:dyDescent="0.3">
      <c r="A336" s="3">
        <v>6</v>
      </c>
      <c r="B336" s="351"/>
      <c r="C336" s="452" t="str">
        <f t="shared" si="69"/>
        <v>(cm)</v>
      </c>
      <c r="D336" s="449" t="str">
        <f t="shared" si="69"/>
        <v>(cm)</v>
      </c>
      <c r="E336" s="45" t="str">
        <f>Q140</f>
        <v>kVp</v>
      </c>
      <c r="F336" s="45" t="str">
        <f>R140</f>
        <v>mA</v>
      </c>
      <c r="G336" s="448" t="str">
        <f>S140</f>
        <v>mGy/min</v>
      </c>
      <c r="H336" s="460" t="str">
        <f>T140</f>
        <v>kVp</v>
      </c>
      <c r="I336" s="45" t="str">
        <f>U140</f>
        <v>mA</v>
      </c>
      <c r="J336" s="448" t="str">
        <f>V140</f>
        <v>mGy/min</v>
      </c>
      <c r="K336" s="460" t="str">
        <f>W140</f>
        <v>kVp</v>
      </c>
      <c r="L336" s="45" t="str">
        <f>X140</f>
        <v>mA</v>
      </c>
      <c r="M336" s="362" t="str">
        <f>Y140</f>
        <v>mGy/min</v>
      </c>
      <c r="O336" s="133"/>
      <c r="P336" s="132" t="s">
        <v>358</v>
      </c>
      <c r="Q336" s="283"/>
      <c r="R336" s="283"/>
      <c r="S336" s="283"/>
      <c r="T336" s="283"/>
      <c r="U336" s="283"/>
      <c r="Y336" s="15"/>
    </row>
    <row r="337" spans="1:25" ht="14.1" customHeight="1" thickBot="1" x14ac:dyDescent="0.3">
      <c r="A337" s="3">
        <v>7</v>
      </c>
      <c r="B337" s="351"/>
      <c r="C337" s="595" t="str">
        <f>O142&amp;" "&amp;flocm_in</f>
        <v xml:space="preserve"> cm</v>
      </c>
      <c r="D337" s="519">
        <f t="shared" ref="D337:D352" si="70">P141</f>
        <v>10</v>
      </c>
      <c r="E337" s="409">
        <f t="shared" ref="E337:E352" si="71">IF(Q141="","",Q141)</f>
        <v>0</v>
      </c>
      <c r="F337" s="415">
        <f t="shared" ref="F337:F352" si="72">IF(R141="","",R141)</f>
        <v>0</v>
      </c>
      <c r="G337" s="410">
        <f t="shared" ref="G337:G352" si="73">IF(S141="","",S141)</f>
        <v>0</v>
      </c>
      <c r="H337" s="466">
        <f t="shared" ref="H337:H352" si="74">IF(T141="","",T141)</f>
        <v>0</v>
      </c>
      <c r="I337" s="415">
        <f t="shared" ref="I337:I352" si="75">IF(U141="","",U141)</f>
        <v>0</v>
      </c>
      <c r="J337" s="410">
        <f t="shared" ref="J337:J352" si="76">IF(V141="","",V141)</f>
        <v>0</v>
      </c>
      <c r="K337" s="466">
        <f t="shared" ref="K337:K352" si="77">IF(W141="","",W141)</f>
        <v>0</v>
      </c>
      <c r="L337" s="415">
        <f t="shared" ref="L337:L352" si="78">IF(X141="","",X141)</f>
        <v>0</v>
      </c>
      <c r="M337" s="461">
        <f t="shared" ref="M337:M352" si="79">IF(Y141="","",Y141)</f>
        <v>0</v>
      </c>
      <c r="O337" s="133"/>
      <c r="P337" s="132" t="s">
        <v>359</v>
      </c>
      <c r="Q337" s="283"/>
      <c r="R337" s="283"/>
      <c r="S337" s="283"/>
      <c r="T337" s="283"/>
      <c r="U337" s="283"/>
      <c r="Y337" s="15"/>
    </row>
    <row r="338" spans="1:25" ht="14.1" customHeight="1" thickBot="1" x14ac:dyDescent="0.3">
      <c r="A338" s="3">
        <v>8</v>
      </c>
      <c r="B338" s="351"/>
      <c r="C338" s="595"/>
      <c r="D338" s="520">
        <f t="shared" si="70"/>
        <v>20</v>
      </c>
      <c r="E338" s="411">
        <f t="shared" si="71"/>
        <v>0</v>
      </c>
      <c r="F338" s="416">
        <f t="shared" si="72"/>
        <v>0</v>
      </c>
      <c r="G338" s="412">
        <f t="shared" si="73"/>
        <v>0</v>
      </c>
      <c r="H338" s="467">
        <f t="shared" si="74"/>
        <v>0</v>
      </c>
      <c r="I338" s="416">
        <f t="shared" si="75"/>
        <v>0</v>
      </c>
      <c r="J338" s="412">
        <f t="shared" si="76"/>
        <v>0</v>
      </c>
      <c r="K338" s="467">
        <f t="shared" si="77"/>
        <v>0</v>
      </c>
      <c r="L338" s="416">
        <f t="shared" si="78"/>
        <v>0</v>
      </c>
      <c r="M338" s="462">
        <f t="shared" si="79"/>
        <v>0</v>
      </c>
      <c r="O338" s="133"/>
      <c r="P338" s="132" t="s">
        <v>360</v>
      </c>
      <c r="Q338" s="283"/>
      <c r="R338" s="283"/>
      <c r="S338" s="283"/>
      <c r="T338" s="283"/>
      <c r="U338" s="283"/>
      <c r="Y338" s="15"/>
    </row>
    <row r="339" spans="1:25" ht="14.1" customHeight="1" thickBot="1" x14ac:dyDescent="0.3">
      <c r="A339" s="3">
        <v>9</v>
      </c>
      <c r="B339" s="351"/>
      <c r="C339" s="595"/>
      <c r="D339" s="521">
        <f t="shared" si="70"/>
        <v>30</v>
      </c>
      <c r="E339" s="517">
        <f t="shared" si="71"/>
        <v>0</v>
      </c>
      <c r="F339" s="486">
        <f t="shared" si="72"/>
        <v>0</v>
      </c>
      <c r="G339" s="487">
        <f t="shared" si="73"/>
        <v>0</v>
      </c>
      <c r="H339" s="524">
        <f t="shared" si="74"/>
        <v>0</v>
      </c>
      <c r="I339" s="486">
        <f t="shared" si="75"/>
        <v>0</v>
      </c>
      <c r="J339" s="487">
        <f t="shared" si="76"/>
        <v>0</v>
      </c>
      <c r="K339" s="524">
        <f t="shared" si="77"/>
        <v>0</v>
      </c>
      <c r="L339" s="486">
        <f t="shared" si="78"/>
        <v>0</v>
      </c>
      <c r="M339" s="518">
        <f t="shared" si="79"/>
        <v>0</v>
      </c>
      <c r="O339" s="133"/>
      <c r="P339" s="132" t="s">
        <v>361</v>
      </c>
      <c r="Q339" s="283"/>
      <c r="R339" s="283"/>
      <c r="S339" s="283"/>
      <c r="T339" s="283"/>
      <c r="U339" s="283"/>
      <c r="Y339" s="15"/>
    </row>
    <row r="340" spans="1:25" ht="14.1" customHeight="1" thickBot="1" x14ac:dyDescent="0.3">
      <c r="A340" s="3">
        <v>10</v>
      </c>
      <c r="B340" s="351"/>
      <c r="C340" s="595" t="str">
        <f>O145&amp;" "&amp;flocm_in</f>
        <v xml:space="preserve"> cm</v>
      </c>
      <c r="D340" s="519">
        <f t="shared" si="70"/>
        <v>10</v>
      </c>
      <c r="E340" s="409">
        <f t="shared" si="71"/>
        <v>0</v>
      </c>
      <c r="F340" s="415">
        <f t="shared" si="72"/>
        <v>0</v>
      </c>
      <c r="G340" s="410">
        <f t="shared" si="73"/>
        <v>0</v>
      </c>
      <c r="H340" s="466">
        <f t="shared" si="74"/>
        <v>0</v>
      </c>
      <c r="I340" s="415">
        <f t="shared" si="75"/>
        <v>0</v>
      </c>
      <c r="J340" s="410">
        <f t="shared" si="76"/>
        <v>0</v>
      </c>
      <c r="K340" s="466">
        <f t="shared" si="77"/>
        <v>0</v>
      </c>
      <c r="L340" s="415">
        <f t="shared" si="78"/>
        <v>0</v>
      </c>
      <c r="M340" s="461">
        <f t="shared" si="79"/>
        <v>0</v>
      </c>
      <c r="O340" s="133"/>
      <c r="P340" s="132" t="s">
        <v>362</v>
      </c>
      <c r="Q340" s="283"/>
      <c r="R340" s="283"/>
      <c r="S340" s="283"/>
      <c r="T340" s="283"/>
      <c r="U340" s="283"/>
      <c r="Y340" s="15"/>
    </row>
    <row r="341" spans="1:25" ht="14.1" customHeight="1" thickBot="1" x14ac:dyDescent="0.3">
      <c r="A341" s="3">
        <v>11</v>
      </c>
      <c r="B341" s="351"/>
      <c r="C341" s="595"/>
      <c r="D341" s="520">
        <f t="shared" si="70"/>
        <v>20</v>
      </c>
      <c r="E341" s="411">
        <f t="shared" si="71"/>
        <v>0</v>
      </c>
      <c r="F341" s="416">
        <f t="shared" si="72"/>
        <v>0</v>
      </c>
      <c r="G341" s="412">
        <f t="shared" si="73"/>
        <v>0</v>
      </c>
      <c r="H341" s="467">
        <f t="shared" si="74"/>
        <v>0</v>
      </c>
      <c r="I341" s="416">
        <f t="shared" si="75"/>
        <v>0</v>
      </c>
      <c r="J341" s="412">
        <f t="shared" si="76"/>
        <v>0</v>
      </c>
      <c r="K341" s="467">
        <f t="shared" si="77"/>
        <v>0</v>
      </c>
      <c r="L341" s="416">
        <f t="shared" si="78"/>
        <v>0</v>
      </c>
      <c r="M341" s="462">
        <f t="shared" si="79"/>
        <v>0</v>
      </c>
      <c r="O341" s="133"/>
      <c r="P341" s="132" t="s">
        <v>363</v>
      </c>
      <c r="Q341" s="283"/>
      <c r="R341" s="283"/>
      <c r="S341" s="283"/>
      <c r="T341" s="283"/>
      <c r="U341" s="283"/>
      <c r="Y341" s="15"/>
    </row>
    <row r="342" spans="1:25" ht="14.1" customHeight="1" thickBot="1" x14ac:dyDescent="0.3">
      <c r="A342" s="3">
        <v>12</v>
      </c>
      <c r="B342" s="351"/>
      <c r="C342" s="595"/>
      <c r="D342" s="522">
        <f t="shared" si="70"/>
        <v>30</v>
      </c>
      <c r="E342" s="413">
        <f t="shared" si="71"/>
        <v>0</v>
      </c>
      <c r="F342" s="417">
        <f t="shared" si="72"/>
        <v>0</v>
      </c>
      <c r="G342" s="414">
        <f t="shared" si="73"/>
        <v>0</v>
      </c>
      <c r="H342" s="468">
        <f t="shared" si="74"/>
        <v>0</v>
      </c>
      <c r="I342" s="417">
        <f t="shared" si="75"/>
        <v>0</v>
      </c>
      <c r="J342" s="414">
        <f t="shared" si="76"/>
        <v>0</v>
      </c>
      <c r="K342" s="468">
        <f t="shared" si="77"/>
        <v>0</v>
      </c>
      <c r="L342" s="417">
        <f t="shared" si="78"/>
        <v>0</v>
      </c>
      <c r="M342" s="463">
        <f t="shared" si="79"/>
        <v>0</v>
      </c>
      <c r="O342" s="133"/>
      <c r="P342" s="132" t="s">
        <v>364</v>
      </c>
      <c r="Q342" s="283"/>
      <c r="R342" s="283"/>
      <c r="S342" s="283"/>
      <c r="T342" s="283"/>
      <c r="U342" s="283"/>
      <c r="Y342" s="15"/>
    </row>
    <row r="343" spans="1:25" ht="14.1" customHeight="1" thickBot="1" x14ac:dyDescent="0.3">
      <c r="A343" s="3">
        <v>13</v>
      </c>
      <c r="B343" s="351"/>
      <c r="C343" s="595" t="str">
        <f>O148&amp;" "&amp;flocm_in</f>
        <v xml:space="preserve"> cm</v>
      </c>
      <c r="D343" s="523">
        <f t="shared" si="70"/>
        <v>10</v>
      </c>
      <c r="E343" s="464">
        <f t="shared" si="71"/>
        <v>0</v>
      </c>
      <c r="F343" s="439">
        <f t="shared" si="72"/>
        <v>0</v>
      </c>
      <c r="G343" s="470">
        <f t="shared" si="73"/>
        <v>0</v>
      </c>
      <c r="H343" s="469">
        <f t="shared" si="74"/>
        <v>0</v>
      </c>
      <c r="I343" s="439">
        <f t="shared" si="75"/>
        <v>0</v>
      </c>
      <c r="J343" s="470">
        <f t="shared" si="76"/>
        <v>0</v>
      </c>
      <c r="K343" s="469">
        <f t="shared" si="77"/>
        <v>0</v>
      </c>
      <c r="L343" s="439">
        <f t="shared" si="78"/>
        <v>0</v>
      </c>
      <c r="M343" s="465">
        <f t="shared" si="79"/>
        <v>0</v>
      </c>
      <c r="O343" s="14"/>
      <c r="Y343" s="15"/>
    </row>
    <row r="344" spans="1:25" ht="14.1" customHeight="1" thickBot="1" x14ac:dyDescent="0.3">
      <c r="A344" s="3">
        <v>14</v>
      </c>
      <c r="B344" s="351"/>
      <c r="C344" s="595"/>
      <c r="D344" s="520">
        <f t="shared" si="70"/>
        <v>20</v>
      </c>
      <c r="E344" s="411">
        <f t="shared" si="71"/>
        <v>0</v>
      </c>
      <c r="F344" s="416">
        <f t="shared" si="72"/>
        <v>0</v>
      </c>
      <c r="G344" s="412">
        <f t="shared" si="73"/>
        <v>0</v>
      </c>
      <c r="H344" s="467">
        <f t="shared" si="74"/>
        <v>0</v>
      </c>
      <c r="I344" s="416">
        <f t="shared" si="75"/>
        <v>0</v>
      </c>
      <c r="J344" s="412">
        <f t="shared" si="76"/>
        <v>0</v>
      </c>
      <c r="K344" s="467">
        <f t="shared" si="77"/>
        <v>0</v>
      </c>
      <c r="L344" s="416">
        <f t="shared" si="78"/>
        <v>0</v>
      </c>
      <c r="M344" s="462">
        <f t="shared" si="79"/>
        <v>0</v>
      </c>
      <c r="O344" s="14"/>
      <c r="P344" s="2" t="s">
        <v>191</v>
      </c>
      <c r="Q344" s="109" t="str">
        <f>IF(Q346&lt;&gt;"",Q346,IF(AB238="","",AB238))</f>
        <v/>
      </c>
      <c r="R344" s="69"/>
      <c r="S344" s="69"/>
      <c r="T344" s="69"/>
      <c r="U344" s="69"/>
      <c r="V344" s="56"/>
      <c r="X344" s="69"/>
      <c r="Y344" s="15"/>
    </row>
    <row r="345" spans="1:25" ht="14.1" customHeight="1" thickBot="1" x14ac:dyDescent="0.3">
      <c r="A345" s="3">
        <v>15</v>
      </c>
      <c r="B345" s="351"/>
      <c r="C345" s="595"/>
      <c r="D345" s="521">
        <f t="shared" si="70"/>
        <v>30</v>
      </c>
      <c r="E345" s="517">
        <f t="shared" si="71"/>
        <v>0</v>
      </c>
      <c r="F345" s="486">
        <f t="shared" si="72"/>
        <v>0</v>
      </c>
      <c r="G345" s="487">
        <f t="shared" si="73"/>
        <v>0</v>
      </c>
      <c r="H345" s="524">
        <f t="shared" si="74"/>
        <v>0</v>
      </c>
      <c r="I345" s="486">
        <f t="shared" si="75"/>
        <v>0</v>
      </c>
      <c r="J345" s="487">
        <f t="shared" si="76"/>
        <v>0</v>
      </c>
      <c r="K345" s="524">
        <f t="shared" si="77"/>
        <v>0</v>
      </c>
      <c r="L345" s="486">
        <f t="shared" si="78"/>
        <v>0</v>
      </c>
      <c r="M345" s="518">
        <f t="shared" si="79"/>
        <v>0</v>
      </c>
      <c r="O345" s="14"/>
      <c r="P345" s="110" t="s">
        <v>192</v>
      </c>
      <c r="Q345" s="111"/>
      <c r="R345" s="112">
        <f>LEN(Q344)</f>
        <v>0</v>
      </c>
      <c r="S345" s="113"/>
      <c r="T345" s="113"/>
      <c r="U345" s="113"/>
      <c r="V345" s="113"/>
      <c r="W345" s="113"/>
      <c r="X345" s="113"/>
      <c r="Y345" s="15"/>
    </row>
    <row r="346" spans="1:25" ht="14.1" customHeight="1" thickBot="1" x14ac:dyDescent="0.3">
      <c r="A346" s="3">
        <v>16</v>
      </c>
      <c r="B346" s="351"/>
      <c r="C346" s="595" t="str">
        <f>O151&amp;" "&amp;flocm_in</f>
        <v xml:space="preserve"> cm</v>
      </c>
      <c r="D346" s="519">
        <f t="shared" si="70"/>
        <v>10</v>
      </c>
      <c r="E346" s="409">
        <f t="shared" si="71"/>
        <v>0</v>
      </c>
      <c r="F346" s="415">
        <f t="shared" si="72"/>
        <v>0</v>
      </c>
      <c r="G346" s="410">
        <f t="shared" si="73"/>
        <v>0</v>
      </c>
      <c r="H346" s="466">
        <f t="shared" si="74"/>
        <v>0</v>
      </c>
      <c r="I346" s="415">
        <f t="shared" si="75"/>
        <v>0</v>
      </c>
      <c r="J346" s="410">
        <f t="shared" si="76"/>
        <v>0</v>
      </c>
      <c r="K346" s="466">
        <f t="shared" si="77"/>
        <v>0</v>
      </c>
      <c r="L346" s="415">
        <f t="shared" si="78"/>
        <v>0</v>
      </c>
      <c r="M346" s="461">
        <f t="shared" si="79"/>
        <v>0</v>
      </c>
      <c r="O346" s="14"/>
      <c r="P346" s="2" t="s">
        <v>194</v>
      </c>
      <c r="Q346" s="115"/>
      <c r="R346" s="113"/>
      <c r="S346" s="113"/>
      <c r="T346" s="113"/>
      <c r="U346" s="113"/>
      <c r="V346" s="113"/>
      <c r="W346" s="113"/>
      <c r="X346" s="113"/>
      <c r="Y346" s="15"/>
    </row>
    <row r="347" spans="1:25" ht="14.1" customHeight="1" thickBot="1" x14ac:dyDescent="0.3">
      <c r="A347" s="3">
        <v>17</v>
      </c>
      <c r="B347" s="351"/>
      <c r="C347" s="595"/>
      <c r="D347" s="520">
        <f t="shared" si="70"/>
        <v>20</v>
      </c>
      <c r="E347" s="411">
        <f t="shared" si="71"/>
        <v>0</v>
      </c>
      <c r="F347" s="416">
        <f t="shared" si="72"/>
        <v>0</v>
      </c>
      <c r="G347" s="412">
        <f t="shared" si="73"/>
        <v>0</v>
      </c>
      <c r="H347" s="467">
        <f t="shared" si="74"/>
        <v>0</v>
      </c>
      <c r="I347" s="416">
        <f t="shared" si="75"/>
        <v>0</v>
      </c>
      <c r="J347" s="412">
        <f t="shared" si="76"/>
        <v>0</v>
      </c>
      <c r="K347" s="467">
        <f t="shared" si="77"/>
        <v>0</v>
      </c>
      <c r="L347" s="416">
        <f t="shared" si="78"/>
        <v>0</v>
      </c>
      <c r="M347" s="462">
        <f t="shared" si="79"/>
        <v>0</v>
      </c>
      <c r="O347" s="22"/>
      <c r="P347" s="23"/>
      <c r="Q347" s="23"/>
      <c r="R347" s="23"/>
      <c r="S347" s="23"/>
      <c r="T347" s="23"/>
      <c r="U347" s="23"/>
      <c r="V347" s="23"/>
      <c r="W347" s="23"/>
      <c r="X347" s="23"/>
      <c r="Y347" s="24"/>
    </row>
    <row r="348" spans="1:25" ht="14.1" customHeight="1" thickBot="1" x14ac:dyDescent="0.3">
      <c r="A348" s="3">
        <v>18</v>
      </c>
      <c r="B348" s="351"/>
      <c r="C348" s="595"/>
      <c r="D348" s="522">
        <f t="shared" si="70"/>
        <v>30</v>
      </c>
      <c r="E348" s="413">
        <f t="shared" si="71"/>
        <v>0</v>
      </c>
      <c r="F348" s="417">
        <f t="shared" si="72"/>
        <v>0</v>
      </c>
      <c r="G348" s="414">
        <f t="shared" si="73"/>
        <v>0</v>
      </c>
      <c r="H348" s="468">
        <f t="shared" si="74"/>
        <v>0</v>
      </c>
      <c r="I348" s="417">
        <f t="shared" si="75"/>
        <v>0</v>
      </c>
      <c r="J348" s="414">
        <f t="shared" si="76"/>
        <v>0</v>
      </c>
      <c r="K348" s="468">
        <f t="shared" si="77"/>
        <v>0</v>
      </c>
      <c r="L348" s="417">
        <f t="shared" si="78"/>
        <v>0</v>
      </c>
      <c r="M348" s="463">
        <f t="shared" si="79"/>
        <v>0</v>
      </c>
      <c r="O348" s="118" t="s">
        <v>365</v>
      </c>
      <c r="P348" s="8"/>
      <c r="Q348" s="195" t="str">
        <f>IF($O$110="","",$O$110)</f>
        <v/>
      </c>
      <c r="R348" s="195" t="str">
        <f>IF($O$113="","",$O$113)</f>
        <v/>
      </c>
      <c r="S348" s="195" t="str">
        <f>IF($O$116="","",$O$116)</f>
        <v/>
      </c>
      <c r="T348" s="195" t="str">
        <f>IF($O$119="","",$O$119)</f>
        <v/>
      </c>
      <c r="U348" s="195" t="str">
        <f>IF($O$122="","",$O$122)</f>
        <v/>
      </c>
      <c r="V348" s="8"/>
      <c r="W348" s="77" t="str">
        <f>IF(X348&lt;&gt;"",X348,IF(AB165="","",AB165))</f>
        <v/>
      </c>
      <c r="X348" s="78"/>
      <c r="Y348" s="9"/>
    </row>
    <row r="349" spans="1:25" ht="14.1" customHeight="1" thickBot="1" x14ac:dyDescent="0.3">
      <c r="A349" s="3">
        <v>19</v>
      </c>
      <c r="B349" s="351"/>
      <c r="C349" s="595" t="str">
        <f>O154&amp;" "&amp;flocm_in</f>
        <v xml:space="preserve"> cm</v>
      </c>
      <c r="D349" s="523">
        <f t="shared" si="70"/>
        <v>10</v>
      </c>
      <c r="E349" s="464">
        <f t="shared" si="71"/>
        <v>0</v>
      </c>
      <c r="F349" s="439">
        <f t="shared" si="72"/>
        <v>0</v>
      </c>
      <c r="G349" s="470">
        <f t="shared" si="73"/>
        <v>0</v>
      </c>
      <c r="H349" s="469">
        <f t="shared" si="74"/>
        <v>0</v>
      </c>
      <c r="I349" s="439">
        <f t="shared" si="75"/>
        <v>0</v>
      </c>
      <c r="J349" s="470">
        <f t="shared" si="76"/>
        <v>0</v>
      </c>
      <c r="K349" s="469">
        <f t="shared" si="77"/>
        <v>0</v>
      </c>
      <c r="L349" s="439">
        <f t="shared" si="78"/>
        <v>0</v>
      </c>
      <c r="M349" s="465">
        <f t="shared" si="79"/>
        <v>0</v>
      </c>
      <c r="O349" s="14"/>
      <c r="P349" s="2" t="s">
        <v>366</v>
      </c>
      <c r="Q349" s="301"/>
      <c r="R349" s="301"/>
      <c r="S349" s="301"/>
      <c r="T349" s="301"/>
      <c r="U349" s="301"/>
      <c r="W349" s="108" t="s">
        <v>367</v>
      </c>
      <c r="Y349" s="15"/>
    </row>
    <row r="350" spans="1:25" ht="14.1" customHeight="1" thickBot="1" x14ac:dyDescent="0.3">
      <c r="A350" s="3">
        <v>20</v>
      </c>
      <c r="B350" s="351"/>
      <c r="C350" s="595"/>
      <c r="D350" s="520">
        <f t="shared" si="70"/>
        <v>20</v>
      </c>
      <c r="E350" s="411">
        <f t="shared" si="71"/>
        <v>0</v>
      </c>
      <c r="F350" s="416">
        <f t="shared" si="72"/>
        <v>0</v>
      </c>
      <c r="G350" s="412">
        <f t="shared" si="73"/>
        <v>0</v>
      </c>
      <c r="H350" s="467">
        <f t="shared" si="74"/>
        <v>0</v>
      </c>
      <c r="I350" s="416">
        <f t="shared" si="75"/>
        <v>0</v>
      </c>
      <c r="J350" s="412">
        <f t="shared" si="76"/>
        <v>0</v>
      </c>
      <c r="K350" s="467">
        <f t="shared" si="77"/>
        <v>0</v>
      </c>
      <c r="L350" s="416">
        <f t="shared" si="78"/>
        <v>0</v>
      </c>
      <c r="M350" s="462">
        <f t="shared" si="79"/>
        <v>0</v>
      </c>
      <c r="O350" s="14"/>
      <c r="P350" s="2" t="s">
        <v>368</v>
      </c>
      <c r="Q350" s="301"/>
      <c r="R350" s="301"/>
      <c r="S350" s="301"/>
      <c r="T350" s="301"/>
      <c r="U350" s="301"/>
      <c r="V350" s="2"/>
      <c r="W350" s="108"/>
      <c r="Y350" s="15"/>
    </row>
    <row r="351" spans="1:25" ht="14.1" customHeight="1" thickBot="1" x14ac:dyDescent="0.3">
      <c r="A351" s="3">
        <v>21</v>
      </c>
      <c r="B351" s="351"/>
      <c r="C351" s="595"/>
      <c r="D351" s="522">
        <f t="shared" si="70"/>
        <v>30</v>
      </c>
      <c r="E351" s="413">
        <f t="shared" si="71"/>
        <v>0</v>
      </c>
      <c r="F351" s="417">
        <f t="shared" si="72"/>
        <v>0</v>
      </c>
      <c r="G351" s="414">
        <f t="shared" si="73"/>
        <v>0</v>
      </c>
      <c r="H351" s="468">
        <f t="shared" si="74"/>
        <v>0</v>
      </c>
      <c r="I351" s="417">
        <f t="shared" si="75"/>
        <v>0</v>
      </c>
      <c r="J351" s="414">
        <f t="shared" si="76"/>
        <v>0</v>
      </c>
      <c r="K351" s="468">
        <f t="shared" si="77"/>
        <v>0</v>
      </c>
      <c r="L351" s="417">
        <f t="shared" si="78"/>
        <v>0</v>
      </c>
      <c r="M351" s="463">
        <f t="shared" si="79"/>
        <v>0</v>
      </c>
      <c r="O351" s="14"/>
      <c r="P351" s="2" t="s">
        <v>369</v>
      </c>
      <c r="Q351" s="302" t="str">
        <f>IF(OR(Q349="",Q350=""),"",SQRT(Q349^2+Q350^2))</f>
        <v/>
      </c>
      <c r="R351" s="302" t="str">
        <f>IF(OR(R349="",R350=""),"",SQRT(R349^2+R350^2))</f>
        <v/>
      </c>
      <c r="S351" s="302" t="str">
        <f>IF(OR(S349="",S350=""),"",SQRT(S349^2+S350^2))</f>
        <v/>
      </c>
      <c r="T351" s="302" t="str">
        <f>IF(OR(T349="",T350=""),"",SQRT(T349^2+T350^2))</f>
        <v/>
      </c>
      <c r="U351" s="302" t="str">
        <f>IF(OR(U349="",U350=""),"",SQRT(U349^2+U350^2))</f>
        <v/>
      </c>
      <c r="W351" s="108"/>
      <c r="Y351" s="15"/>
    </row>
    <row r="352" spans="1:25" ht="14.1" customHeight="1" thickBot="1" x14ac:dyDescent="0.3">
      <c r="A352" s="3">
        <v>22</v>
      </c>
      <c r="B352" s="351"/>
      <c r="C352" s="515"/>
      <c r="D352" s="453" t="str">
        <f t="shared" si="70"/>
        <v>max</v>
      </c>
      <c r="E352" s="454">
        <f t="shared" si="71"/>
        <v>0</v>
      </c>
      <c r="F352" s="455">
        <f t="shared" si="72"/>
        <v>0</v>
      </c>
      <c r="G352" s="456">
        <f t="shared" si="73"/>
        <v>0</v>
      </c>
      <c r="H352" s="454">
        <f t="shared" si="74"/>
        <v>0</v>
      </c>
      <c r="I352" s="455">
        <f t="shared" si="75"/>
        <v>0</v>
      </c>
      <c r="J352" s="456">
        <f t="shared" si="76"/>
        <v>0</v>
      </c>
      <c r="K352" s="454">
        <f t="shared" si="77"/>
        <v>0</v>
      </c>
      <c r="L352" s="455">
        <f t="shared" si="78"/>
        <v>0</v>
      </c>
      <c r="M352" s="516">
        <f t="shared" si="79"/>
        <v>0</v>
      </c>
      <c r="O352" s="14"/>
      <c r="P352" s="2" t="s">
        <v>288</v>
      </c>
      <c r="Q352" s="142" t="str">
        <f>IF($W$348="","NA",IF(OR(Q349=0,Q350="",Q351=""),"",IF($W$348=1,IF(AND(Q349&gt;Q348*0.85,Q350&gt;Q348*0.85),"YES","NO"),IF(Q351&gt;Q348*0.85,"YES","NO"))))</f>
        <v>NA</v>
      </c>
      <c r="R352" s="142" t="str">
        <f>IF($W$348="","NA",IF(OR(R349=0,R350="",R351=""),"",IF($W$348=1,IF(AND(R349&gt;R348*0.85,R350&gt;R348*0.85),"YES","NO"),IF(R351&gt;R348*0.85,"YES","NO"))))</f>
        <v>NA</v>
      </c>
      <c r="S352" s="142" t="str">
        <f>IF($W$348="","NA",IF(OR(S349=0,S350="",S351=""),"",IF($W$348=1,IF(AND(S349&gt;S348*0.85,S350&gt;S348*0.85),"YES","NO"),IF(S351&gt;S348*0.85,"YES","NO"))))</f>
        <v>NA</v>
      </c>
      <c r="T352" s="142" t="str">
        <f>IF($W$348="","NA",IF(OR(T349=0,T350="",T351=""),"",IF($W$348=1,IF(AND(T349&gt;T348*0.85,T350&gt;T348*0.85),"YES","NO"),IF(T351&gt;T348*0.85,"YES","NO"))))</f>
        <v>NA</v>
      </c>
      <c r="U352" s="142" t="str">
        <f>IF($W$348="","NA",IF(OR(U349=0,U350="",U351=""),"",IF($W$348=1,IF(AND(U349&gt;U348*0.85,U350&gt;U348*0.85),"YES","NO"),IF(U351&gt;U348*0.85,"YES","NO"))))</f>
        <v>NA</v>
      </c>
      <c r="Y352" s="15"/>
    </row>
    <row r="353" spans="1:25" ht="14.1" customHeight="1" x14ac:dyDescent="0.25">
      <c r="A353" s="3">
        <v>23</v>
      </c>
      <c r="B353" s="351"/>
      <c r="C353" s="138"/>
      <c r="D353" s="138"/>
      <c r="E353" s="138"/>
      <c r="F353" s="138"/>
      <c r="G353" s="138"/>
      <c r="H353" s="138"/>
      <c r="I353" s="138"/>
      <c r="J353" s="138"/>
      <c r="K353" s="138"/>
      <c r="L353" s="138"/>
      <c r="M353" s="353"/>
      <c r="O353" s="14"/>
      <c r="Q353" s="25" t="s">
        <v>370</v>
      </c>
      <c r="R353" s="108" t="s">
        <v>371</v>
      </c>
      <c r="Y353" s="15"/>
    </row>
    <row r="354" spans="1:25" ht="14.1" customHeight="1" x14ac:dyDescent="0.25">
      <c r="A354" s="3">
        <v>24</v>
      </c>
      <c r="B354" s="351"/>
      <c r="C354" s="138" t="str">
        <f>P165</f>
        <v>Comments:</v>
      </c>
      <c r="D354" s="477" t="str">
        <f>IF(Q165="","",IF(LEN(Q165)&lt;=135,Q165,IF(LEN(Q165)&lt;=260,LEFT(Q165,SEARCH(" ",Q165,125)),LEFT(Q165,SEARCH(" ",Q165,130)))))</f>
        <v/>
      </c>
      <c r="E354" s="478"/>
      <c r="F354" s="478"/>
      <c r="G354" s="478"/>
      <c r="H354" s="478"/>
      <c r="I354" s="478"/>
      <c r="J354" s="478"/>
      <c r="K354" s="478"/>
      <c r="L354" s="478"/>
      <c r="M354" s="479"/>
      <c r="O354" s="83" t="s">
        <v>372</v>
      </c>
      <c r="Y354" s="15"/>
    </row>
    <row r="355" spans="1:25" ht="14.1" customHeight="1" x14ac:dyDescent="0.25">
      <c r="A355" s="3">
        <v>25</v>
      </c>
      <c r="B355" s="351"/>
      <c r="C355" s="138"/>
      <c r="D355" s="480" t="str">
        <f>IF(LEN(Q165)&lt;=135,"",IF(LEN(Q165)&lt;=260,RIGHT(Q165,LEN(Q165)-SEARCH(" ",Q165,125)),MID(Q165,SEARCH(" ",Q165,130),IF(LEN(Q165)&lt;=265,LEN(Q165),SEARCH(" ",Q165,255)-SEARCH(" ",Q165,130)))))</f>
        <v/>
      </c>
      <c r="E355" s="481"/>
      <c r="F355" s="481"/>
      <c r="G355" s="481"/>
      <c r="H355" s="481"/>
      <c r="I355" s="481"/>
      <c r="J355" s="481"/>
      <c r="K355" s="481"/>
      <c r="L355" s="481"/>
      <c r="M355" s="482"/>
      <c r="O355" s="62" t="str">
        <f>IF(P355&lt;&gt;"",P355,IF(AB166="","",AB166))</f>
        <v/>
      </c>
      <c r="P355" s="51"/>
      <c r="Q355" s="1" t="s">
        <v>373</v>
      </c>
      <c r="R355" s="56"/>
      <c r="Y355" s="15"/>
    </row>
    <row r="356" spans="1:25" ht="14.1" customHeight="1" x14ac:dyDescent="0.25">
      <c r="A356" s="3">
        <v>26</v>
      </c>
      <c r="B356" s="351"/>
      <c r="C356" s="138"/>
      <c r="D356" s="480" t="str">
        <f>IF(LEN(Q165)&lt;=265,"",RIGHT(Q165,LEN(Q165)-SEARCH(" ",Q165,255)))</f>
        <v/>
      </c>
      <c r="E356" s="481"/>
      <c r="F356" s="481"/>
      <c r="G356" s="481"/>
      <c r="H356" s="481"/>
      <c r="I356" s="481"/>
      <c r="J356" s="481"/>
      <c r="K356" s="481"/>
      <c r="L356" s="481"/>
      <c r="M356" s="482"/>
      <c r="O356" s="14"/>
      <c r="Y356" s="15"/>
    </row>
    <row r="357" spans="1:25" ht="14.1" customHeight="1" x14ac:dyDescent="0.25">
      <c r="A357" s="3">
        <v>27</v>
      </c>
      <c r="B357" s="351"/>
      <c r="C357" s="138"/>
      <c r="D357" s="390"/>
      <c r="E357" s="138"/>
      <c r="F357" s="138"/>
      <c r="G357" s="138"/>
      <c r="H357" s="138"/>
      <c r="I357" s="138"/>
      <c r="J357" s="138"/>
      <c r="K357" s="138"/>
      <c r="L357" s="138"/>
      <c r="M357" s="353"/>
      <c r="O357" s="14"/>
      <c r="P357" s="94" t="s">
        <v>274</v>
      </c>
      <c r="Q357" s="94" t="s">
        <v>374</v>
      </c>
      <c r="R357" s="94" t="s">
        <v>375</v>
      </c>
      <c r="S357" s="94" t="s">
        <v>8</v>
      </c>
      <c r="V357" s="1" t="s">
        <v>376</v>
      </c>
      <c r="W357" s="1" t="s">
        <v>354</v>
      </c>
      <c r="X357" s="1" t="s">
        <v>363</v>
      </c>
      <c r="Y357" s="15" t="s">
        <v>377</v>
      </c>
    </row>
    <row r="358" spans="1:25" ht="14.1" customHeight="1" x14ac:dyDescent="0.25">
      <c r="A358" s="3">
        <v>28</v>
      </c>
      <c r="B358" s="351"/>
      <c r="C358" s="138"/>
      <c r="D358" s="390"/>
      <c r="E358" s="138"/>
      <c r="F358" s="138"/>
      <c r="G358" s="138"/>
      <c r="H358" s="138"/>
      <c r="I358" s="138"/>
      <c r="J358" s="138"/>
      <c r="K358" s="138"/>
      <c r="L358" s="138"/>
      <c r="M358" s="353"/>
      <c r="O358" s="14" t="s">
        <v>378</v>
      </c>
      <c r="P358" s="304" t="str">
        <f>IF(OR(V358="",V359="",V362=""),"",(V358-V359)*V362)</f>
        <v/>
      </c>
      <c r="Q358" s="596" t="str">
        <f>IF(OR(P358="",P359=""),"",(ABS(P358)+ABS(P359))/$O$355)</f>
        <v/>
      </c>
      <c r="R358" s="597" t="str">
        <f>IF(OR(Q358="",Q360=""),"",Q358+Q360)</f>
        <v/>
      </c>
      <c r="S358" s="149" t="str">
        <f>IF(AB167="","",AB167)</f>
        <v/>
      </c>
      <c r="U358" s="1" t="s">
        <v>347</v>
      </c>
      <c r="V358" s="283"/>
      <c r="W358" s="283"/>
      <c r="X358" s="283"/>
      <c r="Y358" s="284"/>
    </row>
    <row r="359" spans="1:25" ht="14.1" customHeight="1" x14ac:dyDescent="0.25">
      <c r="A359" s="3">
        <v>29</v>
      </c>
      <c r="B359" s="351"/>
      <c r="C359" s="138"/>
      <c r="D359" s="244"/>
      <c r="E359" s="391"/>
      <c r="F359" s="138"/>
      <c r="G359" s="138"/>
      <c r="H359" s="138"/>
      <c r="I359" s="138"/>
      <c r="J359" s="138"/>
      <c r="K359" s="138"/>
      <c r="L359" s="138"/>
      <c r="M359" s="353"/>
      <c r="O359" s="14" t="s">
        <v>379</v>
      </c>
      <c r="P359" s="304" t="str">
        <f>IF(OR(W358="",W359="",V362=""),"",(W358-W359)*V362)</f>
        <v/>
      </c>
      <c r="Q359" s="596"/>
      <c r="R359" s="596"/>
      <c r="S359" s="149" t="str">
        <f>IF(AB168="","",AB168)</f>
        <v/>
      </c>
      <c r="U359" s="1" t="s">
        <v>380</v>
      </c>
      <c r="V359" s="283"/>
      <c r="W359" s="283"/>
      <c r="X359" s="283"/>
      <c r="Y359" s="284"/>
    </row>
    <row r="360" spans="1:25" ht="14.1" customHeight="1" thickBot="1" x14ac:dyDescent="0.3">
      <c r="A360" s="3">
        <v>30</v>
      </c>
      <c r="B360" s="351"/>
      <c r="C360" s="138"/>
      <c r="D360" s="380"/>
      <c r="E360" s="391"/>
      <c r="F360" s="138"/>
      <c r="G360" s="138"/>
      <c r="H360" s="138"/>
      <c r="I360" s="138"/>
      <c r="J360" s="138"/>
      <c r="K360" s="138"/>
      <c r="L360" s="138"/>
      <c r="M360" s="353"/>
      <c r="O360" s="14" t="s">
        <v>381</v>
      </c>
      <c r="P360" s="304" t="str">
        <f>IF(OR(X358="",X359="",V362=""),"",(X358-X359)*V362)</f>
        <v/>
      </c>
      <c r="Q360" s="597" t="str">
        <f>IF(OR(P360="",P361=""),"",(ABS(P360)+ABS(P361))/$O$355)</f>
        <v/>
      </c>
      <c r="R360" s="597"/>
      <c r="S360" s="149" t="str">
        <f>IF(AB169="","",AB169)</f>
        <v/>
      </c>
      <c r="T360" s="85" t="s">
        <v>288</v>
      </c>
      <c r="U360" s="1" t="s">
        <v>382</v>
      </c>
      <c r="V360" s="300" t="str">
        <f>O355</f>
        <v/>
      </c>
      <c r="W360" s="305"/>
      <c r="X360" s="305"/>
      <c r="Y360" s="306"/>
    </row>
    <row r="361" spans="1:25" ht="14.1" customHeight="1" thickBot="1" x14ac:dyDescent="0.3">
      <c r="A361" s="3">
        <v>31</v>
      </c>
      <c r="B361" s="474"/>
      <c r="C361" s="475"/>
      <c r="D361" s="570"/>
      <c r="E361" s="570"/>
      <c r="F361" s="570"/>
      <c r="G361" s="570"/>
      <c r="H361" s="570"/>
      <c r="I361" s="570"/>
      <c r="J361" s="570"/>
      <c r="K361" s="570"/>
      <c r="L361" s="570"/>
      <c r="M361" s="476"/>
      <c r="O361" s="14" t="s">
        <v>383</v>
      </c>
      <c r="P361" s="307" t="str">
        <f>IF(OR(Y358="",Y359="",V362=""),"",(Y358-Y359)*V362)</f>
        <v/>
      </c>
      <c r="Q361" s="597"/>
      <c r="R361" s="597"/>
      <c r="S361" s="151" t="str">
        <f>IF(AB170="","",AB170)</f>
        <v/>
      </c>
      <c r="T361" s="94" t="str">
        <f>IF(OR(Q358="",Q360="",R358=""),"",IF(OR(Q358&gt;0.02,Q360&gt;0.02,R358&gt;0.04),"NO","YES"))</f>
        <v/>
      </c>
      <c r="U361" s="1" t="s">
        <v>384</v>
      </c>
      <c r="V361" s="283"/>
      <c r="W361" s="3"/>
      <c r="X361" s="3"/>
      <c r="Y361" s="306"/>
    </row>
    <row r="362" spans="1:25" ht="14.1" customHeight="1" x14ac:dyDescent="0.25">
      <c r="A362" s="3">
        <v>32</v>
      </c>
      <c r="B362" s="351"/>
      <c r="C362" s="395" t="str">
        <f>$O$210</f>
        <v>Image Receptor Entrance Exposure Rate – Digital Acquisition</v>
      </c>
      <c r="D362" s="138"/>
      <c r="E362" s="138"/>
      <c r="F362" s="138"/>
      <c r="G362" s="138"/>
      <c r="H362" s="138"/>
      <c r="I362" s="138"/>
      <c r="J362" s="138"/>
      <c r="K362" s="138"/>
      <c r="L362" s="138"/>
      <c r="M362" s="353"/>
      <c r="O362" s="308" t="s">
        <v>188</v>
      </c>
      <c r="P362" s="18" t="s">
        <v>385</v>
      </c>
      <c r="T362" s="56"/>
      <c r="U362" s="1" t="s">
        <v>386</v>
      </c>
      <c r="V362" s="309" t="str">
        <f>IF(OR(V360="",V361=""),"",V360/V361)</f>
        <v/>
      </c>
      <c r="W362" s="3"/>
      <c r="X362" s="3"/>
      <c r="Y362" s="306"/>
    </row>
    <row r="363" spans="1:25" ht="14.1" customHeight="1" x14ac:dyDescent="0.25">
      <c r="A363" s="3">
        <v>33</v>
      </c>
      <c r="B363" s="351"/>
      <c r="C363" s="138"/>
      <c r="D363" s="138"/>
      <c r="E363" s="138"/>
      <c r="F363" s="138"/>
      <c r="G363" s="138"/>
      <c r="H363" s="138"/>
      <c r="I363" s="138"/>
      <c r="J363" s="138"/>
      <c r="K363" s="138"/>
      <c r="L363" s="138"/>
      <c r="M363" s="353"/>
      <c r="O363" s="133"/>
      <c r="P363" s="18" t="s">
        <v>387</v>
      </c>
      <c r="T363" s="56"/>
      <c r="U363" s="56"/>
      <c r="Y363" s="15"/>
    </row>
    <row r="364" spans="1:25" ht="14.1" customHeight="1" x14ac:dyDescent="0.25">
      <c r="A364" s="3">
        <v>34</v>
      </c>
      <c r="B364" s="351"/>
      <c r="C364" s="45" t="str">
        <f>O212</f>
        <v>Dose</v>
      </c>
      <c r="D364" s="45" t="str">
        <f>P212</f>
        <v>Receptor</v>
      </c>
      <c r="E364" s="45"/>
      <c r="F364" s="45"/>
      <c r="G364" s="45"/>
      <c r="H364" s="45"/>
      <c r="I364" s="138"/>
      <c r="J364" s="138"/>
      <c r="K364" s="138"/>
      <c r="L364" s="138"/>
      <c r="M364" s="353"/>
      <c r="O364" s="14"/>
      <c r="P364" s="2" t="s">
        <v>191</v>
      </c>
      <c r="Q364" s="109" t="str">
        <f>IF(Q366&lt;&gt;"",Q366,IF(AB239="","",AB239))</f>
        <v/>
      </c>
      <c r="R364" s="69"/>
      <c r="S364" s="69"/>
      <c r="T364" s="69"/>
      <c r="U364" s="69"/>
      <c r="V364" s="56"/>
      <c r="X364" s="69"/>
      <c r="Y364" s="15"/>
    </row>
    <row r="365" spans="1:25" ht="14.1" customHeight="1" thickBot="1" x14ac:dyDescent="0.3">
      <c r="A365" s="3">
        <v>35</v>
      </c>
      <c r="B365" s="351"/>
      <c r="C365" s="45" t="str">
        <f>O213</f>
        <v>Level</v>
      </c>
      <c r="D365" s="45" t="str">
        <f>P213</f>
        <v>Size (cm)</v>
      </c>
      <c r="E365" s="45" t="str">
        <f>Q213</f>
        <v>kVp</v>
      </c>
      <c r="F365" s="45" t="str">
        <f>R213</f>
        <v>mA</v>
      </c>
      <c r="G365" s="45" t="str">
        <f>S213</f>
        <v>uGy/min</v>
      </c>
      <c r="H365" s="45" t="str">
        <f>T213</f>
        <v>nGy/frame</v>
      </c>
      <c r="I365" s="138"/>
      <c r="J365" s="138"/>
      <c r="K365" s="138"/>
      <c r="L365" s="138"/>
      <c r="M365" s="353"/>
      <c r="O365" s="14"/>
      <c r="P365" s="110" t="s">
        <v>192</v>
      </c>
      <c r="Q365" s="111"/>
      <c r="R365" s="112">
        <f>LEN(Q364)</f>
        <v>0</v>
      </c>
      <c r="S365" s="113"/>
      <c r="T365" s="113"/>
      <c r="U365" s="113"/>
      <c r="V365" s="113"/>
      <c r="W365" s="113"/>
      <c r="X365" s="113"/>
      <c r="Y365" s="15"/>
    </row>
    <row r="366" spans="1:25" ht="14.1" customHeight="1" thickBot="1" x14ac:dyDescent="0.3">
      <c r="A366" s="3">
        <v>36</v>
      </c>
      <c r="B366" s="351"/>
      <c r="C366" s="598" t="str">
        <f>O214</f>
        <v>Auto 1</v>
      </c>
      <c r="D366" s="488" t="str">
        <f t="shared" ref="D366:D380" si="80">IF(P214="","",P214)</f>
        <v/>
      </c>
      <c r="E366" s="489" t="str">
        <f t="shared" ref="E366:E380" si="81">IF(Q214="","",Q214)</f>
        <v/>
      </c>
      <c r="F366" s="489" t="str">
        <f t="shared" ref="F366:F380" si="82">IF(R214="","",R214)</f>
        <v/>
      </c>
      <c r="G366" s="490" t="str">
        <f t="shared" ref="G366:G380" si="83">IF(S214="","",S214)</f>
        <v/>
      </c>
      <c r="H366" s="489" t="str">
        <f t="shared" ref="H366:H380" si="84">IF(T214="","",T214)</f>
        <v/>
      </c>
      <c r="I366" s="138"/>
      <c r="J366" s="380" t="str">
        <f>W214</f>
        <v>Measure using pancake probe placed against</v>
      </c>
      <c r="K366" s="138"/>
      <c r="L366" s="138"/>
      <c r="M366" s="353"/>
      <c r="O366" s="14"/>
      <c r="P366" s="2" t="s">
        <v>194</v>
      </c>
      <c r="Q366" s="115"/>
      <c r="R366" s="113"/>
      <c r="S366" s="113"/>
      <c r="T366" s="113"/>
      <c r="U366" s="113"/>
      <c r="V366" s="113"/>
      <c r="W366" s="113"/>
      <c r="X366" s="113"/>
      <c r="Y366" s="15"/>
    </row>
    <row r="367" spans="1:25" ht="14.1" customHeight="1" thickBot="1" x14ac:dyDescent="0.3">
      <c r="A367" s="3">
        <v>37</v>
      </c>
      <c r="B367" s="351"/>
      <c r="C367" s="599"/>
      <c r="D367" s="491" t="str">
        <f t="shared" si="80"/>
        <v/>
      </c>
      <c r="E367" s="492" t="str">
        <f t="shared" si="81"/>
        <v/>
      </c>
      <c r="F367" s="492" t="str">
        <f t="shared" si="82"/>
        <v/>
      </c>
      <c r="G367" s="493" t="str">
        <f t="shared" si="83"/>
        <v/>
      </c>
      <c r="H367" s="492" t="str">
        <f t="shared" si="84"/>
        <v/>
      </c>
      <c r="I367" s="138"/>
      <c r="J367" s="380" t="str">
        <f>W215</f>
        <v>image receptor input window</v>
      </c>
      <c r="K367" s="138"/>
      <c r="L367" s="138"/>
      <c r="M367" s="353"/>
      <c r="O367" s="22"/>
      <c r="P367" s="23"/>
      <c r="Q367" s="23"/>
      <c r="R367" s="23"/>
      <c r="S367" s="23"/>
      <c r="T367" s="23"/>
      <c r="U367" s="23"/>
      <c r="V367" s="23"/>
      <c r="W367" s="23"/>
      <c r="X367" s="23"/>
      <c r="Y367" s="24"/>
    </row>
    <row r="368" spans="1:25" ht="14.1" customHeight="1" thickBot="1" x14ac:dyDescent="0.3">
      <c r="A368" s="3">
        <v>38</v>
      </c>
      <c r="B368" s="351"/>
      <c r="C368" s="599"/>
      <c r="D368" s="491" t="str">
        <f t="shared" si="80"/>
        <v/>
      </c>
      <c r="E368" s="492" t="str">
        <f t="shared" si="81"/>
        <v/>
      </c>
      <c r="F368" s="492" t="str">
        <f t="shared" si="82"/>
        <v/>
      </c>
      <c r="G368" s="493" t="str">
        <f t="shared" si="83"/>
        <v/>
      </c>
      <c r="H368" s="492" t="str">
        <f t="shared" si="84"/>
        <v/>
      </c>
      <c r="I368" s="138"/>
      <c r="J368" s="380" t="str">
        <f>W216</f>
        <v>Use 1.5mm Cu filtration</v>
      </c>
      <c r="K368" s="138"/>
      <c r="L368" s="138"/>
      <c r="M368" s="353"/>
    </row>
    <row r="369" spans="1:25" ht="14.1" customHeight="1" thickBot="1" x14ac:dyDescent="0.3">
      <c r="A369" s="3">
        <v>39</v>
      </c>
      <c r="B369" s="351"/>
      <c r="C369" s="599"/>
      <c r="D369" s="491" t="str">
        <f t="shared" si="80"/>
        <v/>
      </c>
      <c r="E369" s="492" t="str">
        <f t="shared" si="81"/>
        <v/>
      </c>
      <c r="F369" s="492" t="str">
        <f t="shared" si="82"/>
        <v/>
      </c>
      <c r="G369" s="493" t="str">
        <f t="shared" si="83"/>
        <v/>
      </c>
      <c r="H369" s="492" t="str">
        <f t="shared" si="84"/>
        <v/>
      </c>
      <c r="I369" s="138"/>
      <c r="J369" s="138"/>
      <c r="K369" s="138"/>
      <c r="L369" s="138"/>
      <c r="M369" s="353"/>
      <c r="T369" s="33" t="s">
        <v>388</v>
      </c>
    </row>
    <row r="370" spans="1:25" ht="14.1" customHeight="1" thickBot="1" x14ac:dyDescent="0.3">
      <c r="A370" s="3">
        <v>40</v>
      </c>
      <c r="B370" s="351"/>
      <c r="C370" s="599"/>
      <c r="D370" s="497" t="str">
        <f t="shared" si="80"/>
        <v/>
      </c>
      <c r="E370" s="498" t="str">
        <f t="shared" si="81"/>
        <v/>
      </c>
      <c r="F370" s="498" t="str">
        <f t="shared" si="82"/>
        <v/>
      </c>
      <c r="G370" s="499" t="str">
        <f t="shared" si="83"/>
        <v/>
      </c>
      <c r="H370" s="498" t="str">
        <f t="shared" si="84"/>
        <v/>
      </c>
      <c r="I370" s="138"/>
      <c r="J370" s="138"/>
      <c r="K370" s="138"/>
      <c r="L370" s="138"/>
      <c r="M370" s="353"/>
      <c r="O370" s="40"/>
      <c r="P370" s="8"/>
      <c r="Q370" s="8"/>
      <c r="R370" s="8"/>
      <c r="S370" s="79" t="s">
        <v>389</v>
      </c>
      <c r="T370" s="8"/>
      <c r="U370" s="8"/>
      <c r="V370" s="8"/>
      <c r="W370" s="8"/>
      <c r="X370" s="8"/>
      <c r="Y370" s="9"/>
    </row>
    <row r="371" spans="1:25" ht="14.1" customHeight="1" x14ac:dyDescent="0.25">
      <c r="A371" s="3">
        <v>41</v>
      </c>
      <c r="B371" s="351"/>
      <c r="C371" s="578" t="str">
        <f>O219</f>
        <v>Auto 2</v>
      </c>
      <c r="D371" s="488" t="str">
        <f t="shared" si="80"/>
        <v/>
      </c>
      <c r="E371" s="489" t="str">
        <f t="shared" si="81"/>
        <v/>
      </c>
      <c r="F371" s="489" t="str">
        <f t="shared" si="82"/>
        <v/>
      </c>
      <c r="G371" s="490" t="str">
        <f t="shared" si="83"/>
        <v/>
      </c>
      <c r="H371" s="489" t="str">
        <f t="shared" si="84"/>
        <v/>
      </c>
      <c r="I371" s="138"/>
      <c r="J371" s="138"/>
      <c r="K371" s="138"/>
      <c r="L371" s="138"/>
      <c r="M371" s="353"/>
      <c r="O371" s="14"/>
      <c r="P371" s="2" t="s">
        <v>191</v>
      </c>
      <c r="Q371" s="310"/>
      <c r="R371" s="311"/>
      <c r="S371" s="312" t="str">
        <f>IF(AB240="","",AB240)</f>
        <v/>
      </c>
      <c r="T371" s="69"/>
      <c r="U371" s="69"/>
      <c r="V371" s="56"/>
      <c r="X371" s="69"/>
      <c r="Y371" s="15"/>
    </row>
    <row r="372" spans="1:25" ht="14.1" customHeight="1" x14ac:dyDescent="0.25">
      <c r="A372" s="3">
        <v>42</v>
      </c>
      <c r="B372" s="351"/>
      <c r="C372" s="579"/>
      <c r="D372" s="491" t="str">
        <f t="shared" si="80"/>
        <v/>
      </c>
      <c r="E372" s="492" t="str">
        <f t="shared" si="81"/>
        <v/>
      </c>
      <c r="F372" s="492" t="str">
        <f t="shared" si="82"/>
        <v/>
      </c>
      <c r="G372" s="493" t="str">
        <f t="shared" si="83"/>
        <v/>
      </c>
      <c r="H372" s="492" t="str">
        <f t="shared" si="84"/>
        <v/>
      </c>
      <c r="I372" s="138"/>
      <c r="J372" s="138"/>
      <c r="K372" s="138"/>
      <c r="L372" s="138"/>
      <c r="M372" s="353"/>
      <c r="O372" s="14"/>
      <c r="P372" s="110" t="s">
        <v>192</v>
      </c>
      <c r="Q372" s="111"/>
      <c r="R372" s="313">
        <f>LEN(Q371)</f>
        <v>0</v>
      </c>
      <c r="S372" s="113"/>
      <c r="T372" s="113"/>
      <c r="U372" s="314" t="s">
        <v>390</v>
      </c>
      <c r="V372" s="113"/>
      <c r="W372" s="113"/>
      <c r="X372" s="113"/>
      <c r="Y372" s="15"/>
    </row>
    <row r="373" spans="1:25" ht="14.1" customHeight="1" x14ac:dyDescent="0.25">
      <c r="A373" s="3">
        <v>43</v>
      </c>
      <c r="B373" s="351"/>
      <c r="C373" s="579"/>
      <c r="D373" s="491" t="str">
        <f t="shared" si="80"/>
        <v/>
      </c>
      <c r="E373" s="492" t="str">
        <f t="shared" si="81"/>
        <v/>
      </c>
      <c r="F373" s="492" t="str">
        <f t="shared" si="82"/>
        <v/>
      </c>
      <c r="G373" s="493" t="str">
        <f t="shared" si="83"/>
        <v/>
      </c>
      <c r="H373" s="492" t="str">
        <f t="shared" si="84"/>
        <v/>
      </c>
      <c r="I373" s="138"/>
      <c r="J373" s="138"/>
      <c r="K373" s="138"/>
      <c r="L373" s="138"/>
      <c r="M373" s="353"/>
      <c r="O373" s="14"/>
      <c r="P373" s="2" t="s">
        <v>391</v>
      </c>
      <c r="Q373" s="310"/>
      <c r="R373" s="311"/>
      <c r="S373" s="312" t="str">
        <f>IF(AB242="","",AB242)</f>
        <v/>
      </c>
      <c r="T373" s="69"/>
      <c r="U373" s="69"/>
      <c r="V373" s="56"/>
      <c r="X373" s="69"/>
      <c r="Y373" s="15"/>
    </row>
    <row r="374" spans="1:25" ht="14.1" customHeight="1" x14ac:dyDescent="0.25">
      <c r="A374" s="3">
        <v>44</v>
      </c>
      <c r="B374" s="351"/>
      <c r="C374" s="579"/>
      <c r="D374" s="491" t="str">
        <f t="shared" si="80"/>
        <v/>
      </c>
      <c r="E374" s="492" t="str">
        <f t="shared" si="81"/>
        <v/>
      </c>
      <c r="F374" s="492" t="str">
        <f t="shared" si="82"/>
        <v/>
      </c>
      <c r="G374" s="493" t="str">
        <f t="shared" si="83"/>
        <v/>
      </c>
      <c r="H374" s="492" t="str">
        <f t="shared" si="84"/>
        <v/>
      </c>
      <c r="I374" s="138"/>
      <c r="J374" s="138"/>
      <c r="K374" s="138"/>
      <c r="L374" s="138"/>
      <c r="M374" s="353"/>
      <c r="O374" s="14"/>
      <c r="P374" s="110" t="s">
        <v>192</v>
      </c>
      <c r="Q374" s="111"/>
      <c r="R374" s="313">
        <f>LEN(Q373)</f>
        <v>0</v>
      </c>
      <c r="S374" s="113"/>
      <c r="T374" s="113"/>
      <c r="U374" s="314" t="s">
        <v>392</v>
      </c>
      <c r="V374" s="113"/>
      <c r="W374" s="113"/>
      <c r="X374" s="113"/>
      <c r="Y374" s="15"/>
    </row>
    <row r="375" spans="1:25" ht="14.1" customHeight="1" thickBot="1" x14ac:dyDescent="0.3">
      <c r="A375" s="3">
        <v>45</v>
      </c>
      <c r="B375" s="351"/>
      <c r="C375" s="580"/>
      <c r="D375" s="497" t="str">
        <f t="shared" si="80"/>
        <v/>
      </c>
      <c r="E375" s="498" t="str">
        <f t="shared" si="81"/>
        <v/>
      </c>
      <c r="F375" s="498" t="str">
        <f t="shared" si="82"/>
        <v/>
      </c>
      <c r="G375" s="499" t="str">
        <f t="shared" si="83"/>
        <v/>
      </c>
      <c r="H375" s="498" t="str">
        <f t="shared" si="84"/>
        <v/>
      </c>
      <c r="I375" s="138"/>
      <c r="J375" s="138"/>
      <c r="K375" s="138"/>
      <c r="L375" s="138"/>
      <c r="M375" s="353"/>
      <c r="O375" s="14"/>
      <c r="P375" s="2" t="s">
        <v>391</v>
      </c>
      <c r="Q375" s="310"/>
      <c r="R375" s="311"/>
      <c r="S375" s="312" t="str">
        <f>IF(AB244="","",AB244)</f>
        <v/>
      </c>
      <c r="T375" s="69"/>
      <c r="U375" s="69"/>
      <c r="V375" s="56"/>
      <c r="X375" s="69"/>
      <c r="Y375" s="15"/>
    </row>
    <row r="376" spans="1:25" ht="14.1" customHeight="1" thickBot="1" x14ac:dyDescent="0.3">
      <c r="A376" s="3">
        <v>46</v>
      </c>
      <c r="B376" s="351"/>
      <c r="C376" s="581" t="str">
        <f>O224</f>
        <v>High Level</v>
      </c>
      <c r="D376" s="488" t="str">
        <f t="shared" si="80"/>
        <v/>
      </c>
      <c r="E376" s="489" t="str">
        <f t="shared" si="81"/>
        <v/>
      </c>
      <c r="F376" s="489" t="str">
        <f t="shared" si="82"/>
        <v/>
      </c>
      <c r="G376" s="490" t="str">
        <f t="shared" si="83"/>
        <v/>
      </c>
      <c r="H376" s="489" t="str">
        <f t="shared" si="84"/>
        <v/>
      </c>
      <c r="I376" s="138"/>
      <c r="J376" s="138"/>
      <c r="K376" s="138"/>
      <c r="L376" s="138"/>
      <c r="M376" s="353"/>
      <c r="O376" s="14"/>
      <c r="P376" s="110" t="s">
        <v>192</v>
      </c>
      <c r="Q376" s="111"/>
      <c r="R376" s="313">
        <f>LEN(Q375)</f>
        <v>0</v>
      </c>
      <c r="S376" s="113"/>
      <c r="T376" s="113"/>
      <c r="U376" s="314" t="s">
        <v>393</v>
      </c>
      <c r="V376" s="113"/>
      <c r="W376" s="113"/>
      <c r="X376" s="113"/>
      <c r="Y376" s="15"/>
    </row>
    <row r="377" spans="1:25" ht="14.1" customHeight="1" thickBot="1" x14ac:dyDescent="0.3">
      <c r="A377" s="3">
        <v>47</v>
      </c>
      <c r="B377" s="351"/>
      <c r="C377" s="582"/>
      <c r="D377" s="491" t="str">
        <f t="shared" si="80"/>
        <v/>
      </c>
      <c r="E377" s="492" t="str">
        <f t="shared" si="81"/>
        <v/>
      </c>
      <c r="F377" s="492" t="str">
        <f t="shared" si="82"/>
        <v/>
      </c>
      <c r="G377" s="493" t="str">
        <f t="shared" si="83"/>
        <v/>
      </c>
      <c r="H377" s="492" t="str">
        <f t="shared" si="84"/>
        <v/>
      </c>
      <c r="I377" s="138"/>
      <c r="J377" s="138"/>
      <c r="K377" s="138"/>
      <c r="L377" s="138"/>
      <c r="M377" s="353"/>
      <c r="O377" s="14"/>
      <c r="P377" s="2" t="s">
        <v>391</v>
      </c>
      <c r="Q377" s="310"/>
      <c r="R377" s="311"/>
      <c r="S377" s="312" t="str">
        <f>IF(AB246="","",AB246)</f>
        <v/>
      </c>
      <c r="T377" s="69"/>
      <c r="U377" s="69"/>
      <c r="V377" s="56"/>
      <c r="X377" s="69"/>
      <c r="Y377" s="15"/>
    </row>
    <row r="378" spans="1:25" ht="14.1" customHeight="1" thickBot="1" x14ac:dyDescent="0.3">
      <c r="A378" s="3">
        <v>48</v>
      </c>
      <c r="B378" s="351"/>
      <c r="C378" s="582"/>
      <c r="D378" s="491" t="str">
        <f t="shared" si="80"/>
        <v/>
      </c>
      <c r="E378" s="492" t="str">
        <f t="shared" si="81"/>
        <v/>
      </c>
      <c r="F378" s="492" t="str">
        <f t="shared" si="82"/>
        <v/>
      </c>
      <c r="G378" s="493" t="str">
        <f t="shared" si="83"/>
        <v/>
      </c>
      <c r="H378" s="492" t="str">
        <f t="shared" si="84"/>
        <v/>
      </c>
      <c r="I378" s="207"/>
      <c r="J378" s="207"/>
      <c r="K378" s="207"/>
      <c r="L378" s="207"/>
      <c r="M378" s="353"/>
      <c r="O378" s="14"/>
      <c r="P378" s="110" t="s">
        <v>192</v>
      </c>
      <c r="Q378" s="111"/>
      <c r="R378" s="313">
        <f>LEN(Q377)</f>
        <v>0</v>
      </c>
      <c r="S378" s="113"/>
      <c r="T378" s="113"/>
      <c r="U378" s="314" t="s">
        <v>394</v>
      </c>
      <c r="V378" s="113"/>
      <c r="W378" s="113"/>
      <c r="X378" s="113"/>
      <c r="Y378" s="15"/>
    </row>
    <row r="379" spans="1:25" ht="14.1" customHeight="1" thickBot="1" x14ac:dyDescent="0.3">
      <c r="A379" s="3">
        <v>49</v>
      </c>
      <c r="B379" s="351"/>
      <c r="C379" s="582"/>
      <c r="D379" s="491" t="str">
        <f t="shared" si="80"/>
        <v/>
      </c>
      <c r="E379" s="492" t="str">
        <f t="shared" si="81"/>
        <v/>
      </c>
      <c r="F379" s="492" t="str">
        <f t="shared" si="82"/>
        <v/>
      </c>
      <c r="G379" s="493" t="str">
        <f t="shared" si="83"/>
        <v/>
      </c>
      <c r="H379" s="492" t="str">
        <f t="shared" si="84"/>
        <v/>
      </c>
      <c r="I379" s="207"/>
      <c r="J379" s="207"/>
      <c r="K379" s="207"/>
      <c r="L379" s="207"/>
      <c r="M379" s="353"/>
      <c r="O379" s="14"/>
      <c r="P379" s="2" t="s">
        <v>391</v>
      </c>
      <c r="Q379" s="310"/>
      <c r="R379" s="311"/>
      <c r="S379" s="312" t="str">
        <f>IF(AB248="","",AB248)</f>
        <v/>
      </c>
      <c r="T379" s="69"/>
      <c r="U379" s="69"/>
      <c r="V379" s="56"/>
      <c r="X379" s="69"/>
      <c r="Y379" s="15"/>
    </row>
    <row r="380" spans="1:25" ht="14.1" customHeight="1" thickBot="1" x14ac:dyDescent="0.3">
      <c r="A380" s="3">
        <v>50</v>
      </c>
      <c r="B380" s="351"/>
      <c r="C380" s="583"/>
      <c r="D380" s="497" t="str">
        <f t="shared" si="80"/>
        <v/>
      </c>
      <c r="E380" s="498" t="str">
        <f t="shared" si="81"/>
        <v/>
      </c>
      <c r="F380" s="498" t="str">
        <f t="shared" si="82"/>
        <v/>
      </c>
      <c r="G380" s="499" t="str">
        <f t="shared" si="83"/>
        <v/>
      </c>
      <c r="H380" s="498" t="str">
        <f t="shared" si="84"/>
        <v/>
      </c>
      <c r="I380" s="207"/>
      <c r="J380" s="207"/>
      <c r="K380" s="207"/>
      <c r="L380" s="207"/>
      <c r="M380" s="353"/>
      <c r="O380" s="14"/>
      <c r="P380" s="110" t="s">
        <v>192</v>
      </c>
      <c r="Q380" s="111"/>
      <c r="R380" s="313">
        <f>LEN(Q379)</f>
        <v>0</v>
      </c>
      <c r="S380" s="113"/>
      <c r="T380" s="113"/>
      <c r="U380" s="314" t="s">
        <v>395</v>
      </c>
      <c r="V380" s="113"/>
      <c r="W380" s="113"/>
      <c r="X380" s="113"/>
      <c r="Y380" s="15"/>
    </row>
    <row r="381" spans="1:25" ht="14.1" customHeight="1" x14ac:dyDescent="0.25">
      <c r="A381" s="3">
        <v>51</v>
      </c>
      <c r="B381" s="351"/>
      <c r="C381" s="138" t="str">
        <f>P230</f>
        <v>Comments:</v>
      </c>
      <c r="D381" s="477" t="str">
        <f>IF(Q230="","",IF(LEN(Q230)&lt;=135,Q230,IF(LEN(Q230)&lt;=260,LEFT(Q230,SEARCH(" ",Q230,125)),LEFT(Q230,SEARCH(" ",Q230,130)))))</f>
        <v/>
      </c>
      <c r="E381" s="478"/>
      <c r="F381" s="478"/>
      <c r="G381" s="478"/>
      <c r="H381" s="478"/>
      <c r="I381" s="478"/>
      <c r="J381" s="478"/>
      <c r="K381" s="478"/>
      <c r="L381" s="478"/>
      <c r="M381" s="479"/>
      <c r="O381" s="14"/>
      <c r="P381" s="2" t="s">
        <v>391</v>
      </c>
      <c r="Q381" s="310"/>
      <c r="R381" s="311"/>
      <c r="S381" s="312" t="str">
        <f>IF(AB250="","",AB250)</f>
        <v/>
      </c>
      <c r="T381" s="69"/>
      <c r="U381" s="69"/>
      <c r="V381" s="56"/>
      <c r="X381" s="69"/>
      <c r="Y381" s="15"/>
    </row>
    <row r="382" spans="1:25" ht="14.1" customHeight="1" x14ac:dyDescent="0.25">
      <c r="A382" s="3">
        <v>52</v>
      </c>
      <c r="B382" s="351"/>
      <c r="C382" s="138"/>
      <c r="D382" s="480" t="str">
        <f>IF(LEN(Q230)&lt;=135,"",IF(LEN(Q230)&lt;=260,RIGHT(Q230,LEN(Q230)-SEARCH(" ",Q230,125)),MID(Q337,SEARCH(" ",Q230,130),IF(LEN(Q230)&lt;=Q230,LEN(Q230),SEARCH(" ",Q230,255)-SEARCH(" ",Q230,130)))))</f>
        <v/>
      </c>
      <c r="E382" s="481"/>
      <c r="F382" s="481"/>
      <c r="G382" s="481"/>
      <c r="H382" s="481"/>
      <c r="I382" s="481"/>
      <c r="J382" s="481"/>
      <c r="K382" s="481"/>
      <c r="L382" s="481"/>
      <c r="M382" s="482"/>
      <c r="O382" s="14"/>
      <c r="P382" s="110" t="s">
        <v>192</v>
      </c>
      <c r="Q382" s="111"/>
      <c r="R382" s="313">
        <f>LEN(Q381)</f>
        <v>0</v>
      </c>
      <c r="S382" s="113"/>
      <c r="T382" s="113"/>
      <c r="U382" s="113"/>
      <c r="V382" s="113"/>
      <c r="W382" s="113"/>
      <c r="X382" s="113"/>
      <c r="Y382" s="15"/>
    </row>
    <row r="383" spans="1:25" ht="14.1" customHeight="1" x14ac:dyDescent="0.25">
      <c r="A383" s="3">
        <v>53</v>
      </c>
      <c r="B383" s="351"/>
      <c r="C383" s="138"/>
      <c r="D383" s="480" t="str">
        <f>IF(LEN(Q230)&lt;=265,"",RIGHT(Q230,LEN(Q230)-SEARCH(" ",Q230,255)))</f>
        <v/>
      </c>
      <c r="E383" s="481"/>
      <c r="F383" s="481"/>
      <c r="G383" s="481"/>
      <c r="H383" s="481"/>
      <c r="I383" s="481"/>
      <c r="J383" s="481"/>
      <c r="K383" s="481"/>
      <c r="L383" s="481"/>
      <c r="M383" s="482"/>
      <c r="O383" s="14"/>
      <c r="P383" s="2" t="s">
        <v>391</v>
      </c>
      <c r="Q383" s="310"/>
      <c r="R383" s="311"/>
      <c r="S383" s="312" t="str">
        <f>IF(AB252="","",AB252)</f>
        <v/>
      </c>
      <c r="T383" s="69"/>
      <c r="U383" s="69"/>
      <c r="V383" s="56"/>
      <c r="X383" s="69"/>
      <c r="Y383" s="15"/>
    </row>
    <row r="384" spans="1:25" ht="14.1" customHeight="1" x14ac:dyDescent="0.25">
      <c r="A384" s="3">
        <v>54</v>
      </c>
      <c r="B384" s="351"/>
      <c r="C384" s="138"/>
      <c r="D384" s="138"/>
      <c r="E384" s="138"/>
      <c r="F384" s="138"/>
      <c r="G384" s="138"/>
      <c r="H384" s="138"/>
      <c r="I384" s="138"/>
      <c r="J384" s="138"/>
      <c r="K384" s="138"/>
      <c r="L384" s="138"/>
      <c r="M384" s="353"/>
      <c r="O384" s="14"/>
      <c r="P384" s="110" t="s">
        <v>192</v>
      </c>
      <c r="Q384" s="111"/>
      <c r="R384" s="313">
        <f>LEN(Q383)</f>
        <v>0</v>
      </c>
      <c r="S384" s="113"/>
      <c r="T384" s="113"/>
      <c r="U384" s="113"/>
      <c r="V384" s="113"/>
      <c r="W384" s="113"/>
      <c r="X384" s="113"/>
      <c r="Y384" s="15"/>
    </row>
    <row r="385" spans="1:25" ht="14.1" customHeight="1" x14ac:dyDescent="0.25">
      <c r="A385" s="3">
        <v>55</v>
      </c>
      <c r="B385" s="351"/>
      <c r="C385" s="395" t="str">
        <f>IF($U$137=1,"Scatter and Transmission – Pulse Fluoroscopy","Scatter and Transmission – Digital Acquisition")</f>
        <v>Scatter and Transmission – Digital Acquisition</v>
      </c>
      <c r="D385" s="138"/>
      <c r="E385" s="138"/>
      <c r="F385" s="138"/>
      <c r="G385" s="138"/>
      <c r="H385" s="138"/>
      <c r="I385" s="138"/>
      <c r="J385" s="138"/>
      <c r="K385" s="138"/>
      <c r="L385" s="138"/>
      <c r="M385" s="353"/>
      <c r="O385" s="14"/>
      <c r="P385" s="2" t="s">
        <v>391</v>
      </c>
      <c r="Q385" s="310"/>
      <c r="R385" s="311"/>
      <c r="S385" s="312" t="str">
        <f>IF(AB254="","",AB254)</f>
        <v/>
      </c>
      <c r="T385" s="69"/>
      <c r="U385" s="69"/>
      <c r="V385" s="56"/>
      <c r="X385" s="69"/>
      <c r="Y385" s="15"/>
    </row>
    <row r="386" spans="1:25" ht="14.1" customHeight="1" x14ac:dyDescent="0.25">
      <c r="A386" s="3">
        <v>56</v>
      </c>
      <c r="B386" s="351"/>
      <c r="C386" s="138"/>
      <c r="D386" s="207"/>
      <c r="E386" s="207"/>
      <c r="F386" s="207"/>
      <c r="G386" s="207" t="str">
        <f>U238</f>
        <v>Unshielded</v>
      </c>
      <c r="H386" s="207" t="str">
        <f>V238</f>
        <v>Shielded</v>
      </c>
      <c r="I386" s="138"/>
      <c r="J386" s="138"/>
      <c r="K386" s="138"/>
      <c r="L386" s="138"/>
      <c r="M386" s="353"/>
      <c r="O386" s="14"/>
      <c r="P386" s="110" t="s">
        <v>192</v>
      </c>
      <c r="Q386" s="111"/>
      <c r="R386" s="313">
        <f>LEN(Q385)</f>
        <v>0</v>
      </c>
      <c r="S386" s="113"/>
      <c r="T386" s="113"/>
      <c r="U386" s="113"/>
      <c r="V386" s="113"/>
      <c r="W386" s="113"/>
      <c r="X386" s="113"/>
      <c r="Y386" s="15"/>
    </row>
    <row r="387" spans="1:25" ht="14.1" customHeight="1" thickBot="1" x14ac:dyDescent="0.3">
      <c r="A387" s="3">
        <v>57</v>
      </c>
      <c r="B387" s="351"/>
      <c r="C387" s="138"/>
      <c r="D387" s="207"/>
      <c r="E387" s="45" t="str">
        <f>Q236</f>
        <v>kVp</v>
      </c>
      <c r="F387" s="45" t="str">
        <f>R236</f>
        <v>mA</v>
      </c>
      <c r="G387" s="207" t="str">
        <f>U239</f>
        <v>uGy/hr</v>
      </c>
      <c r="H387" s="207" t="str">
        <f>V239</f>
        <v>uGy/hr</v>
      </c>
      <c r="I387" s="138"/>
      <c r="J387" s="138"/>
      <c r="K387" s="138"/>
      <c r="L387" s="138"/>
      <c r="M387" s="353"/>
      <c r="O387" s="14"/>
      <c r="P387" s="2" t="s">
        <v>391</v>
      </c>
      <c r="Q387" s="310"/>
      <c r="R387" s="311"/>
      <c r="S387" s="312" t="str">
        <f>IF(AB256="","",AB256)</f>
        <v/>
      </c>
      <c r="T387" s="69"/>
      <c r="U387" s="69"/>
      <c r="V387" s="56"/>
      <c r="X387" s="69"/>
      <c r="Y387" s="15"/>
    </row>
    <row r="388" spans="1:25" ht="14.1" customHeight="1" x14ac:dyDescent="0.25">
      <c r="A388" s="3">
        <v>58</v>
      </c>
      <c r="B388" s="351"/>
      <c r="C388" s="584" t="str">
        <f>O242</f>
        <v>Scatter – Digital acq</v>
      </c>
      <c r="D388" s="503" t="str">
        <f>P242</f>
        <v>Eye level</v>
      </c>
      <c r="E388" s="483">
        <f>Q242</f>
        <v>0</v>
      </c>
      <c r="F388" s="483">
        <f>R242</f>
        <v>0</v>
      </c>
      <c r="G388" s="415" t="str">
        <f>U242</f>
        <v/>
      </c>
      <c r="H388" s="525" t="str">
        <f>V242</f>
        <v/>
      </c>
      <c r="I388" s="138"/>
      <c r="J388" s="138"/>
      <c r="K388" s="138"/>
      <c r="L388" s="138"/>
      <c r="M388" s="353"/>
      <c r="O388" s="14"/>
      <c r="P388" s="110" t="s">
        <v>192</v>
      </c>
      <c r="Q388" s="111"/>
      <c r="R388" s="313">
        <f>LEN(Q387)</f>
        <v>0</v>
      </c>
      <c r="S388" s="113"/>
      <c r="T388" s="113"/>
      <c r="U388" s="113"/>
      <c r="V388" s="113"/>
      <c r="W388" s="113"/>
      <c r="X388" s="113"/>
      <c r="Y388" s="15"/>
    </row>
    <row r="389" spans="1:25" ht="14.1" customHeight="1" thickBot="1" x14ac:dyDescent="0.3">
      <c r="A389" s="3">
        <v>59</v>
      </c>
      <c r="B389" s="351"/>
      <c r="C389" s="585"/>
      <c r="D389" s="506" t="str">
        <f>P243</f>
        <v>Waist level</v>
      </c>
      <c r="E389" s="485">
        <f>Q243</f>
        <v>0</v>
      </c>
      <c r="F389" s="485">
        <f>R243</f>
        <v>0</v>
      </c>
      <c r="G389" s="417" t="str">
        <f>U243</f>
        <v/>
      </c>
      <c r="H389" s="509" t="str">
        <f>V243</f>
        <v/>
      </c>
      <c r="I389" s="138"/>
      <c r="J389" s="380"/>
      <c r="K389" s="138"/>
      <c r="L389" s="138"/>
      <c r="M389" s="353"/>
      <c r="O389" s="14"/>
      <c r="P389" s="2" t="s">
        <v>391</v>
      </c>
      <c r="Q389" s="310"/>
      <c r="R389" s="311"/>
      <c r="S389" s="312" t="str">
        <f>IF(AB258="","",AB258)</f>
        <v/>
      </c>
      <c r="T389" s="69"/>
      <c r="U389" s="69"/>
      <c r="V389" s="56"/>
      <c r="X389" s="69"/>
      <c r="Y389" s="15"/>
    </row>
    <row r="390" spans="1:25" ht="14.1" customHeight="1" x14ac:dyDescent="0.25">
      <c r="A390" s="3">
        <v>60</v>
      </c>
      <c r="B390" s="351"/>
      <c r="C390" s="207"/>
      <c r="D390" s="207"/>
      <c r="E390" s="207"/>
      <c r="F390" s="207"/>
      <c r="G390" s="207"/>
      <c r="H390" s="207"/>
      <c r="I390" s="390"/>
      <c r="J390" s="380"/>
      <c r="K390" s="138"/>
      <c r="L390" s="138"/>
      <c r="M390" s="353"/>
      <c r="O390" s="14"/>
      <c r="P390" s="110" t="s">
        <v>192</v>
      </c>
      <c r="Q390" s="111"/>
      <c r="R390" s="313">
        <f>LEN(Q389)</f>
        <v>0</v>
      </c>
      <c r="S390" s="113"/>
      <c r="T390" s="113"/>
      <c r="U390" s="113"/>
      <c r="V390" s="113"/>
      <c r="W390" s="113"/>
      <c r="X390" s="113"/>
      <c r="Y390" s="15"/>
    </row>
    <row r="391" spans="1:25" ht="14.1" customHeight="1" x14ac:dyDescent="0.25">
      <c r="A391" s="3">
        <v>61</v>
      </c>
      <c r="B391" s="351"/>
      <c r="C391" s="244"/>
      <c r="D391" s="380"/>
      <c r="E391" s="138"/>
      <c r="F391" s="138"/>
      <c r="G391" s="138"/>
      <c r="H391" s="138"/>
      <c r="I391" s="138"/>
      <c r="J391" s="138"/>
      <c r="K391" s="138"/>
      <c r="L391" s="138"/>
      <c r="M391" s="353"/>
      <c r="O391" s="14"/>
      <c r="P391" s="2" t="s">
        <v>391</v>
      </c>
      <c r="Q391" s="310"/>
      <c r="R391" s="311"/>
      <c r="S391" s="312" t="str">
        <f>IF(AB260="","",AB260)</f>
        <v/>
      </c>
      <c r="T391" s="69"/>
      <c r="U391" s="69"/>
      <c r="V391" s="56"/>
      <c r="X391" s="69"/>
      <c r="Y391" s="15"/>
    </row>
    <row r="392" spans="1:25" ht="14.1" customHeight="1" x14ac:dyDescent="0.25">
      <c r="A392" s="3">
        <v>62</v>
      </c>
      <c r="B392" s="351"/>
      <c r="C392" s="138" t="str">
        <f>C326</f>
        <v>Comments:</v>
      </c>
      <c r="D392" s="70" t="str">
        <f>D326</f>
        <v/>
      </c>
      <c r="E392" s="69"/>
      <c r="F392" s="69"/>
      <c r="G392" s="69"/>
      <c r="H392" s="69"/>
      <c r="I392" s="69"/>
      <c r="J392" s="69"/>
      <c r="K392" s="69"/>
      <c r="L392" s="69"/>
      <c r="M392" s="392"/>
      <c r="O392" s="14"/>
      <c r="P392" s="110" t="s">
        <v>192</v>
      </c>
      <c r="Q392" s="111"/>
      <c r="R392" s="313">
        <f>LEN(Q391)</f>
        <v>0</v>
      </c>
      <c r="S392" s="113"/>
      <c r="T392" s="113"/>
      <c r="U392" s="113"/>
      <c r="V392" s="113"/>
      <c r="W392" s="113"/>
      <c r="X392" s="113"/>
      <c r="Y392" s="15"/>
    </row>
    <row r="393" spans="1:25" ht="14.1" customHeight="1" x14ac:dyDescent="0.25">
      <c r="A393" s="3">
        <v>63</v>
      </c>
      <c r="B393" s="351"/>
      <c r="C393" s="138"/>
      <c r="D393" s="111" t="str">
        <f>D327</f>
        <v/>
      </c>
      <c r="E393" s="113"/>
      <c r="F393" s="113"/>
      <c r="G393" s="113"/>
      <c r="H393" s="113"/>
      <c r="I393" s="113"/>
      <c r="J393" s="113"/>
      <c r="K393" s="113"/>
      <c r="L393" s="113"/>
      <c r="M393" s="393"/>
      <c r="O393" s="14"/>
      <c r="P393" s="2" t="s">
        <v>391</v>
      </c>
      <c r="Q393" s="310"/>
      <c r="R393" s="311"/>
      <c r="S393" s="312" t="str">
        <f>IF(AB262="","",AB262)</f>
        <v/>
      </c>
      <c r="T393" s="69"/>
      <c r="U393" s="69"/>
      <c r="V393" s="56"/>
      <c r="X393" s="69"/>
      <c r="Y393" s="15"/>
    </row>
    <row r="394" spans="1:25" ht="14.1" customHeight="1" x14ac:dyDescent="0.25">
      <c r="A394" s="3">
        <v>64</v>
      </c>
      <c r="B394" s="354"/>
      <c r="C394" s="355"/>
      <c r="D394" s="355"/>
      <c r="E394" s="396" t="str">
        <f>E328</f>
        <v/>
      </c>
      <c r="F394" s="397"/>
      <c r="G394" s="397"/>
      <c r="H394" s="397"/>
      <c r="I394" s="397"/>
      <c r="J394" s="397"/>
      <c r="K394" s="397"/>
      <c r="L394" s="397"/>
      <c r="M394" s="398"/>
      <c r="O394" s="14"/>
      <c r="P394" s="110" t="s">
        <v>192</v>
      </c>
      <c r="Q394" s="111"/>
      <c r="R394" s="313">
        <f>LEN(Q393)</f>
        <v>0</v>
      </c>
      <c r="S394" s="113"/>
      <c r="T394" s="113"/>
      <c r="U394" s="113"/>
      <c r="V394" s="113"/>
      <c r="W394" s="113"/>
      <c r="X394" s="113"/>
      <c r="Y394" s="15"/>
    </row>
    <row r="395" spans="1:25" ht="14.1" customHeight="1" x14ac:dyDescent="0.25">
      <c r="A395" s="3">
        <v>65</v>
      </c>
      <c r="C395" s="2" t="s">
        <v>10</v>
      </c>
      <c r="D395" s="68" t="str">
        <f>IF($P$7="","",$P$7)</f>
        <v/>
      </c>
      <c r="L395" s="2" t="s">
        <v>11</v>
      </c>
      <c r="M395" s="69" t="str">
        <f>IF($X$7="","",$X$7)</f>
        <v>Eugene Mah</v>
      </c>
      <c r="O395" s="14"/>
      <c r="P395" s="2" t="s">
        <v>391</v>
      </c>
      <c r="Q395" s="310"/>
      <c r="R395" s="311"/>
      <c r="S395" s="312" t="str">
        <f>IF(AB264="","",AB264)</f>
        <v/>
      </c>
      <c r="T395" s="69"/>
      <c r="U395" s="69"/>
      <c r="V395" s="56"/>
      <c r="X395" s="69"/>
      <c r="Y395" s="15"/>
    </row>
    <row r="396" spans="1:25" ht="14.1" customHeight="1" x14ac:dyDescent="0.25">
      <c r="A396" s="3">
        <v>66</v>
      </c>
      <c r="C396" s="2" t="s">
        <v>79</v>
      </c>
      <c r="D396" s="70" t="str">
        <f>IF($R$14="","",$R$14&amp;" Tube "&amp;$W$48)</f>
        <v/>
      </c>
      <c r="L396" s="2" t="s">
        <v>25</v>
      </c>
      <c r="M396" s="71" t="str">
        <f>IF($R$13="","",$R$13)</f>
        <v/>
      </c>
      <c r="O396" s="14"/>
      <c r="P396" s="110" t="s">
        <v>192</v>
      </c>
      <c r="Q396" s="111"/>
      <c r="R396" s="313">
        <f>LEN(Q395)</f>
        <v>0</v>
      </c>
      <c r="S396" s="113"/>
      <c r="T396" s="113"/>
      <c r="U396" s="113"/>
      <c r="V396" s="113"/>
      <c r="W396" s="113"/>
      <c r="X396" s="113"/>
      <c r="Y396" s="15"/>
    </row>
    <row r="397" spans="1:25" ht="14.1" customHeight="1" x14ac:dyDescent="0.25">
      <c r="A397" s="3">
        <v>1</v>
      </c>
      <c r="M397" s="72" t="str">
        <f>$H$2</f>
        <v>Medical University of South Carolina</v>
      </c>
      <c r="O397" s="14"/>
      <c r="P397" s="2" t="s">
        <v>391</v>
      </c>
      <c r="Q397" s="310"/>
      <c r="R397" s="311"/>
      <c r="S397" s="312" t="str">
        <f>IF(AB266="","",AB266)</f>
        <v/>
      </c>
      <c r="T397" s="69"/>
      <c r="U397" s="69"/>
      <c r="V397" s="56"/>
      <c r="X397" s="69"/>
      <c r="Y397" s="15"/>
    </row>
    <row r="398" spans="1:25" ht="14.1" customHeight="1" x14ac:dyDescent="0.25">
      <c r="A398" s="3">
        <v>2</v>
      </c>
      <c r="H398" s="33" t="str">
        <f>$H$68</f>
        <v>Inspection Results</v>
      </c>
      <c r="M398" s="25" t="str">
        <f>$H$5</f>
        <v>Fluoroscopy System Compliance Inspection</v>
      </c>
      <c r="O398" s="14"/>
      <c r="P398" s="110" t="s">
        <v>192</v>
      </c>
      <c r="Q398" s="111"/>
      <c r="R398" s="313">
        <f>LEN(Q397)</f>
        <v>0</v>
      </c>
      <c r="S398" s="113"/>
      <c r="T398" s="113"/>
      <c r="U398" s="113"/>
      <c r="V398" s="113"/>
      <c r="W398" s="113"/>
      <c r="X398" s="113"/>
      <c r="Y398" s="15"/>
    </row>
    <row r="399" spans="1:25" ht="14.1" customHeight="1" thickTop="1" x14ac:dyDescent="0.25">
      <c r="A399" s="3">
        <v>3</v>
      </c>
      <c r="B399" s="348"/>
      <c r="C399" s="374" t="s">
        <v>396</v>
      </c>
      <c r="D399" s="349"/>
      <c r="E399" s="349"/>
      <c r="F399" s="349"/>
      <c r="G399" s="349"/>
      <c r="H399" s="586" t="s">
        <v>397</v>
      </c>
      <c r="I399" s="586"/>
      <c r="J399" s="586" t="s">
        <v>398</v>
      </c>
      <c r="K399" s="586"/>
      <c r="L399" s="349"/>
      <c r="M399" s="350"/>
      <c r="O399" s="14"/>
      <c r="P399" s="2" t="s">
        <v>391</v>
      </c>
      <c r="Q399" s="310"/>
      <c r="R399" s="311"/>
      <c r="S399" s="312" t="str">
        <f>IF(AB268="","",AB268)</f>
        <v/>
      </c>
      <c r="T399" s="69"/>
      <c r="U399" s="69"/>
      <c r="V399" s="56"/>
      <c r="X399" s="69"/>
      <c r="Y399" s="15"/>
    </row>
    <row r="400" spans="1:25" ht="14.1" customHeight="1" thickBot="1" x14ac:dyDescent="0.3">
      <c r="A400" s="3">
        <v>4</v>
      </c>
      <c r="B400" s="351"/>
      <c r="C400" s="138"/>
      <c r="D400" s="447" t="str">
        <f>O318</f>
        <v>Receptor Size</v>
      </c>
      <c r="E400" s="542" t="str">
        <f>P318</f>
        <v>MS1</v>
      </c>
      <c r="F400" s="543" t="str">
        <f>Q318</f>
        <v>MS3</v>
      </c>
      <c r="G400" s="544" t="str">
        <f>R318</f>
        <v>MS4</v>
      </c>
      <c r="H400" s="542" t="s">
        <v>399</v>
      </c>
      <c r="I400" s="545" t="s">
        <v>288</v>
      </c>
      <c r="J400" s="546" t="str">
        <f>T318</f>
        <v>N3</v>
      </c>
      <c r="K400" s="545" t="s">
        <v>288</v>
      </c>
      <c r="L400" s="138"/>
      <c r="M400" s="353"/>
      <c r="O400" s="14"/>
      <c r="P400" s="110" t="s">
        <v>192</v>
      </c>
      <c r="Q400" s="111"/>
      <c r="R400" s="313">
        <f>LEN(Q399)</f>
        <v>0</v>
      </c>
      <c r="S400" s="113"/>
      <c r="T400" s="113"/>
      <c r="U400" s="113"/>
      <c r="V400" s="113"/>
      <c r="W400" s="113"/>
      <c r="X400" s="113"/>
      <c r="Y400" s="15"/>
    </row>
    <row r="401" spans="1:25" ht="14.1" customHeight="1" x14ac:dyDescent="0.25">
      <c r="A401" s="3">
        <v>5</v>
      </c>
      <c r="B401" s="351"/>
      <c r="C401" s="138"/>
      <c r="D401" s="523" t="str">
        <f>O319</f>
        <v/>
      </c>
      <c r="E401" s="538" t="str">
        <f t="shared" ref="E401:G405" si="85">IF(P319="","",VLOOKUP(P319,LeedsMS,2))</f>
        <v/>
      </c>
      <c r="F401" s="539" t="str">
        <f t="shared" si="85"/>
        <v/>
      </c>
      <c r="G401" s="540" t="str">
        <f t="shared" si="85"/>
        <v/>
      </c>
      <c r="H401" s="531" t="str">
        <f>IF(S319="","",VLOOKUP(S319,Huttner,2))</f>
        <v/>
      </c>
      <c r="I401" s="526" t="str">
        <f>IF(H401="","",IF(H401&lt;1,"NO","YES"))</f>
        <v/>
      </c>
      <c r="J401" s="541" t="str">
        <f>IF(T319="","",VLOOKUP(T319,LeedsN3,2))</f>
        <v/>
      </c>
      <c r="K401" s="526" t="str">
        <f>IF(J401="","",IF(J401&lt;=0.04,"YES","NO"))</f>
        <v/>
      </c>
      <c r="L401" s="138"/>
      <c r="M401" s="353"/>
      <c r="O401" s="14"/>
      <c r="P401" s="2" t="s">
        <v>391</v>
      </c>
      <c r="Q401" s="310"/>
      <c r="R401" s="311"/>
      <c r="S401" s="312" t="str">
        <f>IF(AB270="","",AB270)</f>
        <v/>
      </c>
      <c r="T401" s="69"/>
      <c r="U401" s="69"/>
      <c r="V401" s="56"/>
      <c r="X401" s="69"/>
      <c r="Y401" s="15"/>
    </row>
    <row r="402" spans="1:25" ht="14.1" customHeight="1" x14ac:dyDescent="0.25">
      <c r="A402" s="3">
        <v>6</v>
      </c>
      <c r="B402" s="351"/>
      <c r="C402" s="138"/>
      <c r="D402" s="520" t="str">
        <f>O320</f>
        <v/>
      </c>
      <c r="E402" s="532" t="str">
        <f t="shared" si="85"/>
        <v/>
      </c>
      <c r="F402" s="527" t="str">
        <f t="shared" si="85"/>
        <v/>
      </c>
      <c r="G402" s="533" t="str">
        <f t="shared" si="85"/>
        <v/>
      </c>
      <c r="H402" s="403" t="str">
        <f>IF(S320="","",VLOOKUP(S320,Huttner,2))</f>
        <v/>
      </c>
      <c r="I402" s="528" t="str">
        <f>IF(H402="","",IF(H402&lt;1.25,"NO","YES"))</f>
        <v/>
      </c>
      <c r="J402" s="536" t="str">
        <f>IF(T320="","",VLOOKUP(T320,LeedsN3,2))</f>
        <v/>
      </c>
      <c r="K402" s="528" t="str">
        <f>IF(J402="","",IF(J402&lt;=0.04,"YES","NO"))</f>
        <v/>
      </c>
      <c r="L402" s="138"/>
      <c r="M402" s="353"/>
      <c r="O402" s="14"/>
      <c r="P402" s="110" t="s">
        <v>192</v>
      </c>
      <c r="Q402" s="111"/>
      <c r="R402" s="313">
        <f>LEN(Q401)</f>
        <v>0</v>
      </c>
      <c r="S402" s="113"/>
      <c r="T402" s="113"/>
      <c r="U402" s="113"/>
      <c r="V402" s="113"/>
      <c r="W402" s="113"/>
      <c r="X402" s="113"/>
      <c r="Y402" s="15"/>
    </row>
    <row r="403" spans="1:25" ht="14.1" customHeight="1" x14ac:dyDescent="0.25">
      <c r="A403" s="3">
        <v>7</v>
      </c>
      <c r="B403" s="351"/>
      <c r="C403" s="138"/>
      <c r="D403" s="520" t="str">
        <f>O321</f>
        <v/>
      </c>
      <c r="E403" s="532" t="str">
        <f t="shared" si="85"/>
        <v/>
      </c>
      <c r="F403" s="527" t="str">
        <f t="shared" si="85"/>
        <v/>
      </c>
      <c r="G403" s="533" t="str">
        <f t="shared" si="85"/>
        <v/>
      </c>
      <c r="H403" s="403" t="str">
        <f>IF(S321="","",VLOOKUP(S321,Huttner,2))</f>
        <v/>
      </c>
      <c r="I403" s="528" t="str">
        <f>IF(H403="","",IF(H403&lt;1.4,"NO","YES"))</f>
        <v/>
      </c>
      <c r="J403" s="536" t="str">
        <f>IF(T321="","",VLOOKUP(T321,LeedsN3,2))</f>
        <v/>
      </c>
      <c r="K403" s="528" t="str">
        <f>IF(J403="","",IF(J403&lt;=0.04,"YES","NO"))</f>
        <v/>
      </c>
      <c r="L403" s="138"/>
      <c r="M403" s="353"/>
      <c r="O403" s="14"/>
      <c r="P403" s="2" t="s">
        <v>391</v>
      </c>
      <c r="Q403" s="310"/>
      <c r="R403" s="311"/>
      <c r="S403" s="312" t="str">
        <f>IF(AB272="","",AB272)</f>
        <v/>
      </c>
      <c r="T403" s="69"/>
      <c r="U403" s="69"/>
      <c r="V403" s="56"/>
      <c r="X403" s="69"/>
      <c r="Y403" s="15"/>
    </row>
    <row r="404" spans="1:25" ht="14.1" customHeight="1" x14ac:dyDescent="0.25">
      <c r="A404" s="3">
        <v>8</v>
      </c>
      <c r="B404" s="351"/>
      <c r="C404" s="138"/>
      <c r="D404" s="520" t="str">
        <f>O322</f>
        <v/>
      </c>
      <c r="E404" s="532" t="str">
        <f t="shared" si="85"/>
        <v/>
      </c>
      <c r="F404" s="527" t="str">
        <f t="shared" si="85"/>
        <v/>
      </c>
      <c r="G404" s="533" t="str">
        <f t="shared" si="85"/>
        <v/>
      </c>
      <c r="H404" s="403" t="str">
        <f>IF(S322="","",VLOOKUP(S322,Huttner,2))</f>
        <v/>
      </c>
      <c r="I404" s="528" t="str">
        <f>IF(H404="","",IF(H404&lt;2,"NO","YES"))</f>
        <v/>
      </c>
      <c r="J404" s="536" t="str">
        <f>IF(T322="","",VLOOKUP(T322,LeedsN3,2))</f>
        <v/>
      </c>
      <c r="K404" s="528" t="str">
        <f>IF(J404="","",IF(J404&lt;=0.04,"YES","NO"))</f>
        <v/>
      </c>
      <c r="L404" s="138"/>
      <c r="M404" s="353"/>
      <c r="O404" s="14"/>
      <c r="P404" s="110" t="s">
        <v>192</v>
      </c>
      <c r="Q404" s="111"/>
      <c r="R404" s="313">
        <f>LEN(Q403)</f>
        <v>0</v>
      </c>
      <c r="S404" s="113"/>
      <c r="T404" s="113"/>
      <c r="U404" s="113"/>
      <c r="V404" s="113"/>
      <c r="W404" s="113"/>
      <c r="X404" s="113"/>
      <c r="Y404" s="15"/>
    </row>
    <row r="405" spans="1:25" ht="14.1" customHeight="1" thickBot="1" x14ac:dyDescent="0.3">
      <c r="A405" s="3">
        <v>9</v>
      </c>
      <c r="B405" s="351"/>
      <c r="C405" s="138"/>
      <c r="D405" s="522" t="str">
        <f>O323</f>
        <v/>
      </c>
      <c r="E405" s="534" t="str">
        <f t="shared" si="85"/>
        <v/>
      </c>
      <c r="F405" s="529" t="str">
        <f t="shared" si="85"/>
        <v/>
      </c>
      <c r="G405" s="535" t="str">
        <f t="shared" si="85"/>
        <v/>
      </c>
      <c r="H405" s="404" t="str">
        <f>IF(S323="","",VLOOKUP(S323,Huttner,2))</f>
        <v/>
      </c>
      <c r="I405" s="530" t="str">
        <f>IF(H405="","",IF(H405&lt;1,"NO","YES"))</f>
        <v/>
      </c>
      <c r="J405" s="537" t="str">
        <f>IF(T323="","",VLOOKUP(T323,LeedsN3,2))</f>
        <v/>
      </c>
      <c r="K405" s="530" t="str">
        <f>IF(J405="","",IF(J405&lt;=0.04,"YES","NO"))</f>
        <v/>
      </c>
      <c r="L405" s="138"/>
      <c r="M405" s="353"/>
      <c r="O405" s="14"/>
      <c r="P405" s="2" t="s">
        <v>391</v>
      </c>
      <c r="Q405" s="310"/>
      <c r="R405" s="311"/>
      <c r="S405" s="312" t="str">
        <f>IF(AB274="","",AB274)</f>
        <v/>
      </c>
      <c r="T405" s="69"/>
      <c r="U405" s="69"/>
      <c r="V405" s="56"/>
      <c r="X405" s="69"/>
      <c r="Y405" s="15"/>
    </row>
    <row r="406" spans="1:25" ht="14.1" customHeight="1" x14ac:dyDescent="0.25">
      <c r="A406" s="3">
        <v>10</v>
      </c>
      <c r="B406" s="351"/>
      <c r="C406" s="138"/>
      <c r="D406" s="242" t="s">
        <v>188</v>
      </c>
      <c r="E406" s="380" t="s">
        <v>400</v>
      </c>
      <c r="F406" s="138"/>
      <c r="G406" s="138"/>
      <c r="H406" s="138"/>
      <c r="I406" s="138"/>
      <c r="J406" s="138"/>
      <c r="K406" s="138"/>
      <c r="L406" s="138"/>
      <c r="M406" s="353"/>
      <c r="O406" s="14"/>
      <c r="P406" s="110" t="s">
        <v>192</v>
      </c>
      <c r="Q406" s="111"/>
      <c r="R406" s="313">
        <f>LEN(Q405)</f>
        <v>0</v>
      </c>
      <c r="S406" s="113"/>
      <c r="T406" s="113"/>
      <c r="U406" s="113"/>
      <c r="V406" s="113"/>
      <c r="W406" s="113"/>
      <c r="X406" s="113"/>
      <c r="Y406" s="15"/>
    </row>
    <row r="407" spans="1:25" ht="14.1" customHeight="1" x14ac:dyDescent="0.25">
      <c r="A407" s="3">
        <v>11</v>
      </c>
      <c r="B407" s="351"/>
      <c r="C407" s="138"/>
      <c r="D407" s="138"/>
      <c r="E407" s="380" t="s">
        <v>401</v>
      </c>
      <c r="F407" s="138"/>
      <c r="G407" s="138"/>
      <c r="H407" s="138"/>
      <c r="I407" s="138"/>
      <c r="J407" s="138"/>
      <c r="K407" s="138"/>
      <c r="L407" s="138"/>
      <c r="M407" s="353"/>
      <c r="O407" s="14"/>
      <c r="P407" s="2" t="s">
        <v>391</v>
      </c>
      <c r="Q407" s="310"/>
      <c r="R407" s="311"/>
      <c r="S407" s="312" t="str">
        <f>IF(AB276="","",AB276)</f>
        <v/>
      </c>
      <c r="T407" s="69"/>
      <c r="U407" s="69"/>
      <c r="V407" s="56"/>
      <c r="X407" s="69"/>
      <c r="Y407" s="15"/>
    </row>
    <row r="408" spans="1:25" ht="14.1" customHeight="1" x14ac:dyDescent="0.25">
      <c r="A408" s="3">
        <v>12</v>
      </c>
      <c r="B408" s="351"/>
      <c r="C408" s="138" t="str">
        <f>P325</f>
        <v>Comments:</v>
      </c>
      <c r="D408" s="477" t="str">
        <f>IF(Q325="","",IF(LEN(Q325)&lt;=135,Q325,IF(LEN(Q325)&lt;=260,LEFT(Q325,SEARCH(" ",Q325,125)),LEFT(Q325,SEARCH(" ",Q325,130)))))</f>
        <v/>
      </c>
      <c r="E408" s="478"/>
      <c r="F408" s="478"/>
      <c r="G408" s="478"/>
      <c r="H408" s="478"/>
      <c r="I408" s="478"/>
      <c r="J408" s="478"/>
      <c r="K408" s="478"/>
      <c r="L408" s="478"/>
      <c r="M408" s="479"/>
      <c r="O408" s="14"/>
      <c r="P408" s="110" t="s">
        <v>192</v>
      </c>
      <c r="Q408" s="113"/>
      <c r="R408" s="313">
        <f>LEN(Q407)</f>
        <v>0</v>
      </c>
      <c r="S408" s="113"/>
      <c r="T408" s="113"/>
      <c r="U408" s="113"/>
      <c r="V408" s="113"/>
      <c r="W408" s="113"/>
      <c r="X408" s="113"/>
      <c r="Y408" s="15"/>
    </row>
    <row r="409" spans="1:25" ht="14.1" customHeight="1" x14ac:dyDescent="0.25">
      <c r="A409" s="3">
        <v>13</v>
      </c>
      <c r="B409" s="351"/>
      <c r="C409" s="138"/>
      <c r="D409" s="480" t="str">
        <f>IF(LEN(Q325)&lt;=135,"",IF(LEN(Q325)&lt;=260,RIGHT(Q325,LEN(Q325)-SEARCH(" ",Q325,125)),MID(Q325,SEARCH(" ",Q325,130),IF(LEN(Q325)&lt;=265,LEN(Q325),SEARCH(" ",Q325,255)-SEARCH(" ",Q325,130)))))</f>
        <v/>
      </c>
      <c r="E409" s="481"/>
      <c r="F409" s="481"/>
      <c r="G409" s="481"/>
      <c r="H409" s="481"/>
      <c r="I409" s="481"/>
      <c r="J409" s="481"/>
      <c r="K409" s="481"/>
      <c r="L409" s="481"/>
      <c r="M409" s="482"/>
      <c r="O409" s="22"/>
      <c r="P409" s="23"/>
      <c r="Q409" s="23"/>
      <c r="R409" s="23"/>
      <c r="S409" s="23"/>
      <c r="T409" s="23"/>
      <c r="U409" s="23"/>
      <c r="V409" s="23"/>
      <c r="W409" s="23"/>
      <c r="X409" s="23"/>
      <c r="Y409" s="24"/>
    </row>
    <row r="410" spans="1:25" ht="14.1" customHeight="1" x14ac:dyDescent="0.25">
      <c r="A410" s="3">
        <v>14</v>
      </c>
      <c r="B410" s="351"/>
      <c r="C410" s="138"/>
      <c r="D410" s="480" t="str">
        <f>IF(LEN(Q325)&lt;=265,"",RIGHT(Q325,LEN(Q325)-SEARCH(" ",Q325,255)))</f>
        <v/>
      </c>
      <c r="E410" s="481"/>
      <c r="F410" s="481"/>
      <c r="G410" s="481"/>
      <c r="H410" s="481"/>
      <c r="I410" s="481"/>
      <c r="J410" s="481"/>
      <c r="K410" s="481"/>
      <c r="L410" s="481"/>
      <c r="M410" s="482"/>
    </row>
    <row r="411" spans="1:25" ht="14.1" customHeight="1" x14ac:dyDescent="0.25">
      <c r="A411" s="3">
        <v>15</v>
      </c>
      <c r="B411" s="351"/>
      <c r="C411" s="138"/>
      <c r="D411" s="138"/>
      <c r="E411" s="138"/>
      <c r="F411" s="138"/>
      <c r="G411" s="138"/>
      <c r="H411" s="138"/>
      <c r="I411" s="138"/>
      <c r="J411" s="138"/>
      <c r="K411" s="138"/>
      <c r="L411" s="138"/>
      <c r="M411" s="353"/>
      <c r="T411" s="33" t="s">
        <v>402</v>
      </c>
    </row>
    <row r="412" spans="1:25" ht="14.1" customHeight="1" x14ac:dyDescent="0.25">
      <c r="A412" s="3">
        <v>16</v>
      </c>
      <c r="B412" s="351"/>
      <c r="C412" s="399" t="s">
        <v>403</v>
      </c>
      <c r="D412" s="138"/>
      <c r="E412" s="138"/>
      <c r="F412" s="138"/>
      <c r="G412" s="138"/>
      <c r="H412" s="138"/>
      <c r="I412" s="138"/>
      <c r="J412" s="138"/>
      <c r="K412" s="138"/>
      <c r="L412" s="138"/>
      <c r="M412" s="353"/>
      <c r="O412" s="40"/>
      <c r="P412" s="8"/>
      <c r="Q412" s="8"/>
      <c r="R412" s="8"/>
      <c r="S412" s="79" t="s">
        <v>389</v>
      </c>
      <c r="T412" s="8"/>
      <c r="U412" s="8"/>
      <c r="V412" s="8"/>
      <c r="W412" s="8"/>
      <c r="X412" s="8"/>
      <c r="Y412" s="9"/>
    </row>
    <row r="413" spans="1:25" ht="14.1" customHeight="1" x14ac:dyDescent="0.25">
      <c r="A413" s="3">
        <v>17</v>
      </c>
      <c r="B413" s="351"/>
      <c r="C413" s="45"/>
      <c r="D413" s="587" t="s">
        <v>404</v>
      </c>
      <c r="E413" s="587"/>
      <c r="F413" s="587"/>
      <c r="G413" s="587"/>
      <c r="H413" s="587"/>
      <c r="I413" s="587" t="s">
        <v>405</v>
      </c>
      <c r="J413" s="587"/>
      <c r="K413" s="587"/>
      <c r="L413" s="587"/>
      <c r="M413" s="588"/>
      <c r="O413" s="14"/>
      <c r="P413" s="2" t="s">
        <v>191</v>
      </c>
      <c r="Q413" s="310"/>
      <c r="R413" s="311"/>
      <c r="S413" s="312" t="str">
        <f>IF(AB277="","",AB277)</f>
        <v/>
      </c>
      <c r="T413" s="69"/>
      <c r="U413" s="69"/>
      <c r="V413" s="56"/>
      <c r="X413" s="69"/>
      <c r="Y413" s="15"/>
    </row>
    <row r="414" spans="1:25" ht="14.1" customHeight="1" thickBot="1" x14ac:dyDescent="0.3">
      <c r="A414" s="3">
        <v>18</v>
      </c>
      <c r="B414" s="351"/>
      <c r="C414" s="412" t="s">
        <v>352</v>
      </c>
      <c r="D414" s="565" t="str">
        <f>Q330</f>
        <v/>
      </c>
      <c r="E414" s="566" t="str">
        <f>R330</f>
        <v/>
      </c>
      <c r="F414" s="566" t="str">
        <f>S330</f>
        <v/>
      </c>
      <c r="G414" s="566" t="str">
        <f>T330</f>
        <v/>
      </c>
      <c r="H414" s="567" t="str">
        <f>U330</f>
        <v/>
      </c>
      <c r="I414" s="565" t="str">
        <f>Q330</f>
        <v/>
      </c>
      <c r="J414" s="566" t="str">
        <f>R330</f>
        <v/>
      </c>
      <c r="K414" s="566" t="str">
        <f>S330</f>
        <v/>
      </c>
      <c r="L414" s="566" t="str">
        <f>T330</f>
        <v/>
      </c>
      <c r="M414" s="568" t="str">
        <f>U330</f>
        <v/>
      </c>
      <c r="O414" s="14"/>
      <c r="P414" s="110" t="s">
        <v>192</v>
      </c>
      <c r="Q414" s="111"/>
      <c r="R414" s="313">
        <f>LEN(Q413)</f>
        <v>0</v>
      </c>
      <c r="S414" s="113"/>
      <c r="T414" s="113"/>
      <c r="U414" s="314"/>
      <c r="V414" s="113"/>
      <c r="W414" s="113"/>
      <c r="X414" s="113"/>
      <c r="Y414" s="15"/>
    </row>
    <row r="415" spans="1:25" ht="14.1" customHeight="1" x14ac:dyDescent="0.25">
      <c r="A415" s="3">
        <v>19</v>
      </c>
      <c r="B415" s="351"/>
      <c r="C415" s="412" t="s">
        <v>353</v>
      </c>
      <c r="D415" s="559" t="str">
        <f t="shared" ref="D415:D426" si="86">IF(Q331="","",HLOOKUP(Q331,TO10Values,MATCH($P331,TO10Group,0)))</f>
        <v/>
      </c>
      <c r="E415" s="560" t="str">
        <f t="shared" ref="E415:E426" si="87">IF(R331="","",HLOOKUP(R331,TO10Values,MATCH($P331,TO10Group,0)))</f>
        <v/>
      </c>
      <c r="F415" s="560" t="str">
        <f t="shared" ref="F415:F426" si="88">IF(S331="","",HLOOKUP(S331,TO10Values,MATCH($P331,TO10Group,0)))</f>
        <v/>
      </c>
      <c r="G415" s="560" t="str">
        <f t="shared" ref="G415:G426" si="89">IF(T331="","",HLOOKUP(T331,TO10Values,MATCH($P331,TO10Group,0)))</f>
        <v/>
      </c>
      <c r="H415" s="561" t="str">
        <f t="shared" ref="H415:H426" si="90">IF(U331="","",HLOOKUP(U331,TO10Values,MATCH($P331,TO10Group,0)))</f>
        <v/>
      </c>
      <c r="I415" s="562" t="str">
        <f>IF(D415="","",IF(ISNA(D415),NA(),1/(D415*Tables!$C47)))</f>
        <v/>
      </c>
      <c r="J415" s="563" t="str">
        <f>IF(E415="","",IF(ISNA(E415),NA(),1/(E415*Tables!$C47)))</f>
        <v/>
      </c>
      <c r="K415" s="563" t="str">
        <f>IF(F415="","",IF(ISNA(F415),NA(),1/(F415*Tables!$C47)))</f>
        <v/>
      </c>
      <c r="L415" s="563" t="str">
        <f>IF(G415="","",IF(ISNA(G415),NA(),1/(G415*Tables!$C47)))</f>
        <v/>
      </c>
      <c r="M415" s="564" t="str">
        <f>IF(H415="","",IF(ISNA(H415),NA(),1/(H415*Tables!$C47)))</f>
        <v/>
      </c>
      <c r="O415" s="14"/>
      <c r="P415" s="2" t="s">
        <v>391</v>
      </c>
      <c r="Q415" s="310"/>
      <c r="R415" s="311"/>
      <c r="S415" s="312" t="str">
        <f>IF(AB279="","",AB279)</f>
        <v/>
      </c>
      <c r="T415" s="69"/>
      <c r="U415" s="69"/>
      <c r="V415" s="56"/>
      <c r="X415" s="69"/>
      <c r="Y415" s="15"/>
    </row>
    <row r="416" spans="1:25" ht="14.1" customHeight="1" x14ac:dyDescent="0.25">
      <c r="A416" s="3">
        <v>20</v>
      </c>
      <c r="B416" s="351"/>
      <c r="C416" s="412" t="s">
        <v>354</v>
      </c>
      <c r="D416" s="547" t="str">
        <f t="shared" si="86"/>
        <v/>
      </c>
      <c r="E416" s="548" t="str">
        <f t="shared" si="87"/>
        <v/>
      </c>
      <c r="F416" s="548" t="str">
        <f t="shared" si="88"/>
        <v/>
      </c>
      <c r="G416" s="548" t="str">
        <f t="shared" si="89"/>
        <v/>
      </c>
      <c r="H416" s="551" t="str">
        <f t="shared" si="90"/>
        <v/>
      </c>
      <c r="I416" s="553" t="str">
        <f>IF(D416="","",IF(ISNA(D416),NA(),1/(D416*Tables!$C48)))</f>
        <v/>
      </c>
      <c r="J416" s="554" t="str">
        <f>IF(E416="","",IF(ISNA(E416),NA(),1/(E416*Tables!$C48)))</f>
        <v/>
      </c>
      <c r="K416" s="554" t="str">
        <f>IF(F416="","",IF(ISNA(F416),NA(),1/(F416*Tables!$C48)))</f>
        <v/>
      </c>
      <c r="L416" s="554" t="str">
        <f>IF(G416="","",IF(ISNA(G416),NA(),1/(G416*Tables!$C48)))</f>
        <v/>
      </c>
      <c r="M416" s="555" t="str">
        <f>IF(H416="","",IF(ISNA(H416),NA(),1/(H416*Tables!$C48)))</f>
        <v/>
      </c>
      <c r="O416" s="14"/>
      <c r="P416" s="110" t="s">
        <v>192</v>
      </c>
      <c r="Q416" s="111"/>
      <c r="R416" s="313">
        <f>LEN(Q415)</f>
        <v>0</v>
      </c>
      <c r="S416" s="113"/>
      <c r="T416" s="113"/>
      <c r="U416" s="314"/>
      <c r="V416" s="113"/>
      <c r="W416" s="113"/>
      <c r="X416" s="113"/>
      <c r="Y416" s="15"/>
    </row>
    <row r="417" spans="1:25" ht="14.1" customHeight="1" x14ac:dyDescent="0.25">
      <c r="A417" s="3">
        <v>21</v>
      </c>
      <c r="B417" s="351"/>
      <c r="C417" s="412" t="s">
        <v>355</v>
      </c>
      <c r="D417" s="547" t="str">
        <f t="shared" si="86"/>
        <v/>
      </c>
      <c r="E417" s="548" t="str">
        <f t="shared" si="87"/>
        <v/>
      </c>
      <c r="F417" s="548" t="str">
        <f t="shared" si="88"/>
        <v/>
      </c>
      <c r="G417" s="548" t="str">
        <f t="shared" si="89"/>
        <v/>
      </c>
      <c r="H417" s="551" t="str">
        <f t="shared" si="90"/>
        <v/>
      </c>
      <c r="I417" s="553" t="str">
        <f>IF(D417="","",IF(ISNA(D417),NA(),1/(D417*Tables!$C49)))</f>
        <v/>
      </c>
      <c r="J417" s="554" t="str">
        <f>IF(E417="","",IF(ISNA(E417),NA(),1/(E417*Tables!$C49)))</f>
        <v/>
      </c>
      <c r="K417" s="554" t="str">
        <f>IF(F417="","",IF(ISNA(F417),NA(),1/(F417*Tables!$C49)))</f>
        <v/>
      </c>
      <c r="L417" s="554" t="str">
        <f>IF(G417="","",IF(ISNA(G417),NA(),1/(G417*Tables!$C49)))</f>
        <v/>
      </c>
      <c r="M417" s="555" t="str">
        <f>IF(H417="","",IF(ISNA(H417),NA(),1/(H417*Tables!$C49)))</f>
        <v/>
      </c>
      <c r="O417" s="14"/>
      <c r="P417" s="2" t="s">
        <v>391</v>
      </c>
      <c r="Q417" s="310"/>
      <c r="R417" s="311"/>
      <c r="S417" s="312" t="str">
        <f>IF(AB281="","",AB281)</f>
        <v/>
      </c>
      <c r="T417" s="69"/>
      <c r="U417" s="69"/>
      <c r="V417" s="56"/>
      <c r="X417" s="69"/>
      <c r="Y417" s="15"/>
    </row>
    <row r="418" spans="1:25" ht="14.1" customHeight="1" x14ac:dyDescent="0.25">
      <c r="A418" s="3">
        <v>22</v>
      </c>
      <c r="B418" s="351"/>
      <c r="C418" s="412" t="s">
        <v>356</v>
      </c>
      <c r="D418" s="547" t="str">
        <f t="shared" si="86"/>
        <v/>
      </c>
      <c r="E418" s="548" t="str">
        <f t="shared" si="87"/>
        <v/>
      </c>
      <c r="F418" s="548" t="str">
        <f t="shared" si="88"/>
        <v/>
      </c>
      <c r="G418" s="548" t="str">
        <f t="shared" si="89"/>
        <v/>
      </c>
      <c r="H418" s="551" t="str">
        <f t="shared" si="90"/>
        <v/>
      </c>
      <c r="I418" s="553" t="str">
        <f>IF(D418="","",IF(ISNA(D418),NA(),1/(D418*Tables!$C50)))</f>
        <v/>
      </c>
      <c r="J418" s="554" t="str">
        <f>IF(E418="","",IF(ISNA(E418),NA(),1/(E418*Tables!$C50)))</f>
        <v/>
      </c>
      <c r="K418" s="554" t="str">
        <f>IF(F418="","",IF(ISNA(F418),NA(),1/(F418*Tables!$C50)))</f>
        <v/>
      </c>
      <c r="L418" s="554" t="str">
        <f>IF(G418="","",IF(ISNA(G418),NA(),1/(G418*Tables!$C50)))</f>
        <v/>
      </c>
      <c r="M418" s="555" t="str">
        <f>IF(H418="","",IF(ISNA(H418),NA(),1/(H418*Tables!$C50)))</f>
        <v/>
      </c>
      <c r="O418" s="14"/>
      <c r="P418" s="110" t="s">
        <v>192</v>
      </c>
      <c r="Q418" s="111"/>
      <c r="R418" s="313">
        <f>LEN(Q417)</f>
        <v>0</v>
      </c>
      <c r="S418" s="113"/>
      <c r="T418" s="113"/>
      <c r="U418" s="314"/>
      <c r="V418" s="113"/>
      <c r="W418" s="113"/>
      <c r="X418" s="113"/>
      <c r="Y418" s="15"/>
    </row>
    <row r="419" spans="1:25" ht="14.1" customHeight="1" x14ac:dyDescent="0.25">
      <c r="A419" s="3">
        <v>23</v>
      </c>
      <c r="B419" s="351"/>
      <c r="C419" s="412" t="s">
        <v>357</v>
      </c>
      <c r="D419" s="547" t="str">
        <f t="shared" si="86"/>
        <v/>
      </c>
      <c r="E419" s="548" t="str">
        <f t="shared" si="87"/>
        <v/>
      </c>
      <c r="F419" s="548" t="str">
        <f t="shared" si="88"/>
        <v/>
      </c>
      <c r="G419" s="548" t="str">
        <f t="shared" si="89"/>
        <v/>
      </c>
      <c r="H419" s="551" t="str">
        <f t="shared" si="90"/>
        <v/>
      </c>
      <c r="I419" s="553" t="str">
        <f>IF(D419="","",IF(ISNA(D419),NA(),1/(D419*Tables!$C51)))</f>
        <v/>
      </c>
      <c r="J419" s="554" t="str">
        <f>IF(E419="","",IF(ISNA(E419),NA(),1/(E419*Tables!$C51)))</f>
        <v/>
      </c>
      <c r="K419" s="554" t="str">
        <f>IF(F419="","",IF(ISNA(F419),NA(),1/(F419*Tables!$C51)))</f>
        <v/>
      </c>
      <c r="L419" s="554" t="str">
        <f>IF(G419="","",IF(ISNA(G419),NA(),1/(G419*Tables!$C51)))</f>
        <v/>
      </c>
      <c r="M419" s="555" t="str">
        <f>IF(H419="","",IF(ISNA(H419),NA(),1/(H419*Tables!$C51)))</f>
        <v/>
      </c>
      <c r="O419" s="14"/>
      <c r="P419" s="2" t="s">
        <v>391</v>
      </c>
      <c r="Q419" s="310"/>
      <c r="R419" s="311"/>
      <c r="S419" s="312" t="str">
        <f>IF(AB283="","",AB283)</f>
        <v/>
      </c>
      <c r="T419" s="69"/>
      <c r="U419" s="69"/>
      <c r="V419" s="56"/>
      <c r="X419" s="69"/>
      <c r="Y419" s="15"/>
    </row>
    <row r="420" spans="1:25" ht="14.1" customHeight="1" x14ac:dyDescent="0.25">
      <c r="A420" s="3">
        <v>24</v>
      </c>
      <c r="B420" s="351"/>
      <c r="C420" s="412" t="s">
        <v>358</v>
      </c>
      <c r="D420" s="547" t="str">
        <f t="shared" si="86"/>
        <v/>
      </c>
      <c r="E420" s="548" t="str">
        <f t="shared" si="87"/>
        <v/>
      </c>
      <c r="F420" s="548" t="str">
        <f t="shared" si="88"/>
        <v/>
      </c>
      <c r="G420" s="548" t="str">
        <f t="shared" si="89"/>
        <v/>
      </c>
      <c r="H420" s="551" t="str">
        <f t="shared" si="90"/>
        <v/>
      </c>
      <c r="I420" s="553" t="str">
        <f>IF(D420="","",IF(ISNA(D420),NA(),1/(D420*Tables!$C52)))</f>
        <v/>
      </c>
      <c r="J420" s="554" t="str">
        <f>IF(E420="","",IF(ISNA(E420),NA(),1/(E420*Tables!$C52)))</f>
        <v/>
      </c>
      <c r="K420" s="554" t="str">
        <f>IF(F420="","",IF(ISNA(F420),NA(),1/(F420*Tables!$C52)))</f>
        <v/>
      </c>
      <c r="L420" s="554" t="str">
        <f>IF(G420="","",IF(ISNA(G420),NA(),1/(G420*Tables!$C52)))</f>
        <v/>
      </c>
      <c r="M420" s="555" t="str">
        <f>IF(H420="","",IF(ISNA(H420),NA(),1/(H420*Tables!$C52)))</f>
        <v/>
      </c>
      <c r="O420" s="14"/>
      <c r="P420" s="110" t="s">
        <v>192</v>
      </c>
      <c r="Q420" s="111"/>
      <c r="R420" s="313">
        <f>LEN(Q419)</f>
        <v>0</v>
      </c>
      <c r="S420" s="113"/>
      <c r="T420" s="113"/>
      <c r="U420" s="314"/>
      <c r="V420" s="113"/>
      <c r="W420" s="113"/>
      <c r="X420" s="113"/>
      <c r="Y420" s="15"/>
    </row>
    <row r="421" spans="1:25" ht="14.1" customHeight="1" x14ac:dyDescent="0.25">
      <c r="A421" s="3">
        <v>25</v>
      </c>
      <c r="B421" s="351"/>
      <c r="C421" s="412" t="s">
        <v>359</v>
      </c>
      <c r="D421" s="547" t="str">
        <f t="shared" si="86"/>
        <v/>
      </c>
      <c r="E421" s="548" t="str">
        <f t="shared" si="87"/>
        <v/>
      </c>
      <c r="F421" s="548" t="str">
        <f t="shared" si="88"/>
        <v/>
      </c>
      <c r="G421" s="548" t="str">
        <f t="shared" si="89"/>
        <v/>
      </c>
      <c r="H421" s="551" t="str">
        <f t="shared" si="90"/>
        <v/>
      </c>
      <c r="I421" s="553" t="str">
        <f>IF(D421="","",IF(ISNA(D421),NA(),1/(D421*Tables!$C53)))</f>
        <v/>
      </c>
      <c r="J421" s="554" t="str">
        <f>IF(E421="","",IF(ISNA(E421),NA(),1/(E421*Tables!$C53)))</f>
        <v/>
      </c>
      <c r="K421" s="554" t="str">
        <f>IF(F421="","",IF(ISNA(F421),NA(),1/(F421*Tables!$C53)))</f>
        <v/>
      </c>
      <c r="L421" s="554" t="str">
        <f>IF(G421="","",IF(ISNA(G421),NA(),1/(G421*Tables!$C53)))</f>
        <v/>
      </c>
      <c r="M421" s="555" t="str">
        <f>IF(H421="","",IF(ISNA(H421),NA(),1/(H421*Tables!$C53)))</f>
        <v/>
      </c>
      <c r="O421" s="14"/>
      <c r="P421" s="2" t="s">
        <v>391</v>
      </c>
      <c r="Q421" s="310"/>
      <c r="R421" s="311"/>
      <c r="S421" s="312" t="str">
        <f>IF(AB285="","",AB285)</f>
        <v/>
      </c>
      <c r="T421" s="69"/>
      <c r="U421" s="69"/>
      <c r="V421" s="56"/>
      <c r="X421" s="69"/>
      <c r="Y421" s="15"/>
    </row>
    <row r="422" spans="1:25" ht="14.1" customHeight="1" x14ac:dyDescent="0.25">
      <c r="A422" s="3">
        <v>26</v>
      </c>
      <c r="B422" s="351"/>
      <c r="C422" s="412" t="s">
        <v>360</v>
      </c>
      <c r="D422" s="547" t="str">
        <f t="shared" si="86"/>
        <v/>
      </c>
      <c r="E422" s="548" t="str">
        <f t="shared" si="87"/>
        <v/>
      </c>
      <c r="F422" s="548" t="str">
        <f t="shared" si="88"/>
        <v/>
      </c>
      <c r="G422" s="548" t="str">
        <f t="shared" si="89"/>
        <v/>
      </c>
      <c r="H422" s="551" t="str">
        <f t="shared" si="90"/>
        <v/>
      </c>
      <c r="I422" s="553" t="str">
        <f>IF(D422="","",IF(ISNA(D422),NA(),1/(D422*Tables!$C54)))</f>
        <v/>
      </c>
      <c r="J422" s="554" t="str">
        <f>IF(E422="","",IF(ISNA(E422),NA(),1/(E422*Tables!$C54)))</f>
        <v/>
      </c>
      <c r="K422" s="554" t="str">
        <f>IF(F422="","",IF(ISNA(F422),NA(),1/(F422*Tables!$C54)))</f>
        <v/>
      </c>
      <c r="L422" s="554" t="str">
        <f>IF(G422="","",IF(ISNA(G422),NA(),1/(G422*Tables!$C54)))</f>
        <v/>
      </c>
      <c r="M422" s="555" t="str">
        <f>IF(H422="","",IF(ISNA(H422),NA(),1/(H422*Tables!$C54)))</f>
        <v/>
      </c>
      <c r="O422" s="14"/>
      <c r="P422" s="110" t="s">
        <v>192</v>
      </c>
      <c r="Q422" s="111"/>
      <c r="R422" s="313">
        <f>LEN(Q421)</f>
        <v>0</v>
      </c>
      <c r="S422" s="113"/>
      <c r="T422" s="113"/>
      <c r="U422" s="314"/>
      <c r="V422" s="113"/>
      <c r="W422" s="113"/>
      <c r="X422" s="113"/>
      <c r="Y422" s="15"/>
    </row>
    <row r="423" spans="1:25" ht="14.1" customHeight="1" x14ac:dyDescent="0.25">
      <c r="A423" s="3">
        <v>27</v>
      </c>
      <c r="B423" s="351"/>
      <c r="C423" s="412" t="s">
        <v>361</v>
      </c>
      <c r="D423" s="547" t="str">
        <f t="shared" si="86"/>
        <v/>
      </c>
      <c r="E423" s="548" t="str">
        <f t="shared" si="87"/>
        <v/>
      </c>
      <c r="F423" s="548" t="str">
        <f t="shared" si="88"/>
        <v/>
      </c>
      <c r="G423" s="548" t="str">
        <f t="shared" si="89"/>
        <v/>
      </c>
      <c r="H423" s="551" t="str">
        <f t="shared" si="90"/>
        <v/>
      </c>
      <c r="I423" s="553" t="str">
        <f>IF(D423="","",IF(ISNA(D423),NA(),1/(D423*Tables!$C55)))</f>
        <v/>
      </c>
      <c r="J423" s="554" t="str">
        <f>IF(E423="","",IF(ISNA(E423),NA(),1/(E423*Tables!$C55)))</f>
        <v/>
      </c>
      <c r="K423" s="554" t="str">
        <f>IF(F423="","",IF(ISNA(F423),NA(),1/(F423*Tables!$C55)))</f>
        <v/>
      </c>
      <c r="L423" s="554" t="str">
        <f>IF(G423="","",IF(ISNA(G423),NA(),1/(G423*Tables!$C55)))</f>
        <v/>
      </c>
      <c r="M423" s="555" t="str">
        <f>IF(H423="","",IF(ISNA(H423),NA(),1/(H423*Tables!$C55)))</f>
        <v/>
      </c>
      <c r="O423" s="14"/>
      <c r="P423" s="2" t="s">
        <v>391</v>
      </c>
      <c r="Q423" s="310"/>
      <c r="R423" s="311"/>
      <c r="S423" s="312" t="str">
        <f>IF(AB287="","",AB287)</f>
        <v/>
      </c>
      <c r="T423" s="69"/>
      <c r="U423" s="69"/>
      <c r="V423" s="56"/>
      <c r="X423" s="69"/>
      <c r="Y423" s="15"/>
    </row>
    <row r="424" spans="1:25" ht="14.1" customHeight="1" x14ac:dyDescent="0.25">
      <c r="A424" s="3">
        <v>28</v>
      </c>
      <c r="B424" s="351"/>
      <c r="C424" s="412" t="s">
        <v>362</v>
      </c>
      <c r="D424" s="547" t="str">
        <f t="shared" si="86"/>
        <v/>
      </c>
      <c r="E424" s="548" t="str">
        <f t="shared" si="87"/>
        <v/>
      </c>
      <c r="F424" s="548" t="str">
        <f t="shared" si="88"/>
        <v/>
      </c>
      <c r="G424" s="548" t="str">
        <f t="shared" si="89"/>
        <v/>
      </c>
      <c r="H424" s="551" t="str">
        <f t="shared" si="90"/>
        <v/>
      </c>
      <c r="I424" s="553" t="str">
        <f>IF(D424="","",IF(ISNA(D424),NA(),1/(D424*Tables!$C56)))</f>
        <v/>
      </c>
      <c r="J424" s="554" t="str">
        <f>IF(E424="","",IF(ISNA(E424),NA(),1/(E424*Tables!$C56)))</f>
        <v/>
      </c>
      <c r="K424" s="554" t="str">
        <f>IF(F424="","",IF(ISNA(F424),NA(),1/(F424*Tables!$C56)))</f>
        <v/>
      </c>
      <c r="L424" s="554" t="str">
        <f>IF(G424="","",IF(ISNA(G424),NA(),1/(G424*Tables!$C56)))</f>
        <v/>
      </c>
      <c r="M424" s="555" t="str">
        <f>IF(H424="","",IF(ISNA(H424),NA(),1/(H424*Tables!$C56)))</f>
        <v/>
      </c>
      <c r="O424" s="14"/>
      <c r="P424" s="110" t="s">
        <v>192</v>
      </c>
      <c r="Q424" s="111"/>
      <c r="R424" s="313">
        <f>LEN(Q423)</f>
        <v>0</v>
      </c>
      <c r="S424" s="113"/>
      <c r="T424" s="113"/>
      <c r="U424" s="113"/>
      <c r="V424" s="113"/>
      <c r="W424" s="113"/>
      <c r="X424" s="113"/>
      <c r="Y424" s="15"/>
    </row>
    <row r="425" spans="1:25" ht="14.1" customHeight="1" x14ac:dyDescent="0.25">
      <c r="A425" s="3">
        <v>29</v>
      </c>
      <c r="B425" s="351"/>
      <c r="C425" s="412" t="s">
        <v>363</v>
      </c>
      <c r="D425" s="547" t="str">
        <f t="shared" si="86"/>
        <v/>
      </c>
      <c r="E425" s="548" t="str">
        <f t="shared" si="87"/>
        <v/>
      </c>
      <c r="F425" s="548" t="str">
        <f t="shared" si="88"/>
        <v/>
      </c>
      <c r="G425" s="548" t="str">
        <f t="shared" si="89"/>
        <v/>
      </c>
      <c r="H425" s="551" t="str">
        <f t="shared" si="90"/>
        <v/>
      </c>
      <c r="I425" s="553" t="str">
        <f>IF(D425="","",IF(ISNA(D425),NA(),1/(D425*Tables!$C57)))</f>
        <v/>
      </c>
      <c r="J425" s="554" t="str">
        <f>IF(E425="","",IF(ISNA(E425),NA(),1/(E425*Tables!$C57)))</f>
        <v/>
      </c>
      <c r="K425" s="554" t="str">
        <f>IF(F425="","",IF(ISNA(F425),NA(),1/(F425*Tables!$C57)))</f>
        <v/>
      </c>
      <c r="L425" s="554" t="str">
        <f>IF(G425="","",IF(ISNA(G425),NA(),1/(G425*Tables!$C57)))</f>
        <v/>
      </c>
      <c r="M425" s="555" t="str">
        <f>IF(H425="","",IF(ISNA(H425),NA(),1/(H425*Tables!$C57)))</f>
        <v/>
      </c>
      <c r="O425" s="14"/>
      <c r="P425" s="2" t="s">
        <v>391</v>
      </c>
      <c r="Q425" s="310"/>
      <c r="R425" s="311"/>
      <c r="S425" s="312" t="str">
        <f>IF(AB289="","",AB289)</f>
        <v/>
      </c>
      <c r="T425" s="69"/>
      <c r="U425" s="69"/>
      <c r="V425" s="56"/>
      <c r="X425" s="69"/>
      <c r="Y425" s="15"/>
    </row>
    <row r="426" spans="1:25" ht="14.1" customHeight="1" thickBot="1" x14ac:dyDescent="0.3">
      <c r="A426" s="3">
        <v>30</v>
      </c>
      <c r="B426" s="351"/>
      <c r="C426" s="412" t="s">
        <v>364</v>
      </c>
      <c r="D426" s="549" t="str">
        <f t="shared" si="86"/>
        <v/>
      </c>
      <c r="E426" s="550" t="str">
        <f t="shared" si="87"/>
        <v/>
      </c>
      <c r="F426" s="550" t="str">
        <f t="shared" si="88"/>
        <v/>
      </c>
      <c r="G426" s="550" t="str">
        <f t="shared" si="89"/>
        <v/>
      </c>
      <c r="H426" s="552" t="str">
        <f t="shared" si="90"/>
        <v/>
      </c>
      <c r="I426" s="556" t="str">
        <f>IF(D426="","",IF(ISNA(D426),NA(),1/(D426*Tables!$C58)))</f>
        <v/>
      </c>
      <c r="J426" s="557" t="str">
        <f>IF(E426="","",IF(ISNA(E426),NA(),1/(E426*Tables!$C58)))</f>
        <v/>
      </c>
      <c r="K426" s="557" t="str">
        <f>IF(F426="","",IF(ISNA(F426),NA(),1/(F426*Tables!$C58)))</f>
        <v/>
      </c>
      <c r="L426" s="557" t="str">
        <f>IF(G426="","",IF(ISNA(G426),NA(),1/(G426*Tables!$C58)))</f>
        <v/>
      </c>
      <c r="M426" s="558" t="str">
        <f>IF(H426="","",IF(ISNA(H426),NA(),1/(H426*Tables!$C58)))</f>
        <v/>
      </c>
      <c r="O426" s="14"/>
      <c r="P426" s="110" t="s">
        <v>192</v>
      </c>
      <c r="Q426" s="111"/>
      <c r="R426" s="313">
        <f>LEN(Q425)</f>
        <v>0</v>
      </c>
      <c r="S426" s="113"/>
      <c r="T426" s="113"/>
      <c r="U426" s="113"/>
      <c r="V426" s="113"/>
      <c r="W426" s="113"/>
      <c r="X426" s="113"/>
      <c r="Y426" s="15"/>
    </row>
    <row r="427" spans="1:25" ht="14.1" customHeight="1" x14ac:dyDescent="0.25">
      <c r="A427" s="3">
        <v>31</v>
      </c>
      <c r="B427" s="351"/>
      <c r="C427" s="138" t="str">
        <f>P344</f>
        <v>Comments:</v>
      </c>
      <c r="D427" s="571" t="str">
        <f>IF(Q344="","",IF(LEN(Q344)&lt;=135,Q344,IF(LEN(Q344)&lt;=260,LEFT(Q344,SEARCH(" ",Q344,125)),LEFT(Q344,SEARCH(" ",Q344,130)))))</f>
        <v/>
      </c>
      <c r="E427" s="572"/>
      <c r="F427" s="572"/>
      <c r="G427" s="572"/>
      <c r="H427" s="572"/>
      <c r="I427" s="572"/>
      <c r="J427" s="572"/>
      <c r="K427" s="572"/>
      <c r="L427" s="572"/>
      <c r="M427" s="573"/>
      <c r="O427" s="14"/>
      <c r="P427" s="2" t="s">
        <v>391</v>
      </c>
      <c r="Q427" s="310"/>
      <c r="R427" s="311"/>
      <c r="S427" s="312" t="str">
        <f>IF(AB291="","",AB291)</f>
        <v/>
      </c>
      <c r="T427" s="69"/>
      <c r="U427" s="69"/>
      <c r="V427" s="56"/>
      <c r="X427" s="69"/>
      <c r="Y427" s="15"/>
    </row>
    <row r="428" spans="1:25" ht="14.1" customHeight="1" x14ac:dyDescent="0.25">
      <c r="A428" s="3">
        <v>32</v>
      </c>
      <c r="B428" s="351"/>
      <c r="C428" s="138"/>
      <c r="D428" s="480" t="str">
        <f>IF(LEN(Q344)&lt;=135,"",IF(LEN(Q344)&lt;=260,RIGHT(Q344,LEN(Q344)-SEARCH(" ",Q344,125)),MID(Q344,SEARCH(" ",Q344,130),IF(LEN(Q344)&lt;=265,LEN(Q344),SEARCH(" ",Q344,255)-SEARCH(" ",Q344,130)))))</f>
        <v/>
      </c>
      <c r="E428" s="481"/>
      <c r="F428" s="481"/>
      <c r="G428" s="481"/>
      <c r="H428" s="481"/>
      <c r="I428" s="481"/>
      <c r="J428" s="481"/>
      <c r="K428" s="481"/>
      <c r="L428" s="481"/>
      <c r="M428" s="482"/>
      <c r="O428" s="14"/>
      <c r="P428" s="110" t="s">
        <v>192</v>
      </c>
      <c r="Q428" s="111"/>
      <c r="R428" s="313">
        <f>LEN(Q427)</f>
        <v>0</v>
      </c>
      <c r="S428" s="113"/>
      <c r="T428" s="113"/>
      <c r="U428" s="113"/>
      <c r="V428" s="113"/>
      <c r="W428" s="113"/>
      <c r="X428" s="113"/>
      <c r="Y428" s="15"/>
    </row>
    <row r="429" spans="1:25" ht="14.1" customHeight="1" x14ac:dyDescent="0.25">
      <c r="A429" s="3">
        <v>33</v>
      </c>
      <c r="B429" s="351"/>
      <c r="C429" s="138"/>
      <c r="D429" s="480" t="str">
        <f>IF(LEN(Q344)&lt;=265,"",RIGHT(Q344,LEN(Q344)-SEARCH(" ",Q344,255)))</f>
        <v/>
      </c>
      <c r="E429" s="481"/>
      <c r="F429" s="481"/>
      <c r="G429" s="481"/>
      <c r="H429" s="481"/>
      <c r="I429" s="481"/>
      <c r="J429" s="481"/>
      <c r="K429" s="481"/>
      <c r="L429" s="481"/>
      <c r="M429" s="482"/>
      <c r="O429" s="14"/>
      <c r="P429" s="2" t="s">
        <v>391</v>
      </c>
      <c r="Q429" s="310"/>
      <c r="R429" s="311"/>
      <c r="S429" s="312" t="str">
        <f>IF(AB293="","",AB293)</f>
        <v/>
      </c>
      <c r="T429" s="69"/>
      <c r="U429" s="69"/>
      <c r="V429" s="56"/>
      <c r="X429" s="69"/>
      <c r="Y429" s="15"/>
    </row>
    <row r="430" spans="1:25" ht="14.1" customHeight="1" x14ac:dyDescent="0.25">
      <c r="A430" s="3">
        <v>34</v>
      </c>
      <c r="B430" s="351"/>
      <c r="C430" s="138"/>
      <c r="D430" s="138"/>
      <c r="E430" s="138"/>
      <c r="F430" s="138"/>
      <c r="G430" s="138"/>
      <c r="H430" s="138"/>
      <c r="I430" s="138"/>
      <c r="J430" s="138"/>
      <c r="K430" s="138"/>
      <c r="L430" s="138"/>
      <c r="M430" s="353"/>
      <c r="O430" s="14"/>
      <c r="P430" s="110" t="s">
        <v>192</v>
      </c>
      <c r="Q430" s="111"/>
      <c r="R430" s="313">
        <f>LEN(Q429)</f>
        <v>0</v>
      </c>
      <c r="S430" s="113"/>
      <c r="T430" s="113"/>
      <c r="U430" s="113"/>
      <c r="V430" s="113"/>
      <c r="W430" s="113"/>
      <c r="X430" s="113"/>
      <c r="Y430" s="15"/>
    </row>
    <row r="431" spans="1:25" ht="14.1" customHeight="1" thickBot="1" x14ac:dyDescent="0.3">
      <c r="A431" s="3">
        <v>35</v>
      </c>
      <c r="B431" s="351"/>
      <c r="C431" s="395" t="s">
        <v>365</v>
      </c>
      <c r="D431" s="138"/>
      <c r="E431" s="138"/>
      <c r="F431" s="138"/>
      <c r="G431" s="138"/>
      <c r="H431" s="138"/>
      <c r="I431" s="138"/>
      <c r="J431" s="138"/>
      <c r="K431" s="138"/>
      <c r="L431" s="138"/>
      <c r="M431" s="353"/>
      <c r="O431" s="14"/>
      <c r="P431" s="2" t="s">
        <v>391</v>
      </c>
      <c r="Q431" s="310"/>
      <c r="R431" s="311"/>
      <c r="S431" s="312" t="str">
        <f>IF(AB295="","",AB295)</f>
        <v/>
      </c>
      <c r="T431" s="69"/>
      <c r="U431" s="69"/>
      <c r="V431" s="56"/>
      <c r="X431" s="69"/>
      <c r="Y431" s="15"/>
    </row>
    <row r="432" spans="1:25" ht="14.1" customHeight="1" x14ac:dyDescent="0.25">
      <c r="A432" s="3">
        <v>36</v>
      </c>
      <c r="B432" s="351"/>
      <c r="C432" s="138"/>
      <c r="D432" s="409"/>
      <c r="E432" s="415" t="str">
        <f>IF(Q348="","",Q348&amp;" "&amp;flocm_in)</f>
        <v/>
      </c>
      <c r="F432" s="415" t="str">
        <f>IF(R348="","",R348&amp;" "&amp;flocm_in)</f>
        <v/>
      </c>
      <c r="G432" s="415" t="str">
        <f>IF(S348="","",S348&amp;" "&amp;flocm_in)</f>
        <v/>
      </c>
      <c r="H432" s="415" t="str">
        <f>IF(T348="","",T348&amp;" "&amp;flocm_in)</f>
        <v/>
      </c>
      <c r="I432" s="410" t="str">
        <f>IF(U348="","",U348&amp;" "&amp;flocm_in)</f>
        <v/>
      </c>
      <c r="J432" s="138"/>
      <c r="K432" s="138"/>
      <c r="L432" s="138"/>
      <c r="M432" s="353"/>
      <c r="O432" s="14"/>
      <c r="P432" s="110" t="s">
        <v>192</v>
      </c>
      <c r="Q432" s="111"/>
      <c r="R432" s="313">
        <f>LEN(Q431)</f>
        <v>0</v>
      </c>
      <c r="S432" s="113"/>
      <c r="T432" s="113"/>
      <c r="U432" s="113"/>
      <c r="V432" s="113"/>
      <c r="W432" s="113"/>
      <c r="X432" s="113"/>
      <c r="Y432" s="15"/>
    </row>
    <row r="433" spans="1:25" ht="14.1" customHeight="1" x14ac:dyDescent="0.25">
      <c r="A433" s="3">
        <v>37</v>
      </c>
      <c r="B433" s="351"/>
      <c r="C433" s="138"/>
      <c r="D433" s="411" t="str">
        <f>P349</f>
        <v>Horizontal</v>
      </c>
      <c r="E433" s="484" t="str">
        <f t="shared" ref="E433:I436" si="91">IF(Q349="","",Q349)</f>
        <v/>
      </c>
      <c r="F433" s="484" t="str">
        <f t="shared" si="91"/>
        <v/>
      </c>
      <c r="G433" s="484" t="str">
        <f t="shared" si="91"/>
        <v/>
      </c>
      <c r="H433" s="484" t="str">
        <f t="shared" si="91"/>
        <v/>
      </c>
      <c r="I433" s="569" t="str">
        <f t="shared" si="91"/>
        <v/>
      </c>
      <c r="J433" s="207"/>
      <c r="K433" s="207"/>
      <c r="L433" s="138"/>
      <c r="M433" s="353"/>
      <c r="O433" s="14"/>
      <c r="P433" s="2" t="s">
        <v>391</v>
      </c>
      <c r="Q433" s="310"/>
      <c r="R433" s="311"/>
      <c r="S433" s="312" t="str">
        <f>IF(AB297="","",AB297)</f>
        <v/>
      </c>
      <c r="T433" s="69"/>
      <c r="U433" s="69"/>
      <c r="V433" s="56"/>
      <c r="X433" s="69"/>
      <c r="Y433" s="15"/>
    </row>
    <row r="434" spans="1:25" ht="14.1" customHeight="1" x14ac:dyDescent="0.25">
      <c r="A434" s="3">
        <v>38</v>
      </c>
      <c r="B434" s="351"/>
      <c r="C434" s="138"/>
      <c r="D434" s="411" t="str">
        <f>P350</f>
        <v>Vertical</v>
      </c>
      <c r="E434" s="484" t="str">
        <f t="shared" si="91"/>
        <v/>
      </c>
      <c r="F434" s="484" t="str">
        <f t="shared" si="91"/>
        <v/>
      </c>
      <c r="G434" s="484" t="str">
        <f t="shared" si="91"/>
        <v/>
      </c>
      <c r="H434" s="484" t="str">
        <f t="shared" si="91"/>
        <v/>
      </c>
      <c r="I434" s="569" t="str">
        <f t="shared" si="91"/>
        <v/>
      </c>
      <c r="J434" s="207"/>
      <c r="K434" s="207"/>
      <c r="L434" s="138"/>
      <c r="M434" s="353"/>
      <c r="O434" s="14"/>
      <c r="P434" s="110" t="s">
        <v>192</v>
      </c>
      <c r="Q434" s="111"/>
      <c r="R434" s="313">
        <f>LEN(Q433)</f>
        <v>0</v>
      </c>
      <c r="S434" s="113"/>
      <c r="T434" s="113"/>
      <c r="U434" s="113"/>
      <c r="V434" s="113"/>
      <c r="W434" s="113"/>
      <c r="X434" s="113"/>
      <c r="Y434" s="15"/>
    </row>
    <row r="435" spans="1:25" ht="14.1" customHeight="1" x14ac:dyDescent="0.25">
      <c r="A435" s="3">
        <v>39</v>
      </c>
      <c r="B435" s="351"/>
      <c r="C435" s="138"/>
      <c r="D435" s="411" t="str">
        <f>P351</f>
        <v>Diagonal</v>
      </c>
      <c r="E435" s="484" t="str">
        <f t="shared" si="91"/>
        <v/>
      </c>
      <c r="F435" s="484" t="str">
        <f t="shared" si="91"/>
        <v/>
      </c>
      <c r="G435" s="484" t="str">
        <f t="shared" si="91"/>
        <v/>
      </c>
      <c r="H435" s="484" t="str">
        <f t="shared" si="91"/>
        <v/>
      </c>
      <c r="I435" s="569" t="str">
        <f t="shared" si="91"/>
        <v/>
      </c>
      <c r="J435" s="138"/>
      <c r="K435" s="138"/>
      <c r="L435" s="138"/>
      <c r="M435" s="353"/>
      <c r="O435" s="14"/>
      <c r="P435" s="2" t="s">
        <v>391</v>
      </c>
      <c r="Q435" s="310"/>
      <c r="R435" s="311"/>
      <c r="S435" s="312" t="str">
        <f>IF(AB299="","",AB299)</f>
        <v/>
      </c>
      <c r="T435" s="69"/>
      <c r="U435" s="69"/>
      <c r="V435" s="56"/>
      <c r="X435" s="69"/>
      <c r="Y435" s="15"/>
    </row>
    <row r="436" spans="1:25" ht="14.1" customHeight="1" thickBot="1" x14ac:dyDescent="0.3">
      <c r="A436" s="3">
        <v>40</v>
      </c>
      <c r="B436" s="351"/>
      <c r="C436" s="138"/>
      <c r="D436" s="413" t="str">
        <f>P352</f>
        <v>Acceptable</v>
      </c>
      <c r="E436" s="417" t="str">
        <f t="shared" si="91"/>
        <v>NA</v>
      </c>
      <c r="F436" s="417" t="str">
        <f t="shared" si="91"/>
        <v>NA</v>
      </c>
      <c r="G436" s="417" t="str">
        <f t="shared" si="91"/>
        <v>NA</v>
      </c>
      <c r="H436" s="417" t="str">
        <f t="shared" si="91"/>
        <v>NA</v>
      </c>
      <c r="I436" s="414" t="str">
        <f t="shared" si="91"/>
        <v>NA</v>
      </c>
      <c r="J436" s="138"/>
      <c r="K436" s="138"/>
      <c r="L436" s="138"/>
      <c r="M436" s="353"/>
      <c r="O436" s="14"/>
      <c r="P436" s="110" t="s">
        <v>192</v>
      </c>
      <c r="Q436" s="111"/>
      <c r="R436" s="313">
        <f>LEN(Q435)</f>
        <v>0</v>
      </c>
      <c r="S436" s="113"/>
      <c r="T436" s="113"/>
      <c r="U436" s="113"/>
      <c r="V436" s="113"/>
      <c r="W436" s="113"/>
      <c r="X436" s="113"/>
      <c r="Y436" s="15"/>
    </row>
    <row r="437" spans="1:25" ht="14.1" customHeight="1" x14ac:dyDescent="0.25">
      <c r="A437" s="3">
        <v>41</v>
      </c>
      <c r="B437" s="351"/>
      <c r="C437" s="138"/>
      <c r="D437" s="244" t="str">
        <f>Q353</f>
        <v xml:space="preserve">Criteria: </v>
      </c>
      <c r="E437" s="380" t="str">
        <f>R353</f>
        <v>Measured field size is at least 85% of nominal field size</v>
      </c>
      <c r="F437" s="138"/>
      <c r="G437" s="138"/>
      <c r="H437" s="138"/>
      <c r="I437" s="138"/>
      <c r="J437" s="138"/>
      <c r="K437" s="138"/>
      <c r="L437" s="138"/>
      <c r="M437" s="353"/>
      <c r="O437" s="14"/>
      <c r="P437" s="2" t="s">
        <v>391</v>
      </c>
      <c r="Q437" s="310"/>
      <c r="R437" s="311"/>
      <c r="S437" s="312" t="str">
        <f>IF(AB301="","",AB301)</f>
        <v/>
      </c>
      <c r="T437" s="69"/>
      <c r="U437" s="69"/>
      <c r="V437" s="56"/>
      <c r="X437" s="69"/>
      <c r="Y437" s="15"/>
    </row>
    <row r="438" spans="1:25" ht="14.1" customHeight="1" x14ac:dyDescent="0.25">
      <c r="A438" s="3">
        <v>42</v>
      </c>
      <c r="B438" s="351"/>
      <c r="C438" s="138"/>
      <c r="D438" s="138"/>
      <c r="E438" s="380"/>
      <c r="F438" s="138"/>
      <c r="G438" s="138"/>
      <c r="H438" s="138"/>
      <c r="I438" s="138"/>
      <c r="J438" s="138"/>
      <c r="K438" s="138"/>
      <c r="L438" s="138"/>
      <c r="M438" s="353"/>
      <c r="O438" s="14"/>
      <c r="P438" s="110" t="s">
        <v>192</v>
      </c>
      <c r="Q438" s="111"/>
      <c r="R438" s="313">
        <f>LEN(Q437)</f>
        <v>0</v>
      </c>
      <c r="S438" s="113"/>
      <c r="T438" s="113"/>
      <c r="U438" s="113"/>
      <c r="V438" s="113"/>
      <c r="W438" s="113"/>
      <c r="X438" s="113"/>
      <c r="Y438" s="15"/>
    </row>
    <row r="439" spans="1:25" ht="14.1" customHeight="1" x14ac:dyDescent="0.25">
      <c r="A439" s="3">
        <v>43</v>
      </c>
      <c r="B439" s="351"/>
      <c r="C439" s="395" t="s">
        <v>372</v>
      </c>
      <c r="D439" s="138"/>
      <c r="E439" s="138"/>
      <c r="F439" s="138"/>
      <c r="G439" s="138"/>
      <c r="H439" s="138"/>
      <c r="I439" s="138"/>
      <c r="J439" s="138"/>
      <c r="K439" s="138"/>
      <c r="L439" s="138"/>
      <c r="M439" s="353"/>
      <c r="O439" s="14"/>
      <c r="P439" s="2" t="s">
        <v>391</v>
      </c>
      <c r="Q439" s="310"/>
      <c r="R439" s="311"/>
      <c r="S439" s="312" t="str">
        <f>IF(AB303="","",AB303)</f>
        <v/>
      </c>
      <c r="T439" s="69"/>
      <c r="U439" s="69"/>
      <c r="V439" s="56"/>
      <c r="X439" s="69"/>
      <c r="Y439" s="15"/>
    </row>
    <row r="440" spans="1:25" ht="14.1" customHeight="1" x14ac:dyDescent="0.25">
      <c r="A440" s="3">
        <v>44</v>
      </c>
      <c r="B440" s="351"/>
      <c r="C440" s="116" t="str">
        <f>O355</f>
        <v/>
      </c>
      <c r="D440" s="45" t="s">
        <v>373</v>
      </c>
      <c r="E440" s="138"/>
      <c r="F440" s="138"/>
      <c r="G440" s="138"/>
      <c r="H440" s="138"/>
      <c r="I440" s="138"/>
      <c r="J440" s="138"/>
      <c r="K440" s="138"/>
      <c r="L440" s="138"/>
      <c r="M440" s="353"/>
      <c r="O440" s="14"/>
      <c r="P440" s="110" t="s">
        <v>192</v>
      </c>
      <c r="Q440" s="111"/>
      <c r="R440" s="313">
        <f>LEN(Q439)</f>
        <v>0</v>
      </c>
      <c r="S440" s="113"/>
      <c r="T440" s="113"/>
      <c r="U440" s="113"/>
      <c r="V440" s="113"/>
      <c r="W440" s="113"/>
      <c r="X440" s="113"/>
      <c r="Y440" s="15"/>
    </row>
    <row r="441" spans="1:25" ht="14.1" customHeight="1" thickBot="1" x14ac:dyDescent="0.3">
      <c r="A441" s="3">
        <v>45</v>
      </c>
      <c r="B441" s="351"/>
      <c r="C441" s="138"/>
      <c r="D441" s="45"/>
      <c r="E441" s="45" t="str">
        <f t="shared" ref="E441:G442" si="92">P357</f>
        <v>Measured</v>
      </c>
      <c r="F441" s="45" t="str">
        <f t="shared" si="92"/>
        <v>Difference</v>
      </c>
      <c r="G441" s="45" t="str">
        <f t="shared" si="92"/>
        <v>Sum</v>
      </c>
      <c r="H441" s="138"/>
      <c r="I441" s="138"/>
      <c r="J441" s="138"/>
      <c r="K441" s="138"/>
      <c r="L441" s="138"/>
      <c r="M441" s="353"/>
      <c r="O441" s="14"/>
      <c r="P441" s="2" t="s">
        <v>391</v>
      </c>
      <c r="Q441" s="310"/>
      <c r="R441" s="311"/>
      <c r="S441" s="312" t="str">
        <f>IF(AB305="","",AB305)</f>
        <v/>
      </c>
      <c r="T441" s="69"/>
      <c r="U441" s="69"/>
      <c r="V441" s="56"/>
      <c r="X441" s="69"/>
      <c r="Y441" s="15"/>
    </row>
    <row r="442" spans="1:25" ht="14.1" customHeight="1" thickBot="1" x14ac:dyDescent="0.3">
      <c r="A442" s="3">
        <v>46</v>
      </c>
      <c r="B442" s="351"/>
      <c r="C442" s="138"/>
      <c r="D442" s="409" t="str">
        <f>O358</f>
        <v>Top</v>
      </c>
      <c r="E442" s="415" t="str">
        <f t="shared" si="92"/>
        <v/>
      </c>
      <c r="F442" s="589" t="str">
        <f t="shared" si="92"/>
        <v/>
      </c>
      <c r="G442" s="591" t="str">
        <f t="shared" si="92"/>
        <v/>
      </c>
      <c r="H442" s="207"/>
      <c r="I442" s="207"/>
      <c r="J442" s="380"/>
      <c r="K442" s="138"/>
      <c r="L442" s="138"/>
      <c r="M442" s="353"/>
      <c r="O442" s="14"/>
      <c r="P442" s="110" t="s">
        <v>192</v>
      </c>
      <c r="Q442" s="111"/>
      <c r="R442" s="313">
        <f>LEN(Q441)</f>
        <v>0</v>
      </c>
      <c r="S442" s="113"/>
      <c r="T442" s="113"/>
      <c r="U442" s="113"/>
      <c r="V442" s="113"/>
      <c r="W442" s="113"/>
      <c r="X442" s="113"/>
      <c r="Y442" s="15"/>
    </row>
    <row r="443" spans="1:25" ht="14.1" customHeight="1" x14ac:dyDescent="0.25">
      <c r="A443" s="3">
        <v>47</v>
      </c>
      <c r="B443" s="351"/>
      <c r="C443" s="138"/>
      <c r="D443" s="411" t="str">
        <f>O359</f>
        <v>Bottom</v>
      </c>
      <c r="E443" s="416" t="str">
        <f>P359</f>
        <v/>
      </c>
      <c r="F443" s="590"/>
      <c r="G443" s="592"/>
      <c r="H443" s="207"/>
      <c r="I443" s="85" t="str">
        <f>T360</f>
        <v>Acceptable</v>
      </c>
      <c r="J443" s="380"/>
      <c r="K443" s="138"/>
      <c r="L443" s="138"/>
      <c r="M443" s="353"/>
      <c r="O443" s="14"/>
      <c r="P443" s="2" t="s">
        <v>391</v>
      </c>
      <c r="Q443" s="310"/>
      <c r="R443" s="311"/>
      <c r="S443" s="312" t="str">
        <f>IF(AB307="","",AB307)</f>
        <v/>
      </c>
      <c r="T443" s="69"/>
      <c r="U443" s="69"/>
      <c r="V443" s="56"/>
      <c r="X443" s="69"/>
      <c r="Y443" s="15"/>
    </row>
    <row r="444" spans="1:25" ht="14.1" customHeight="1" thickBot="1" x14ac:dyDescent="0.3">
      <c r="A444" s="3">
        <v>48</v>
      </c>
      <c r="B444" s="351"/>
      <c r="C444" s="138"/>
      <c r="D444" s="411" t="str">
        <f>O360</f>
        <v>Left</v>
      </c>
      <c r="E444" s="416" t="str">
        <f>P360</f>
        <v/>
      </c>
      <c r="F444" s="590" t="str">
        <f>Q360</f>
        <v/>
      </c>
      <c r="G444" s="592"/>
      <c r="H444" s="138"/>
      <c r="I444" s="94" t="str">
        <f>T361</f>
        <v/>
      </c>
      <c r="J444" s="138"/>
      <c r="K444" s="138"/>
      <c r="L444" s="138"/>
      <c r="M444" s="353"/>
      <c r="O444" s="14"/>
      <c r="P444" s="110" t="s">
        <v>192</v>
      </c>
      <c r="Q444" s="111"/>
      <c r="R444" s="313">
        <f>LEN(Q443)</f>
        <v>0</v>
      </c>
      <c r="S444" s="113"/>
      <c r="T444" s="113"/>
      <c r="U444" s="113"/>
      <c r="V444" s="113"/>
      <c r="W444" s="113"/>
      <c r="X444" s="113"/>
      <c r="Y444" s="15"/>
    </row>
    <row r="445" spans="1:25" ht="14.1" customHeight="1" thickBot="1" x14ac:dyDescent="0.3">
      <c r="A445" s="3">
        <v>49</v>
      </c>
      <c r="B445" s="351"/>
      <c r="C445" s="138"/>
      <c r="D445" s="413" t="str">
        <f>O361</f>
        <v>Right</v>
      </c>
      <c r="E445" s="417" t="str">
        <f>P361</f>
        <v/>
      </c>
      <c r="F445" s="594"/>
      <c r="G445" s="593"/>
      <c r="H445" s="138"/>
      <c r="I445" s="138"/>
      <c r="J445" s="138"/>
      <c r="K445" s="138"/>
      <c r="L445" s="138"/>
      <c r="M445" s="353"/>
      <c r="O445" s="14"/>
      <c r="P445" s="2" t="s">
        <v>391</v>
      </c>
      <c r="Q445" s="310"/>
      <c r="R445" s="311"/>
      <c r="S445" s="312" t="str">
        <f>IF(AB309="","",AB309)</f>
        <v/>
      </c>
      <c r="T445" s="69"/>
      <c r="U445" s="69"/>
      <c r="V445" s="56"/>
      <c r="X445" s="69"/>
      <c r="Y445" s="15"/>
    </row>
    <row r="446" spans="1:25" ht="14.1" customHeight="1" x14ac:dyDescent="0.25">
      <c r="A446" s="3">
        <v>50</v>
      </c>
      <c r="B446" s="351"/>
      <c r="C446" s="138"/>
      <c r="D446" s="244" t="str">
        <f>O362</f>
        <v>Criteria:</v>
      </c>
      <c r="E446" s="380" t="str">
        <f>P362</f>
        <v>Difference between x-ray field and visible image area is less than 2% SID</v>
      </c>
      <c r="F446" s="207"/>
      <c r="G446" s="207"/>
      <c r="H446" s="207"/>
      <c r="I446" s="207"/>
      <c r="J446" s="207"/>
      <c r="K446" s="207"/>
      <c r="L446" s="207"/>
      <c r="M446" s="371"/>
      <c r="O446" s="14"/>
      <c r="P446" s="110" t="s">
        <v>192</v>
      </c>
      <c r="Q446" s="111"/>
      <c r="R446" s="313">
        <f>LEN(Q445)</f>
        <v>0</v>
      </c>
      <c r="S446" s="113"/>
      <c r="T446" s="113"/>
      <c r="U446" s="113"/>
      <c r="V446" s="113"/>
      <c r="W446" s="113"/>
      <c r="X446" s="113"/>
      <c r="Y446" s="15"/>
    </row>
    <row r="447" spans="1:25" ht="14.1" customHeight="1" x14ac:dyDescent="0.25">
      <c r="A447" s="3">
        <v>51</v>
      </c>
      <c r="B447" s="351"/>
      <c r="C447" s="138"/>
      <c r="D447" s="138"/>
      <c r="E447" s="380" t="str">
        <f>P363</f>
        <v>Sum of length and width differences is less than 4% SID</v>
      </c>
      <c r="F447" s="207"/>
      <c r="G447" s="207"/>
      <c r="H447" s="207"/>
      <c r="I447" s="207"/>
      <c r="J447" s="207"/>
      <c r="K447" s="207"/>
      <c r="L447" s="207"/>
      <c r="M447" s="371"/>
      <c r="O447" s="14"/>
      <c r="P447" s="2" t="s">
        <v>391</v>
      </c>
      <c r="Q447" s="310"/>
      <c r="R447" s="311"/>
      <c r="S447" s="312" t="str">
        <f>IF(AB311="","",AB311)</f>
        <v/>
      </c>
      <c r="T447" s="69"/>
      <c r="U447" s="69"/>
      <c r="V447" s="56"/>
      <c r="X447" s="69"/>
      <c r="Y447" s="15"/>
    </row>
    <row r="448" spans="1:25" ht="14.1" customHeight="1" x14ac:dyDescent="0.25">
      <c r="A448" s="3">
        <v>52</v>
      </c>
      <c r="B448" s="351"/>
      <c r="C448" s="138" t="str">
        <f>P364</f>
        <v>Comments:</v>
      </c>
      <c r="D448" s="477" t="str">
        <f>IF(Q364="","",IF(LEN(Q364)&lt;=135,Q364,IF(LEN(Q364)&lt;=260,LEFT(Q364,SEARCH(" ",Q364,125)),LEFT(Q364,SEARCH(" ",Q364,130)))))</f>
        <v/>
      </c>
      <c r="E448" s="478"/>
      <c r="F448" s="478"/>
      <c r="G448" s="478"/>
      <c r="H448" s="478"/>
      <c r="I448" s="478"/>
      <c r="J448" s="478"/>
      <c r="K448" s="478"/>
      <c r="L448" s="478"/>
      <c r="M448" s="479"/>
      <c r="O448" s="14"/>
      <c r="P448" s="110" t="s">
        <v>192</v>
      </c>
      <c r="Q448" s="111"/>
      <c r="R448" s="313">
        <f>LEN(Q447)</f>
        <v>0</v>
      </c>
      <c r="S448" s="113"/>
      <c r="T448" s="113"/>
      <c r="U448" s="113"/>
      <c r="V448" s="113"/>
      <c r="W448" s="113"/>
      <c r="X448" s="113"/>
      <c r="Y448" s="15"/>
    </row>
    <row r="449" spans="1:25" ht="14.1" customHeight="1" x14ac:dyDescent="0.25">
      <c r="A449" s="3">
        <v>53</v>
      </c>
      <c r="B449" s="351"/>
      <c r="C449" s="138"/>
      <c r="D449" s="480" t="str">
        <f>IF(LEN(Q364)&lt;=135,"",IF(LEN(Q364)&lt;=260,RIGHT(Q364,LEN(Q364)-SEARCH(" ",Q364,125)),MID(Q364,SEARCH(" ",Q364,130),IF(LEN(Q364)&lt;=265,LEN(Q364),SEARCH(" ",Q364,255)-SEARCH(" ",Q364,130)))))</f>
        <v/>
      </c>
      <c r="E449" s="481"/>
      <c r="F449" s="481"/>
      <c r="G449" s="481"/>
      <c r="H449" s="481"/>
      <c r="I449" s="481"/>
      <c r="J449" s="481"/>
      <c r="K449" s="481"/>
      <c r="L449" s="481"/>
      <c r="M449" s="482"/>
      <c r="O449" s="14"/>
      <c r="P449" s="2" t="s">
        <v>391</v>
      </c>
      <c r="Q449" s="310"/>
      <c r="R449" s="311"/>
      <c r="S449" s="312" t="str">
        <f>IF(AB313="","",AB313)</f>
        <v/>
      </c>
      <c r="T449" s="69"/>
      <c r="U449" s="69"/>
      <c r="V449" s="56"/>
      <c r="X449" s="69"/>
      <c r="Y449" s="15"/>
    </row>
    <row r="450" spans="1:25" ht="14.1" customHeight="1" x14ac:dyDescent="0.25">
      <c r="A450" s="3">
        <v>54</v>
      </c>
      <c r="B450" s="351"/>
      <c r="C450" s="138"/>
      <c r="D450" s="480" t="str">
        <f>IF(LEN(Q364)&lt;=265,"",RIGHT(Q364,LEN(Q364)-SEARCH(" ",Q364,255)))</f>
        <v/>
      </c>
      <c r="E450" s="481"/>
      <c r="F450" s="481"/>
      <c r="G450" s="481"/>
      <c r="H450" s="481"/>
      <c r="I450" s="481"/>
      <c r="J450" s="481"/>
      <c r="K450" s="481"/>
      <c r="L450" s="481"/>
      <c r="M450" s="482"/>
      <c r="O450" s="14"/>
      <c r="P450" s="110" t="s">
        <v>192</v>
      </c>
      <c r="Q450" s="113"/>
      <c r="R450" s="313">
        <f>LEN(Q449)</f>
        <v>0</v>
      </c>
      <c r="S450" s="113"/>
      <c r="T450" s="113"/>
      <c r="U450" s="113"/>
      <c r="V450" s="113"/>
      <c r="W450" s="113"/>
      <c r="X450" s="113"/>
      <c r="Y450" s="15"/>
    </row>
    <row r="451" spans="1:25" ht="14.1" customHeight="1" x14ac:dyDescent="0.25">
      <c r="A451" s="3">
        <v>55</v>
      </c>
      <c r="B451" s="351"/>
      <c r="C451" s="207"/>
      <c r="D451" s="207"/>
      <c r="E451" s="207"/>
      <c r="F451" s="207"/>
      <c r="G451" s="207"/>
      <c r="H451" s="207"/>
      <c r="I451" s="207"/>
      <c r="J451" s="207"/>
      <c r="K451" s="207"/>
      <c r="L451" s="207"/>
      <c r="M451" s="371"/>
      <c r="O451" s="22"/>
      <c r="P451" s="23"/>
      <c r="Q451" s="23"/>
      <c r="R451" s="23"/>
      <c r="S451" s="23"/>
      <c r="T451" s="23"/>
      <c r="U451" s="23"/>
      <c r="V451" s="23"/>
      <c r="W451" s="23"/>
      <c r="X451" s="23"/>
      <c r="Y451" s="24"/>
    </row>
    <row r="452" spans="1:25" ht="14.1" customHeight="1" x14ac:dyDescent="0.25">
      <c r="A452" s="3">
        <v>56</v>
      </c>
      <c r="B452" s="351"/>
      <c r="C452" s="138"/>
      <c r="D452" s="138"/>
      <c r="E452" s="138"/>
      <c r="F452" s="138"/>
      <c r="G452" s="138"/>
      <c r="H452" s="138"/>
      <c r="I452" s="138"/>
      <c r="J452" s="138"/>
      <c r="K452" s="138"/>
      <c r="L452" s="138"/>
      <c r="M452" s="353"/>
    </row>
    <row r="453" spans="1:25" ht="14.1" customHeight="1" x14ac:dyDescent="0.25">
      <c r="A453" s="3">
        <v>57</v>
      </c>
      <c r="B453" s="351"/>
      <c r="C453" s="138"/>
      <c r="D453" s="138"/>
      <c r="E453" s="138"/>
      <c r="F453" s="138"/>
      <c r="G453" s="138"/>
      <c r="H453" s="138"/>
      <c r="I453" s="138"/>
      <c r="J453" s="138"/>
      <c r="K453" s="138"/>
      <c r="L453" s="138"/>
      <c r="M453" s="353"/>
    </row>
    <row r="454" spans="1:25" ht="14.1" customHeight="1" x14ac:dyDescent="0.25">
      <c r="A454" s="3">
        <v>58</v>
      </c>
      <c r="B454" s="351"/>
      <c r="C454" s="138"/>
      <c r="D454" s="138"/>
      <c r="E454" s="138"/>
      <c r="F454" s="138"/>
      <c r="G454" s="138"/>
      <c r="H454" s="138"/>
      <c r="I454" s="138"/>
      <c r="J454" s="138"/>
      <c r="K454" s="138"/>
      <c r="L454" s="138"/>
      <c r="M454" s="353"/>
    </row>
    <row r="455" spans="1:25" ht="14.1" customHeight="1" x14ac:dyDescent="0.25">
      <c r="A455" s="3">
        <v>59</v>
      </c>
      <c r="B455" s="351"/>
      <c r="C455" s="138"/>
      <c r="D455" s="138"/>
      <c r="E455" s="138"/>
      <c r="F455" s="138"/>
      <c r="G455" s="138"/>
      <c r="H455" s="138"/>
      <c r="I455" s="138"/>
      <c r="J455" s="138"/>
      <c r="K455" s="138"/>
      <c r="L455" s="138"/>
      <c r="M455" s="353"/>
    </row>
    <row r="456" spans="1:25" ht="14.1" customHeight="1" x14ac:dyDescent="0.25">
      <c r="A456" s="3">
        <v>60</v>
      </c>
      <c r="B456" s="351"/>
      <c r="C456" s="138"/>
      <c r="D456" s="138"/>
      <c r="E456" s="138"/>
      <c r="F456" s="138"/>
      <c r="G456" s="138"/>
      <c r="H456" s="138"/>
      <c r="I456" s="138"/>
      <c r="J456" s="138"/>
      <c r="K456" s="138"/>
      <c r="L456" s="138"/>
      <c r="M456" s="353"/>
    </row>
    <row r="457" spans="1:25" ht="14.1" customHeight="1" x14ac:dyDescent="0.25">
      <c r="A457" s="3">
        <v>61</v>
      </c>
      <c r="B457" s="351"/>
      <c r="C457" s="138"/>
      <c r="D457" s="138"/>
      <c r="E457" s="138"/>
      <c r="F457" s="138"/>
      <c r="G457" s="138"/>
      <c r="H457" s="138"/>
      <c r="I457" s="138"/>
      <c r="J457" s="138"/>
      <c r="K457" s="138"/>
      <c r="L457" s="138"/>
      <c r="M457" s="353"/>
    </row>
    <row r="458" spans="1:25" ht="14.1" customHeight="1" x14ac:dyDescent="0.25">
      <c r="A458" s="3">
        <v>62</v>
      </c>
      <c r="B458" s="351"/>
      <c r="C458" s="138"/>
      <c r="D458" s="138"/>
      <c r="E458" s="138"/>
      <c r="F458" s="138"/>
      <c r="G458" s="138"/>
      <c r="H458" s="138"/>
      <c r="I458" s="138"/>
      <c r="J458" s="138"/>
      <c r="K458" s="138"/>
      <c r="L458" s="138"/>
      <c r="M458" s="353"/>
    </row>
    <row r="459" spans="1:25" ht="14.1" customHeight="1" x14ac:dyDescent="0.25">
      <c r="A459" s="3">
        <v>63</v>
      </c>
      <c r="B459" s="351"/>
      <c r="C459" s="138"/>
      <c r="D459" s="138"/>
      <c r="E459" s="138"/>
      <c r="F459" s="138"/>
      <c r="G459" s="138"/>
      <c r="H459" s="138"/>
      <c r="I459" s="138"/>
      <c r="J459" s="138"/>
      <c r="K459" s="138"/>
      <c r="L459" s="138"/>
      <c r="M459" s="353"/>
    </row>
    <row r="460" spans="1:25" ht="14.1" customHeight="1" x14ac:dyDescent="0.25">
      <c r="A460" s="3">
        <v>64</v>
      </c>
      <c r="B460" s="354"/>
      <c r="C460" s="355"/>
      <c r="D460" s="355"/>
      <c r="E460" s="355"/>
      <c r="F460" s="355"/>
      <c r="G460" s="355"/>
      <c r="H460" s="355"/>
      <c r="I460" s="355"/>
      <c r="J460" s="355"/>
      <c r="K460" s="355"/>
      <c r="L460" s="355"/>
      <c r="M460" s="356"/>
    </row>
    <row r="461" spans="1:25" ht="14.1" customHeight="1" x14ac:dyDescent="0.25">
      <c r="A461" s="3">
        <v>65</v>
      </c>
      <c r="C461" s="2" t="s">
        <v>10</v>
      </c>
      <c r="D461" s="68" t="str">
        <f>IF($P$7="","",$P$7)</f>
        <v/>
      </c>
      <c r="L461" s="2" t="s">
        <v>11</v>
      </c>
      <c r="M461" s="69" t="str">
        <f>IF($X$7="","",$X$7)</f>
        <v>Eugene Mah</v>
      </c>
    </row>
    <row r="462" spans="1:25" ht="14.1" customHeight="1" x14ac:dyDescent="0.25">
      <c r="A462" s="3">
        <v>66</v>
      </c>
      <c r="C462" s="2" t="s">
        <v>79</v>
      </c>
      <c r="D462" s="70" t="str">
        <f>IF($R$14="","",$R$14&amp;" Tube "&amp;$W$48)</f>
        <v/>
      </c>
      <c r="L462" s="2" t="s">
        <v>25</v>
      </c>
      <c r="M462" s="71" t="str">
        <f>IF($R$13="","",$R$13)</f>
        <v/>
      </c>
    </row>
    <row r="463" spans="1:25" ht="14.1" customHeight="1" x14ac:dyDescent="0.25">
      <c r="A463" s="3">
        <v>1</v>
      </c>
      <c r="M463" s="72" t="str">
        <f>$H$2</f>
        <v>Medical University of South Carolina</v>
      </c>
    </row>
    <row r="464" spans="1:25" ht="14.1" customHeight="1" x14ac:dyDescent="0.25">
      <c r="A464" s="3">
        <v>2</v>
      </c>
      <c r="H464" s="52" t="s">
        <v>388</v>
      </c>
      <c r="M464" s="25" t="str">
        <f>$H$5</f>
        <v>Fluoroscopy System Compliance Inspection</v>
      </c>
    </row>
    <row r="465" spans="1:13" ht="14.1" customHeight="1" x14ac:dyDescent="0.25">
      <c r="A465" s="3">
        <v>3</v>
      </c>
      <c r="B465" s="348"/>
      <c r="C465" s="349"/>
      <c r="D465" s="349"/>
      <c r="E465" s="349"/>
      <c r="F465" s="349"/>
      <c r="G465" s="349"/>
      <c r="H465" s="349"/>
      <c r="I465" s="349"/>
      <c r="J465" s="349"/>
      <c r="K465" s="349"/>
      <c r="L465" s="349"/>
      <c r="M465" s="350"/>
    </row>
    <row r="466" spans="1:13" ht="14.1" customHeight="1" x14ac:dyDescent="0.25">
      <c r="A466" s="3">
        <v>4</v>
      </c>
      <c r="B466" s="351"/>
      <c r="C466" s="138"/>
      <c r="D466" s="321" t="str">
        <f>IF(Q371="","",IF(LEN(Q371)&lt;=135,Q371,IF(LEN(Q371)&lt;=260,LEFT(Q371,SEARCH(" ",Q371,125)),LEFT(Q371,SEARCH(" ",Q371,130)))))</f>
        <v/>
      </c>
      <c r="E466" s="322"/>
      <c r="F466" s="322"/>
      <c r="G466" s="322"/>
      <c r="H466" s="322"/>
      <c r="I466" s="322"/>
      <c r="J466" s="322"/>
      <c r="K466" s="322"/>
      <c r="L466" s="322"/>
      <c r="M466" s="353"/>
    </row>
    <row r="467" spans="1:13" ht="14.1" customHeight="1" x14ac:dyDescent="0.25">
      <c r="A467" s="3">
        <v>5</v>
      </c>
      <c r="B467" s="351"/>
      <c r="C467" s="138"/>
      <c r="D467" s="323" t="str">
        <f>IF(LEN(Q371)&lt;=135,"",IF(LEN(Q371)&lt;=260,RIGHT(Q371,LEN(Q371)-SEARCH(" ",Q371,125)),MID(Q371,SEARCH(" ",Q371,130),IF(LEN(Q371)&lt;=265,LEN(Q371),SEARCH(" ",Q371,255)-SEARCH(" ",Q371,130)))))</f>
        <v/>
      </c>
      <c r="E467" s="324"/>
      <c r="F467" s="324"/>
      <c r="G467" s="324"/>
      <c r="H467" s="324"/>
      <c r="I467" s="324"/>
      <c r="J467" s="324"/>
      <c r="K467" s="324"/>
      <c r="L467" s="324"/>
      <c r="M467" s="353"/>
    </row>
    <row r="468" spans="1:13" ht="14.1" customHeight="1" x14ac:dyDescent="0.25">
      <c r="A468" s="3">
        <v>6</v>
      </c>
      <c r="B468" s="351"/>
      <c r="C468" s="138"/>
      <c r="D468" s="323" t="str">
        <f>IF(LEN(Q371)&lt;=265,"",RIGHT(Q371,LEN(Q371)-SEARCH(" ",Q371,255)))</f>
        <v/>
      </c>
      <c r="E468" s="324"/>
      <c r="F468" s="324"/>
      <c r="G468" s="324"/>
      <c r="H468" s="324"/>
      <c r="I468" s="324"/>
      <c r="J468" s="324"/>
      <c r="K468" s="324"/>
      <c r="L468" s="324"/>
      <c r="M468" s="353"/>
    </row>
    <row r="469" spans="1:13" ht="14.1" customHeight="1" x14ac:dyDescent="0.25">
      <c r="A469" s="3">
        <v>7</v>
      </c>
      <c r="B469" s="351"/>
      <c r="C469" s="138"/>
      <c r="D469" s="321" t="str">
        <f>IF(Q373="","",IF(LEN(Q373)&lt;=135,Q373,IF(LEN(Q373)&lt;=260,LEFT(Q373,SEARCH(" ",Q373,125)),LEFT(Q373,SEARCH(" ",Q373,130)))))</f>
        <v/>
      </c>
      <c r="E469" s="322"/>
      <c r="F469" s="322"/>
      <c r="G469" s="322"/>
      <c r="H469" s="322"/>
      <c r="I469" s="322"/>
      <c r="J469" s="322"/>
      <c r="K469" s="322"/>
      <c r="L469" s="322"/>
      <c r="M469" s="353"/>
    </row>
    <row r="470" spans="1:13" ht="14.1" customHeight="1" x14ac:dyDescent="0.25">
      <c r="A470" s="3">
        <v>8</v>
      </c>
      <c r="B470" s="351"/>
      <c r="C470" s="138"/>
      <c r="D470" s="323" t="str">
        <f>IF(LEN(Q373)&lt;=135,"",IF(LEN(Q373)&lt;=260,RIGHT(Q373,LEN(Q373)-SEARCH(" ",Q373,125)),MID(Q373,SEARCH(" ",Q373,130),IF(LEN(Q373)&lt;=265,LEN(Q373),SEARCH(" ",Q373,255)-SEARCH(" ",Q373,130)))))</f>
        <v/>
      </c>
      <c r="E470" s="324"/>
      <c r="F470" s="324"/>
      <c r="G470" s="324"/>
      <c r="H470" s="324"/>
      <c r="I470" s="324"/>
      <c r="J470" s="324"/>
      <c r="K470" s="324"/>
      <c r="L470" s="324"/>
      <c r="M470" s="353"/>
    </row>
    <row r="471" spans="1:13" ht="14.1" customHeight="1" x14ac:dyDescent="0.25">
      <c r="A471" s="3">
        <v>9</v>
      </c>
      <c r="B471" s="351"/>
      <c r="C471" s="138"/>
      <c r="D471" s="323" t="str">
        <f>IF(LEN(Q373)&lt;=265,"",RIGHT(Q373,LEN(Q373)-SEARCH(" ",Q373,255)))</f>
        <v/>
      </c>
      <c r="E471" s="324"/>
      <c r="F471" s="324"/>
      <c r="G471" s="324"/>
      <c r="H471" s="324"/>
      <c r="I471" s="324"/>
      <c r="J471" s="324"/>
      <c r="K471" s="324"/>
      <c r="L471" s="324"/>
      <c r="M471" s="353"/>
    </row>
    <row r="472" spans="1:13" ht="14.1" customHeight="1" x14ac:dyDescent="0.25">
      <c r="A472" s="3">
        <v>10</v>
      </c>
      <c r="B472" s="351"/>
      <c r="C472" s="138"/>
      <c r="D472" s="321" t="str">
        <f>IF(Q375="","",IF(LEN(Q375)&lt;=135,Q375,IF(LEN(Q375)&lt;=260,LEFT(Q375,SEARCH(" ",Q375,125)),LEFT(Q375,SEARCH(" ",Q375,130)))))</f>
        <v/>
      </c>
      <c r="E472" s="322"/>
      <c r="F472" s="322"/>
      <c r="G472" s="322"/>
      <c r="H472" s="322"/>
      <c r="I472" s="322"/>
      <c r="J472" s="322"/>
      <c r="K472" s="322"/>
      <c r="L472" s="322"/>
      <c r="M472" s="353"/>
    </row>
    <row r="473" spans="1:13" ht="14.1" customHeight="1" x14ac:dyDescent="0.25">
      <c r="A473" s="3">
        <v>11</v>
      </c>
      <c r="B473" s="351"/>
      <c r="C473" s="138"/>
      <c r="D473" s="323" t="str">
        <f>IF(LEN(Q375)&lt;=135,"",IF(LEN(Q375)&lt;=260,RIGHT(Q375,LEN(Q375)-SEARCH(" ",Q375,125)),MID(Q375,SEARCH(" ",Q375,130),IF(LEN(Q375)&lt;=265,LEN(Q375),SEARCH(" ",Q375,255)-SEARCH(" ",Q375,130)))))</f>
        <v/>
      </c>
      <c r="E473" s="324"/>
      <c r="F473" s="324"/>
      <c r="G473" s="324"/>
      <c r="H473" s="324"/>
      <c r="I473" s="324"/>
      <c r="J473" s="324"/>
      <c r="K473" s="324"/>
      <c r="L473" s="324"/>
      <c r="M473" s="353"/>
    </row>
    <row r="474" spans="1:13" ht="14.1" customHeight="1" x14ac:dyDescent="0.25">
      <c r="A474" s="3">
        <v>12</v>
      </c>
      <c r="B474" s="351"/>
      <c r="C474" s="138"/>
      <c r="D474" s="323" t="str">
        <f>IF(LEN(Q375)&lt;=265,"",RIGHT(Q375,LEN(Q375)-SEARCH(" ",Q375,255)))</f>
        <v/>
      </c>
      <c r="E474" s="324"/>
      <c r="F474" s="324"/>
      <c r="G474" s="324"/>
      <c r="H474" s="324"/>
      <c r="I474" s="324"/>
      <c r="J474" s="324"/>
      <c r="K474" s="324"/>
      <c r="L474" s="324"/>
      <c r="M474" s="353"/>
    </row>
    <row r="475" spans="1:13" ht="14.1" customHeight="1" x14ac:dyDescent="0.25">
      <c r="A475" s="3">
        <v>13</v>
      </c>
      <c r="B475" s="351"/>
      <c r="C475" s="138"/>
      <c r="D475" s="321" t="str">
        <f>IF(Q377="","",IF(LEN(Q377)&lt;=135,Q377,IF(LEN(Q377)&lt;=260,LEFT(Q377,SEARCH(" ",Q377,125)),LEFT(Q377,SEARCH(" ",Q377,130)))))</f>
        <v/>
      </c>
      <c r="E475" s="322"/>
      <c r="F475" s="322"/>
      <c r="G475" s="322"/>
      <c r="H475" s="322"/>
      <c r="I475" s="322"/>
      <c r="J475" s="322"/>
      <c r="K475" s="322"/>
      <c r="L475" s="322"/>
      <c r="M475" s="353"/>
    </row>
    <row r="476" spans="1:13" ht="14.1" customHeight="1" x14ac:dyDescent="0.25">
      <c r="A476" s="3">
        <v>14</v>
      </c>
      <c r="B476" s="351"/>
      <c r="C476" s="138"/>
      <c r="D476" s="323" t="str">
        <f>IF(LEN(Q377)&lt;=135,"",IF(LEN(Q377)&lt;=260,RIGHT(Q377,LEN(Q377)-SEARCH(" ",Q377,125)),MID(Q377,SEARCH(" ",Q377,130),IF(LEN(Q377)&lt;=265,LEN(Q377),SEARCH(" ",Q377,255)-SEARCH(" ",Q377,130)))))</f>
        <v/>
      </c>
      <c r="E476" s="324"/>
      <c r="F476" s="324"/>
      <c r="G476" s="324"/>
      <c r="H476" s="324"/>
      <c r="I476" s="324"/>
      <c r="J476" s="324"/>
      <c r="K476" s="324"/>
      <c r="L476" s="324"/>
      <c r="M476" s="353"/>
    </row>
    <row r="477" spans="1:13" ht="14.1" customHeight="1" x14ac:dyDescent="0.25">
      <c r="A477" s="3">
        <v>15</v>
      </c>
      <c r="B477" s="351"/>
      <c r="C477" s="138"/>
      <c r="D477" s="323" t="str">
        <f>IF(LEN(Q377)&lt;=265,"",RIGHT(Q377,LEN(Q377)-SEARCH(" ",Q377,255)))</f>
        <v/>
      </c>
      <c r="E477" s="324"/>
      <c r="F477" s="324"/>
      <c r="G477" s="324"/>
      <c r="H477" s="324"/>
      <c r="I477" s="324"/>
      <c r="J477" s="324"/>
      <c r="K477" s="324"/>
      <c r="L477" s="324"/>
      <c r="M477" s="353"/>
    </row>
    <row r="478" spans="1:13" ht="14.1" customHeight="1" x14ac:dyDescent="0.25">
      <c r="A478" s="3">
        <v>16</v>
      </c>
      <c r="B478" s="351"/>
      <c r="C478" s="138"/>
      <c r="D478" s="321" t="str">
        <f>IF(Q379="","",IF(LEN(Q379)&lt;=135,Q379,IF(LEN(Q379)&lt;=260,LEFT(Q379,SEARCH(" ",Q379,125)),LEFT(Q379,SEARCH(" ",Q379,130)))))</f>
        <v/>
      </c>
      <c r="E478" s="322"/>
      <c r="F478" s="322"/>
      <c r="G478" s="322"/>
      <c r="H478" s="322"/>
      <c r="I478" s="322"/>
      <c r="J478" s="322"/>
      <c r="K478" s="322"/>
      <c r="L478" s="322"/>
      <c r="M478" s="353"/>
    </row>
    <row r="479" spans="1:13" ht="14.1" customHeight="1" x14ac:dyDescent="0.25">
      <c r="A479" s="3">
        <v>17</v>
      </c>
      <c r="B479" s="351"/>
      <c r="C479" s="138"/>
      <c r="D479" s="323" t="str">
        <f>IF(LEN(Q379)&lt;=135,"",IF(LEN(Q379)&lt;=260,RIGHT(Q379,LEN(Q379)-SEARCH(" ",Q379,125)),MID(Q379,SEARCH(" ",Q379,130),IF(LEN(Q379)&lt;=265,LEN(Q379),SEARCH(" ",Q379,255)-SEARCH(" ",Q379,130)))))</f>
        <v/>
      </c>
      <c r="E479" s="324"/>
      <c r="F479" s="324"/>
      <c r="G479" s="324"/>
      <c r="H479" s="324"/>
      <c r="I479" s="324"/>
      <c r="J479" s="324"/>
      <c r="K479" s="324"/>
      <c r="L479" s="324"/>
      <c r="M479" s="353"/>
    </row>
    <row r="480" spans="1:13" ht="14.1" customHeight="1" x14ac:dyDescent="0.25">
      <c r="A480" s="3">
        <v>18</v>
      </c>
      <c r="B480" s="351"/>
      <c r="C480" s="138"/>
      <c r="D480" s="323" t="str">
        <f>IF(LEN(Q379)&lt;=265,"",RIGHT(Q379,LEN(Q379)-SEARCH(" ",Q379,255)))</f>
        <v/>
      </c>
      <c r="E480" s="324"/>
      <c r="F480" s="324"/>
      <c r="G480" s="324"/>
      <c r="H480" s="324"/>
      <c r="I480" s="324"/>
      <c r="J480" s="324"/>
      <c r="K480" s="324"/>
      <c r="L480" s="324"/>
      <c r="M480" s="353"/>
    </row>
    <row r="481" spans="1:13" ht="14.1" customHeight="1" x14ac:dyDescent="0.25">
      <c r="A481" s="3">
        <v>19</v>
      </c>
      <c r="B481" s="351"/>
      <c r="C481" s="138"/>
      <c r="D481" s="321" t="str">
        <f>IF(Q381="","",IF(LEN(Q381)&lt;=135,Q381,IF(LEN(Q381)&lt;=260,LEFT(Q381,SEARCH(" ",Q381,125)),LEFT(Q381,SEARCH(" ",Q381,130)))))</f>
        <v/>
      </c>
      <c r="E481" s="322"/>
      <c r="F481" s="322"/>
      <c r="G481" s="322"/>
      <c r="H481" s="322"/>
      <c r="I481" s="322"/>
      <c r="J481" s="322"/>
      <c r="K481" s="322"/>
      <c r="L481" s="322"/>
      <c r="M481" s="353"/>
    </row>
    <row r="482" spans="1:13" ht="14.1" customHeight="1" x14ac:dyDescent="0.25">
      <c r="A482" s="3">
        <v>20</v>
      </c>
      <c r="B482" s="351"/>
      <c r="C482" s="138"/>
      <c r="D482" s="323" t="str">
        <f>IF(LEN(Q381)&lt;=135,"",IF(LEN(Q381)&lt;=260,RIGHT(Q381,LEN(Q381)-SEARCH(" ",Q381,125)),MID(Q381,SEARCH(" ",Q381,130),IF(LEN(Q381)&lt;=265,LEN(Q381),SEARCH(" ",Q381,255)-SEARCH(" ",Q381,130)))))</f>
        <v/>
      </c>
      <c r="E482" s="324"/>
      <c r="F482" s="324"/>
      <c r="G482" s="324"/>
      <c r="H482" s="324"/>
      <c r="I482" s="324"/>
      <c r="J482" s="324"/>
      <c r="K482" s="324"/>
      <c r="L482" s="324"/>
      <c r="M482" s="353"/>
    </row>
    <row r="483" spans="1:13" ht="14.1" customHeight="1" x14ac:dyDescent="0.25">
      <c r="A483" s="3">
        <v>21</v>
      </c>
      <c r="B483" s="351"/>
      <c r="C483" s="138"/>
      <c r="D483" s="323" t="str">
        <f>IF(LEN(Q381)&lt;=265,"",RIGHT(Q381,LEN(Q381)-SEARCH(" ",Q381,255)))</f>
        <v/>
      </c>
      <c r="E483" s="324"/>
      <c r="F483" s="324"/>
      <c r="G483" s="324"/>
      <c r="H483" s="324"/>
      <c r="I483" s="324"/>
      <c r="J483" s="324"/>
      <c r="K483" s="324"/>
      <c r="L483" s="324"/>
      <c r="M483" s="353"/>
    </row>
    <row r="484" spans="1:13" ht="14.1" customHeight="1" x14ac:dyDescent="0.25">
      <c r="A484" s="3">
        <v>22</v>
      </c>
      <c r="B484" s="351"/>
      <c r="C484" s="138"/>
      <c r="D484" s="321" t="str">
        <f>IF(Q383="","",IF(LEN(Q383)&lt;=135,Q383,IF(LEN(Q383)&lt;=260,LEFT(Q383,SEARCH(" ",Q383,125)),LEFT(Q383,SEARCH(" ",Q383,130)))))</f>
        <v/>
      </c>
      <c r="E484" s="322"/>
      <c r="F484" s="322"/>
      <c r="G484" s="322"/>
      <c r="H484" s="322"/>
      <c r="I484" s="322"/>
      <c r="J484" s="322"/>
      <c r="K484" s="322"/>
      <c r="L484" s="322"/>
      <c r="M484" s="353"/>
    </row>
    <row r="485" spans="1:13" ht="14.1" customHeight="1" x14ac:dyDescent="0.25">
      <c r="A485" s="3">
        <v>23</v>
      </c>
      <c r="B485" s="351"/>
      <c r="C485" s="138"/>
      <c r="D485" s="323" t="str">
        <f>IF(LEN(Q383)&lt;=135,"",IF(LEN(Q383)&lt;=260,RIGHT(Q383,LEN(Q383)-SEARCH(" ",Q383,125)),MID(Q383,SEARCH(" ",Q383,130),IF(LEN(Q383)&lt;=265,LEN(Q383),SEARCH(" ",Q383,255)-SEARCH(" ",Q383,130)))))</f>
        <v/>
      </c>
      <c r="E485" s="324"/>
      <c r="F485" s="324"/>
      <c r="G485" s="324"/>
      <c r="H485" s="324"/>
      <c r="I485" s="324"/>
      <c r="J485" s="324"/>
      <c r="K485" s="324"/>
      <c r="L485" s="324"/>
      <c r="M485" s="353"/>
    </row>
    <row r="486" spans="1:13" ht="14.1" customHeight="1" x14ac:dyDescent="0.25">
      <c r="A486" s="3">
        <v>24</v>
      </c>
      <c r="B486" s="351"/>
      <c r="C486" s="138"/>
      <c r="D486" s="323" t="str">
        <f>IF(LEN(Q383)&lt;=265,"",RIGHT(Q383,LEN(Q383)-SEARCH(" ",Q383,255)))</f>
        <v/>
      </c>
      <c r="E486" s="324"/>
      <c r="F486" s="324"/>
      <c r="G486" s="324"/>
      <c r="H486" s="324"/>
      <c r="I486" s="324"/>
      <c r="J486" s="324"/>
      <c r="K486" s="324"/>
      <c r="L486" s="324"/>
      <c r="M486" s="353"/>
    </row>
    <row r="487" spans="1:13" ht="14.1" customHeight="1" x14ac:dyDescent="0.25">
      <c r="A487" s="3">
        <v>25</v>
      </c>
      <c r="B487" s="351"/>
      <c r="C487" s="138"/>
      <c r="D487" s="321" t="str">
        <f>IF(Q385="","",IF(LEN(Q385)&lt;=135,Q385,IF(LEN(Q385)&lt;=260,LEFT(Q385,SEARCH(" ",Q385,125)),LEFT(Q385,SEARCH(" ",Q385,130)))))</f>
        <v/>
      </c>
      <c r="E487" s="322"/>
      <c r="F487" s="322"/>
      <c r="G487" s="322"/>
      <c r="H487" s="322"/>
      <c r="I487" s="322"/>
      <c r="J487" s="322"/>
      <c r="K487" s="322"/>
      <c r="L487" s="322"/>
      <c r="M487" s="353"/>
    </row>
    <row r="488" spans="1:13" ht="14.1" customHeight="1" x14ac:dyDescent="0.25">
      <c r="A488" s="3">
        <v>26</v>
      </c>
      <c r="B488" s="351"/>
      <c r="C488" s="138"/>
      <c r="D488" s="323" t="str">
        <f>IF(LEN(Q385)&lt;=135,"",IF(LEN(Q385)&lt;=260,RIGHT(Q385,LEN(Q385)-SEARCH(" ",Q385,125)),MID(Q385,SEARCH(" ",Q385,130),IF(LEN(Q385)&lt;=265,LEN(Q385),SEARCH(" ",Q385,255)-SEARCH(" ",Q385,130)))))</f>
        <v/>
      </c>
      <c r="E488" s="324"/>
      <c r="F488" s="324"/>
      <c r="G488" s="324"/>
      <c r="H488" s="324"/>
      <c r="I488" s="324"/>
      <c r="J488" s="324"/>
      <c r="K488" s="324"/>
      <c r="L488" s="324"/>
      <c r="M488" s="353"/>
    </row>
    <row r="489" spans="1:13" ht="14.1" customHeight="1" x14ac:dyDescent="0.25">
      <c r="A489" s="3">
        <v>27</v>
      </c>
      <c r="B489" s="351"/>
      <c r="C489" s="138"/>
      <c r="D489" s="323" t="str">
        <f>IF(LEN(Q385)&lt;=265,"",RIGHT(Q385,LEN(Q385)-SEARCH(" ",Q385,255)))</f>
        <v/>
      </c>
      <c r="E489" s="324"/>
      <c r="F489" s="324"/>
      <c r="G489" s="324"/>
      <c r="H489" s="324"/>
      <c r="I489" s="324"/>
      <c r="J489" s="324"/>
      <c r="K489" s="324"/>
      <c r="L489" s="324"/>
      <c r="M489" s="353"/>
    </row>
    <row r="490" spans="1:13" ht="14.1" customHeight="1" x14ac:dyDescent="0.25">
      <c r="A490" s="3">
        <v>28</v>
      </c>
      <c r="B490" s="351"/>
      <c r="C490" s="138"/>
      <c r="D490" s="321" t="str">
        <f>IF(Q387="","",IF(LEN(Q387)&lt;=135,Q387,IF(LEN(Q387)&lt;=260,LEFT(Q387,SEARCH(" ",Q387,125)),LEFT(Q387,SEARCH(" ",Q387,130)))))</f>
        <v/>
      </c>
      <c r="E490" s="322"/>
      <c r="F490" s="322"/>
      <c r="G490" s="322"/>
      <c r="H490" s="322"/>
      <c r="I490" s="322"/>
      <c r="J490" s="322"/>
      <c r="K490" s="322"/>
      <c r="L490" s="322"/>
      <c r="M490" s="353"/>
    </row>
    <row r="491" spans="1:13" ht="14.1" customHeight="1" x14ac:dyDescent="0.25">
      <c r="A491" s="3">
        <v>29</v>
      </c>
      <c r="B491" s="351"/>
      <c r="C491" s="138"/>
      <c r="D491" s="323" t="str">
        <f>IF(LEN(Q387)&lt;=135,"",IF(LEN(Q387)&lt;=260,RIGHT(Q387,LEN(Q387)-SEARCH(" ",Q387,125)),MID(Q387,SEARCH(" ",Q387,130),IF(LEN(Q387)&lt;=265,LEN(Q387),SEARCH(" ",Q387,255)-SEARCH(" ",Q387,130)))))</f>
        <v/>
      </c>
      <c r="E491" s="324"/>
      <c r="F491" s="324"/>
      <c r="G491" s="324"/>
      <c r="H491" s="324"/>
      <c r="I491" s="324"/>
      <c r="J491" s="324"/>
      <c r="K491" s="324"/>
      <c r="L491" s="324"/>
      <c r="M491" s="353"/>
    </row>
    <row r="492" spans="1:13" ht="14.1" customHeight="1" x14ac:dyDescent="0.25">
      <c r="A492" s="3">
        <v>30</v>
      </c>
      <c r="B492" s="351"/>
      <c r="C492" s="138"/>
      <c r="D492" s="323" t="str">
        <f>IF(LEN(Q387)&lt;=265,"",RIGHT(Q387,LEN(Q387)-SEARCH(" ",Q387,255)))</f>
        <v/>
      </c>
      <c r="E492" s="324"/>
      <c r="F492" s="324"/>
      <c r="G492" s="324"/>
      <c r="H492" s="324"/>
      <c r="I492" s="324"/>
      <c r="J492" s="324"/>
      <c r="K492" s="324"/>
      <c r="L492" s="324"/>
      <c r="M492" s="353"/>
    </row>
    <row r="493" spans="1:13" ht="14.1" customHeight="1" x14ac:dyDescent="0.25">
      <c r="A493" s="3">
        <v>31</v>
      </c>
      <c r="B493" s="351"/>
      <c r="C493" s="138"/>
      <c r="D493" s="321" t="str">
        <f>IF(Q389="","",IF(LEN(Q389)&lt;=135,Q389,IF(LEN(Q389)&lt;=260,LEFT(Q389,SEARCH(" ",Q389,125)),LEFT(Q389,SEARCH(" ",Q389,130)))))</f>
        <v/>
      </c>
      <c r="E493" s="322"/>
      <c r="F493" s="322"/>
      <c r="G493" s="322"/>
      <c r="H493" s="322"/>
      <c r="I493" s="322"/>
      <c r="J493" s="322"/>
      <c r="K493" s="322"/>
      <c r="L493" s="322"/>
      <c r="M493" s="353"/>
    </row>
    <row r="494" spans="1:13" ht="14.1" customHeight="1" x14ac:dyDescent="0.25">
      <c r="A494" s="3">
        <v>32</v>
      </c>
      <c r="B494" s="351"/>
      <c r="C494" s="138"/>
      <c r="D494" s="323" t="str">
        <f>IF(LEN(Q389)&lt;=135,"",IF(LEN(Q389)&lt;=260,RIGHT(Q389,LEN(Q389)-SEARCH(" ",Q389,125)),MID(Q389,SEARCH(" ",Q389,130),IF(LEN(Q389)&lt;=265,LEN(Q389),SEARCH(" ",Q389,255)-SEARCH(" ",Q389,130)))))</f>
        <v/>
      </c>
      <c r="E494" s="324"/>
      <c r="F494" s="324"/>
      <c r="G494" s="324"/>
      <c r="H494" s="324"/>
      <c r="I494" s="324"/>
      <c r="J494" s="324"/>
      <c r="K494" s="324"/>
      <c r="L494" s="324"/>
      <c r="M494" s="353"/>
    </row>
    <row r="495" spans="1:13" ht="14.1" customHeight="1" x14ac:dyDescent="0.25">
      <c r="A495" s="3">
        <v>33</v>
      </c>
      <c r="B495" s="351"/>
      <c r="C495" s="138"/>
      <c r="D495" s="323" t="str">
        <f>IF(LEN(Q389)&lt;=265,"",RIGHT(Q389,LEN(Q389)-SEARCH(" ",Q389,255)))</f>
        <v/>
      </c>
      <c r="E495" s="324"/>
      <c r="F495" s="324"/>
      <c r="G495" s="324"/>
      <c r="H495" s="324"/>
      <c r="I495" s="324"/>
      <c r="J495" s="324"/>
      <c r="K495" s="324"/>
      <c r="L495" s="324"/>
      <c r="M495" s="353"/>
    </row>
    <row r="496" spans="1:13" ht="14.1" customHeight="1" x14ac:dyDescent="0.25">
      <c r="A496" s="3">
        <v>34</v>
      </c>
      <c r="B496" s="351"/>
      <c r="C496" s="138"/>
      <c r="D496" s="321" t="str">
        <f>IF(Q391="","",IF(LEN(Q391)&lt;=135,Q391,IF(LEN(Q391)&lt;=260,LEFT(Q391,SEARCH(" ",Q391,125)),LEFT(Q391,SEARCH(" ",Q391,130)))))</f>
        <v/>
      </c>
      <c r="E496" s="322"/>
      <c r="F496" s="322"/>
      <c r="G496" s="322"/>
      <c r="H496" s="322"/>
      <c r="I496" s="322"/>
      <c r="J496" s="322"/>
      <c r="K496" s="322"/>
      <c r="L496" s="322"/>
      <c r="M496" s="353"/>
    </row>
    <row r="497" spans="1:13" ht="14.1" customHeight="1" x14ac:dyDescent="0.25">
      <c r="A497" s="3">
        <v>35</v>
      </c>
      <c r="B497" s="351"/>
      <c r="C497" s="138"/>
      <c r="D497" s="323" t="str">
        <f>IF(LEN(Q391)&lt;=135,"",IF(LEN(Q391)&lt;=260,RIGHT(Q391,LEN(Q391)-SEARCH(" ",Q391,125)),MID(Q391,SEARCH(" ",Q391,130),IF(LEN(Q391)&lt;=265,LEN(Q391),SEARCH(" ",Q391,255)-SEARCH(" ",Q391,130)))))</f>
        <v/>
      </c>
      <c r="E497" s="324"/>
      <c r="F497" s="324"/>
      <c r="G497" s="324"/>
      <c r="H497" s="324"/>
      <c r="I497" s="324"/>
      <c r="J497" s="324"/>
      <c r="K497" s="324"/>
      <c r="L497" s="324"/>
      <c r="M497" s="353"/>
    </row>
    <row r="498" spans="1:13" ht="14.1" customHeight="1" x14ac:dyDescent="0.25">
      <c r="A498" s="3">
        <v>36</v>
      </c>
      <c r="B498" s="351"/>
      <c r="C498" s="138"/>
      <c r="D498" s="323" t="str">
        <f>IF(LEN(Q391)&lt;=265,"",RIGHT(Q391,LEN(Q391)-SEARCH(" ",Q391,255)))</f>
        <v/>
      </c>
      <c r="E498" s="324"/>
      <c r="F498" s="324"/>
      <c r="G498" s="324"/>
      <c r="H498" s="324"/>
      <c r="I498" s="324"/>
      <c r="J498" s="324"/>
      <c r="K498" s="324"/>
      <c r="L498" s="324"/>
      <c r="M498" s="353"/>
    </row>
    <row r="499" spans="1:13" ht="14.1" customHeight="1" x14ac:dyDescent="0.25">
      <c r="A499" s="3">
        <v>37</v>
      </c>
      <c r="B499" s="351"/>
      <c r="C499" s="138"/>
      <c r="D499" s="321" t="str">
        <f>IF(Q393="","",IF(LEN(Q393)&lt;=135,Q393,IF(LEN(Q393)&lt;=260,LEFT(Q393,SEARCH(" ",Q393,125)),LEFT(Q393,SEARCH(" ",Q393,130)))))</f>
        <v/>
      </c>
      <c r="E499" s="322"/>
      <c r="F499" s="322"/>
      <c r="G499" s="322"/>
      <c r="H499" s="322"/>
      <c r="I499" s="322"/>
      <c r="J499" s="322"/>
      <c r="K499" s="322"/>
      <c r="L499" s="322"/>
      <c r="M499" s="353"/>
    </row>
    <row r="500" spans="1:13" ht="14.1" customHeight="1" x14ac:dyDescent="0.25">
      <c r="A500" s="3">
        <v>38</v>
      </c>
      <c r="B500" s="351"/>
      <c r="C500" s="138"/>
      <c r="D500" s="323" t="str">
        <f>IF(LEN(Q393)&lt;=135,"",IF(LEN(Q393)&lt;=260,RIGHT(Q393,LEN(Q393)-SEARCH(" ",Q393,125)),MID(Q393,SEARCH(" ",Q393,130),IF(LEN(Q393)&lt;=265,LEN(Q393),SEARCH(" ",Q393,255)-SEARCH(" ",Q393,130)))))</f>
        <v/>
      </c>
      <c r="E500" s="324"/>
      <c r="F500" s="324"/>
      <c r="G500" s="324"/>
      <c r="H500" s="324"/>
      <c r="I500" s="324"/>
      <c r="J500" s="324"/>
      <c r="K500" s="324"/>
      <c r="L500" s="324"/>
      <c r="M500" s="353"/>
    </row>
    <row r="501" spans="1:13" ht="14.1" customHeight="1" x14ac:dyDescent="0.25">
      <c r="A501" s="3">
        <v>39</v>
      </c>
      <c r="B501" s="351"/>
      <c r="C501" s="138"/>
      <c r="D501" s="323" t="str">
        <f>IF(LEN(Q393)&lt;=265,"",RIGHT(Q393,LEN(Q393)-SEARCH(" ",Q393,255)))</f>
        <v/>
      </c>
      <c r="E501" s="324"/>
      <c r="F501" s="324"/>
      <c r="G501" s="324"/>
      <c r="H501" s="324"/>
      <c r="I501" s="324"/>
      <c r="J501" s="324"/>
      <c r="K501" s="324"/>
      <c r="L501" s="324"/>
      <c r="M501" s="353"/>
    </row>
    <row r="502" spans="1:13" ht="14.1" customHeight="1" x14ac:dyDescent="0.25">
      <c r="A502" s="3">
        <v>40</v>
      </c>
      <c r="B502" s="351"/>
      <c r="C502" s="138"/>
      <c r="D502" s="321" t="str">
        <f>IF(Q395="","",IF(LEN(Q395)&lt;=135,Q395,IF(LEN(Q395)&lt;=260,LEFT(Q395,SEARCH(" ",Q395,125)),LEFT(Q395,SEARCH(" ",Q395,130)))))</f>
        <v/>
      </c>
      <c r="E502" s="322"/>
      <c r="F502" s="322"/>
      <c r="G502" s="322"/>
      <c r="H502" s="322"/>
      <c r="I502" s="322"/>
      <c r="J502" s="322"/>
      <c r="K502" s="322"/>
      <c r="L502" s="322"/>
      <c r="M502" s="353"/>
    </row>
    <row r="503" spans="1:13" ht="14.1" customHeight="1" x14ac:dyDescent="0.25">
      <c r="A503" s="3">
        <v>41</v>
      </c>
      <c r="B503" s="351"/>
      <c r="C503" s="138"/>
      <c r="D503" s="323" t="str">
        <f>IF(LEN(Q395)&lt;=135,"",IF(LEN(Q395)&lt;=260,RIGHT(Q395,LEN(Q395)-SEARCH(" ",Q395,125)),MID(Q395,SEARCH(" ",Q395,130),IF(LEN(Q395)&lt;=265,LEN(Q395),SEARCH(" ",Q395,255)-SEARCH(" ",Q395,130)))))</f>
        <v/>
      </c>
      <c r="E503" s="324"/>
      <c r="F503" s="324"/>
      <c r="G503" s="324"/>
      <c r="H503" s="324"/>
      <c r="I503" s="324"/>
      <c r="J503" s="324"/>
      <c r="K503" s="324"/>
      <c r="L503" s="324"/>
      <c r="M503" s="353"/>
    </row>
    <row r="504" spans="1:13" ht="14.1" customHeight="1" x14ac:dyDescent="0.25">
      <c r="A504" s="3">
        <v>42</v>
      </c>
      <c r="B504" s="351"/>
      <c r="C504" s="138"/>
      <c r="D504" s="323" t="str">
        <f>IF(LEN(Q395)&lt;=265,"",RIGHT(Q395,LEN(Q395)-SEARCH(" ",Q395,255)))</f>
        <v/>
      </c>
      <c r="E504" s="324"/>
      <c r="F504" s="324"/>
      <c r="G504" s="324"/>
      <c r="H504" s="324"/>
      <c r="I504" s="324"/>
      <c r="J504" s="324"/>
      <c r="K504" s="324"/>
      <c r="L504" s="324"/>
      <c r="M504" s="353"/>
    </row>
    <row r="505" spans="1:13" ht="14.1" customHeight="1" x14ac:dyDescent="0.25">
      <c r="A505" s="3">
        <v>43</v>
      </c>
      <c r="B505" s="351"/>
      <c r="C505" s="138"/>
      <c r="D505" s="321" t="str">
        <f>IF(Q397="","",IF(LEN(Q397)&lt;=135,Q397,IF(LEN(Q397)&lt;=260,LEFT(Q397,SEARCH(" ",Q397,125)),LEFT(Q397,SEARCH(" ",Q397,130)))))</f>
        <v/>
      </c>
      <c r="E505" s="322"/>
      <c r="F505" s="322"/>
      <c r="G505" s="322"/>
      <c r="H505" s="322"/>
      <c r="I505" s="322"/>
      <c r="J505" s="322"/>
      <c r="K505" s="322"/>
      <c r="L505" s="322"/>
      <c r="M505" s="353"/>
    </row>
    <row r="506" spans="1:13" ht="14.1" customHeight="1" x14ac:dyDescent="0.25">
      <c r="A506" s="3">
        <v>44</v>
      </c>
      <c r="B506" s="351"/>
      <c r="C506" s="138"/>
      <c r="D506" s="323" t="str">
        <f>IF(LEN(Q397)&lt;=135,"",IF(LEN(Q397)&lt;=260,RIGHT(Q397,LEN(Q397)-SEARCH(" ",Q397,125)),MID(Q397,SEARCH(" ",Q397,130),IF(LEN(Q397)&lt;=265,LEN(Q397),SEARCH(" ",Q397,255)-SEARCH(" ",Q397,130)))))</f>
        <v/>
      </c>
      <c r="E506" s="324"/>
      <c r="F506" s="324"/>
      <c r="G506" s="324"/>
      <c r="H506" s="324"/>
      <c r="I506" s="324"/>
      <c r="J506" s="324"/>
      <c r="K506" s="324"/>
      <c r="L506" s="324"/>
      <c r="M506" s="353"/>
    </row>
    <row r="507" spans="1:13" ht="14.1" customHeight="1" x14ac:dyDescent="0.25">
      <c r="A507" s="3">
        <v>45</v>
      </c>
      <c r="B507" s="351"/>
      <c r="C507" s="138"/>
      <c r="D507" s="323" t="str">
        <f>IF(LEN(Q397)&lt;=265,"",RIGHT(Q397,LEN(Q397)-SEARCH(" ",Q397,255)))</f>
        <v/>
      </c>
      <c r="E507" s="324"/>
      <c r="F507" s="324"/>
      <c r="G507" s="324"/>
      <c r="H507" s="324"/>
      <c r="I507" s="324"/>
      <c r="J507" s="324"/>
      <c r="K507" s="324"/>
      <c r="L507" s="324"/>
      <c r="M507" s="353"/>
    </row>
    <row r="508" spans="1:13" ht="14.1" customHeight="1" x14ac:dyDescent="0.25">
      <c r="A508" s="3">
        <v>46</v>
      </c>
      <c r="B508" s="351"/>
      <c r="C508" s="138"/>
      <c r="D508" s="321" t="str">
        <f>IF(Q399="","",IF(LEN(Q399)&lt;=135,Q399,IF(LEN(Q399)&lt;=260,LEFT(Q399,SEARCH(" ",Q399,125)),LEFT(Q399,SEARCH(" ",Q399,130)))))</f>
        <v/>
      </c>
      <c r="E508" s="322"/>
      <c r="F508" s="322"/>
      <c r="G508" s="322"/>
      <c r="H508" s="322"/>
      <c r="I508" s="322"/>
      <c r="J508" s="322"/>
      <c r="K508" s="322"/>
      <c r="L508" s="322"/>
      <c r="M508" s="353"/>
    </row>
    <row r="509" spans="1:13" ht="14.1" customHeight="1" x14ac:dyDescent="0.25">
      <c r="A509" s="3">
        <v>47</v>
      </c>
      <c r="B509" s="351"/>
      <c r="C509" s="138"/>
      <c r="D509" s="323" t="str">
        <f>IF(LEN(Q399)&lt;=135,"",IF(LEN(Q399)&lt;=260,RIGHT(Q399,LEN(Q399)-SEARCH(" ",Q399,125)),MID(Q399,SEARCH(" ",Q399,130),IF(LEN(Q399)&lt;=265,LEN(Q399),SEARCH(" ",Q399,255)-SEARCH(" ",Q399,130)))))</f>
        <v/>
      </c>
      <c r="E509" s="324"/>
      <c r="F509" s="324"/>
      <c r="G509" s="324"/>
      <c r="H509" s="324"/>
      <c r="I509" s="324"/>
      <c r="J509" s="324"/>
      <c r="K509" s="324"/>
      <c r="L509" s="324"/>
      <c r="M509" s="353"/>
    </row>
    <row r="510" spans="1:13" ht="14.1" customHeight="1" x14ac:dyDescent="0.25">
      <c r="A510" s="3">
        <v>48</v>
      </c>
      <c r="B510" s="351"/>
      <c r="C510" s="138"/>
      <c r="D510" s="323" t="str">
        <f>IF(LEN(Q399)&lt;=265,"",RIGHT(Q399,LEN(Q399)-SEARCH(" ",Q399,255)))</f>
        <v/>
      </c>
      <c r="E510" s="324"/>
      <c r="F510" s="324"/>
      <c r="G510" s="324"/>
      <c r="H510" s="324"/>
      <c r="I510" s="324"/>
      <c r="J510" s="324"/>
      <c r="K510" s="324"/>
      <c r="L510" s="324"/>
      <c r="M510" s="353"/>
    </row>
    <row r="511" spans="1:13" ht="14.1" customHeight="1" x14ac:dyDescent="0.25">
      <c r="A511" s="3">
        <v>49</v>
      </c>
      <c r="B511" s="351"/>
      <c r="C511" s="138"/>
      <c r="D511" s="321" t="str">
        <f>IF(Q401="","",IF(LEN(Q401)&lt;=135,Q401,IF(LEN(Q401)&lt;=260,LEFT(Q401,SEARCH(" ",Q401,125)),LEFT(Q401,SEARCH(" ",Q401,130)))))</f>
        <v/>
      </c>
      <c r="E511" s="322"/>
      <c r="F511" s="322"/>
      <c r="G511" s="322"/>
      <c r="H511" s="322"/>
      <c r="I511" s="322"/>
      <c r="J511" s="322"/>
      <c r="K511" s="322"/>
      <c r="L511" s="322"/>
      <c r="M511" s="353"/>
    </row>
    <row r="512" spans="1:13" ht="14.1" customHeight="1" x14ac:dyDescent="0.25">
      <c r="A512" s="3">
        <v>50</v>
      </c>
      <c r="B512" s="351"/>
      <c r="C512" s="138"/>
      <c r="D512" s="323" t="str">
        <f>IF(LEN(Q401)&lt;=135,"",IF(LEN(Q401)&lt;=260,RIGHT(Q401,LEN(Q401)-SEARCH(" ",Q401,125)),MID(Q401,SEARCH(" ",Q401,130),IF(LEN(Q401)&lt;=265,LEN(Q401),SEARCH(" ",Q401,255)-SEARCH(" ",Q401,130)))))</f>
        <v/>
      </c>
      <c r="E512" s="324"/>
      <c r="F512" s="324"/>
      <c r="G512" s="324"/>
      <c r="H512" s="324"/>
      <c r="I512" s="324"/>
      <c r="J512" s="324"/>
      <c r="K512" s="324"/>
      <c r="L512" s="324"/>
      <c r="M512" s="353"/>
    </row>
    <row r="513" spans="1:13" ht="14.1" customHeight="1" x14ac:dyDescent="0.25">
      <c r="A513" s="3">
        <v>51</v>
      </c>
      <c r="B513" s="351"/>
      <c r="C513" s="138"/>
      <c r="D513" s="323" t="str">
        <f>IF(LEN(Q401)&lt;=265,"",RIGHT(Q401,LEN(Q401)-SEARCH(" ",Q401,255)))</f>
        <v/>
      </c>
      <c r="E513" s="324"/>
      <c r="F513" s="324"/>
      <c r="G513" s="324"/>
      <c r="H513" s="324"/>
      <c r="I513" s="324"/>
      <c r="J513" s="324"/>
      <c r="K513" s="324"/>
      <c r="L513" s="324"/>
      <c r="M513" s="353"/>
    </row>
    <row r="514" spans="1:13" ht="14.1" customHeight="1" x14ac:dyDescent="0.25">
      <c r="A514" s="3">
        <v>52</v>
      </c>
      <c r="B514" s="351"/>
      <c r="C514" s="138"/>
      <c r="D514" s="321" t="str">
        <f>IF(Q403="","",IF(LEN(Q403)&lt;=135,Q403,IF(LEN(Q403)&lt;=260,LEFT(Q403,SEARCH(" ",Q403,125)),LEFT(Q403,SEARCH(" ",Q403,130)))))</f>
        <v/>
      </c>
      <c r="E514" s="322"/>
      <c r="F514" s="322"/>
      <c r="G514" s="322"/>
      <c r="H514" s="322"/>
      <c r="I514" s="322"/>
      <c r="J514" s="322"/>
      <c r="K514" s="322"/>
      <c r="L514" s="322"/>
      <c r="M514" s="353"/>
    </row>
    <row r="515" spans="1:13" ht="14.1" customHeight="1" x14ac:dyDescent="0.25">
      <c r="A515" s="3">
        <v>53</v>
      </c>
      <c r="B515" s="351"/>
      <c r="C515" s="138"/>
      <c r="D515" s="323" t="str">
        <f>IF(LEN(Q403)&lt;=135,"",IF(LEN(Q403)&lt;=260,RIGHT(Q403,LEN(Q403)-SEARCH(" ",Q403,125)),MID(Q403,SEARCH(" ",Q403,130),IF(LEN(Q403)&lt;=265,LEN(Q403),SEARCH(" ",Q403,255)-SEARCH(" ",Q403,130)))))</f>
        <v/>
      </c>
      <c r="E515" s="324"/>
      <c r="F515" s="324"/>
      <c r="G515" s="324"/>
      <c r="H515" s="324"/>
      <c r="I515" s="324"/>
      <c r="J515" s="324"/>
      <c r="K515" s="324"/>
      <c r="L515" s="324"/>
      <c r="M515" s="353"/>
    </row>
    <row r="516" spans="1:13" ht="14.1" customHeight="1" x14ac:dyDescent="0.25">
      <c r="A516" s="3">
        <v>54</v>
      </c>
      <c r="B516" s="351"/>
      <c r="C516" s="138"/>
      <c r="D516" s="323" t="str">
        <f>IF(LEN(Q403)&lt;=265,"",RIGHT(Q403,LEN(Q403)-SEARCH(" ",Q403,255)))</f>
        <v/>
      </c>
      <c r="E516" s="324"/>
      <c r="F516" s="324"/>
      <c r="G516" s="324"/>
      <c r="H516" s="324"/>
      <c r="I516" s="324"/>
      <c r="J516" s="324"/>
      <c r="K516" s="324"/>
      <c r="L516" s="324"/>
      <c r="M516" s="353"/>
    </row>
    <row r="517" spans="1:13" ht="14.1" customHeight="1" x14ac:dyDescent="0.25">
      <c r="A517" s="3">
        <v>55</v>
      </c>
      <c r="B517" s="351"/>
      <c r="C517" s="138"/>
      <c r="D517" s="321" t="str">
        <f>IF(Q405="","",IF(LEN(Q405)&lt;=135,Q405,IF(LEN(Q405)&lt;=260,LEFT(Q405,SEARCH(" ",Q405,125)),LEFT(Q405,SEARCH(" ",Q405,130)))))</f>
        <v/>
      </c>
      <c r="E517" s="322"/>
      <c r="F517" s="322"/>
      <c r="G517" s="322"/>
      <c r="H517" s="322"/>
      <c r="I517" s="322"/>
      <c r="J517" s="322"/>
      <c r="K517" s="322"/>
      <c r="L517" s="322"/>
      <c r="M517" s="353"/>
    </row>
    <row r="518" spans="1:13" ht="14.1" customHeight="1" x14ac:dyDescent="0.25">
      <c r="A518" s="3">
        <v>56</v>
      </c>
      <c r="B518" s="351"/>
      <c r="C518" s="138"/>
      <c r="D518" s="323" t="str">
        <f>IF(LEN(Q405)&lt;=135,"",IF(LEN(Q405)&lt;=260,RIGHT(Q405,LEN(Q405)-SEARCH(" ",Q405,125)),MID(Q405,SEARCH(" ",Q405,130),IF(LEN(Q405)&lt;=265,LEN(Q405),SEARCH(" ",Q405,255)-SEARCH(" ",Q405,130)))))</f>
        <v/>
      </c>
      <c r="E518" s="324"/>
      <c r="F518" s="324"/>
      <c r="G518" s="324"/>
      <c r="H518" s="324"/>
      <c r="I518" s="324"/>
      <c r="J518" s="324"/>
      <c r="K518" s="324"/>
      <c r="L518" s="324"/>
      <c r="M518" s="353"/>
    </row>
    <row r="519" spans="1:13" ht="14.1" customHeight="1" x14ac:dyDescent="0.25">
      <c r="A519" s="3">
        <v>57</v>
      </c>
      <c r="B519" s="351"/>
      <c r="C519" s="138"/>
      <c r="D519" s="323" t="str">
        <f>IF(LEN(Q405)&lt;=265,"",RIGHT(Q405,LEN(Q405)-SEARCH(" ",Q405,255)))</f>
        <v/>
      </c>
      <c r="E519" s="324"/>
      <c r="F519" s="324"/>
      <c r="G519" s="324"/>
      <c r="H519" s="324"/>
      <c r="I519" s="324"/>
      <c r="J519" s="324"/>
      <c r="K519" s="324"/>
      <c r="L519" s="324"/>
      <c r="M519" s="353"/>
    </row>
    <row r="520" spans="1:13" ht="14.1" customHeight="1" x14ac:dyDescent="0.25">
      <c r="A520" s="3">
        <v>58</v>
      </c>
      <c r="B520" s="351"/>
      <c r="C520" s="138"/>
      <c r="D520" s="321" t="str">
        <f>IF(Q407="","",IF(LEN(Q407)&lt;=135,Q407,IF(LEN(Q407)&lt;=260,LEFT(Q407,SEARCH(" ",Q407,125)),LEFT(Q407,SEARCH(" ",Q407,130)))))</f>
        <v/>
      </c>
      <c r="E520" s="322"/>
      <c r="F520" s="322"/>
      <c r="G520" s="322"/>
      <c r="H520" s="322"/>
      <c r="I520" s="322"/>
      <c r="J520" s="322"/>
      <c r="K520" s="322"/>
      <c r="L520" s="322"/>
      <c r="M520" s="353"/>
    </row>
    <row r="521" spans="1:13" ht="14.1" customHeight="1" x14ac:dyDescent="0.25">
      <c r="A521" s="3">
        <v>59</v>
      </c>
      <c r="B521" s="351"/>
      <c r="C521" s="138"/>
      <c r="D521" s="323" t="str">
        <f>IF(LEN(Q407)&lt;=135,"",IF(LEN(Q407)&lt;=260,RIGHT(Q407,LEN(Q407)-SEARCH(" ",Q407,125)),MID(Q407,SEARCH(" ",Q407,130),IF(LEN(Q407)&lt;=265,LEN(Q407),SEARCH(" ",Q407,255)-SEARCH(" ",Q407,130)))))</f>
        <v/>
      </c>
      <c r="E521" s="324"/>
      <c r="F521" s="324"/>
      <c r="G521" s="324"/>
      <c r="H521" s="324"/>
      <c r="I521" s="324"/>
      <c r="J521" s="324"/>
      <c r="K521" s="324"/>
      <c r="L521" s="324"/>
      <c r="M521" s="353"/>
    </row>
    <row r="522" spans="1:13" ht="14.1" customHeight="1" x14ac:dyDescent="0.25">
      <c r="A522" s="3">
        <v>60</v>
      </c>
      <c r="B522" s="351"/>
      <c r="C522" s="138"/>
      <c r="D522" s="323" t="str">
        <f>IF(LEN(Q407)&lt;=265,"",RIGHT(Q407,LEN(Q407)-SEARCH(" ",Q407,255)))</f>
        <v/>
      </c>
      <c r="E522" s="324"/>
      <c r="F522" s="324"/>
      <c r="G522" s="324"/>
      <c r="H522" s="324"/>
      <c r="I522" s="324"/>
      <c r="J522" s="324"/>
      <c r="K522" s="324"/>
      <c r="L522" s="324"/>
      <c r="M522" s="353"/>
    </row>
    <row r="523" spans="1:13" ht="14.1" customHeight="1" x14ac:dyDescent="0.25">
      <c r="A523" s="3">
        <v>61</v>
      </c>
      <c r="B523" s="351"/>
      <c r="C523" s="138"/>
      <c r="D523" s="138"/>
      <c r="E523" s="138"/>
      <c r="F523" s="138"/>
      <c r="G523" s="138"/>
      <c r="H523" s="138"/>
      <c r="I523" s="138"/>
      <c r="J523" s="138"/>
      <c r="K523" s="138"/>
      <c r="L523" s="138"/>
      <c r="M523" s="353"/>
    </row>
    <row r="524" spans="1:13" ht="14.1" customHeight="1" x14ac:dyDescent="0.25">
      <c r="A524" s="3">
        <v>62</v>
      </c>
      <c r="B524" s="351"/>
      <c r="C524" s="138"/>
      <c r="D524" s="138"/>
      <c r="E524" s="138"/>
      <c r="F524" s="138"/>
      <c r="G524" s="138"/>
      <c r="H524" s="138"/>
      <c r="I524" s="138"/>
      <c r="J524" s="138"/>
      <c r="K524" s="138"/>
      <c r="L524" s="138"/>
      <c r="M524" s="353"/>
    </row>
    <row r="525" spans="1:13" ht="14.1" customHeight="1" x14ac:dyDescent="0.25">
      <c r="A525" s="3">
        <v>63</v>
      </c>
      <c r="B525" s="351"/>
      <c r="C525" s="138"/>
      <c r="D525" s="138"/>
      <c r="E525" s="138"/>
      <c r="F525" s="138"/>
      <c r="G525" s="138"/>
      <c r="H525" s="138"/>
      <c r="I525" s="138"/>
      <c r="J525" s="138"/>
      <c r="K525" s="138"/>
      <c r="L525" s="138"/>
      <c r="M525" s="353"/>
    </row>
    <row r="526" spans="1:13" ht="14.1" customHeight="1" x14ac:dyDescent="0.25">
      <c r="A526" s="3">
        <v>64</v>
      </c>
      <c r="B526" s="354"/>
      <c r="C526" s="355"/>
      <c r="D526" s="355"/>
      <c r="E526" s="355"/>
      <c r="F526" s="355"/>
      <c r="G526" s="355"/>
      <c r="H526" s="355"/>
      <c r="I526" s="355"/>
      <c r="J526" s="355"/>
      <c r="K526" s="355"/>
      <c r="L526" s="355"/>
      <c r="M526" s="356"/>
    </row>
    <row r="527" spans="1:13" ht="14.1" customHeight="1" x14ac:dyDescent="0.25">
      <c r="A527" s="3">
        <v>65</v>
      </c>
      <c r="C527" s="2" t="s">
        <v>10</v>
      </c>
      <c r="D527" s="68" t="str">
        <f>IF($P$7="","",$P$7)</f>
        <v/>
      </c>
      <c r="L527" s="2" t="s">
        <v>11</v>
      </c>
      <c r="M527" s="69" t="str">
        <f>IF($X$7="","",$X$7)</f>
        <v>Eugene Mah</v>
      </c>
    </row>
    <row r="528" spans="1:13" ht="14.1" customHeight="1" x14ac:dyDescent="0.25">
      <c r="A528" s="3">
        <v>66</v>
      </c>
      <c r="C528" s="2" t="s">
        <v>79</v>
      </c>
      <c r="D528" s="70" t="str">
        <f>IF($R$14="","",$R$14&amp;" Tube "&amp;$W$48)</f>
        <v/>
      </c>
      <c r="L528" s="2" t="s">
        <v>25</v>
      </c>
      <c r="M528" s="71" t="str">
        <f>IF($R$13="","",$R$13)</f>
        <v/>
      </c>
    </row>
    <row r="529" spans="1:13" ht="14.1" customHeight="1" x14ac:dyDescent="0.25">
      <c r="A529" s="3">
        <v>1</v>
      </c>
      <c r="M529" s="72" t="str">
        <f>$H$2</f>
        <v>Medical University of South Carolina</v>
      </c>
    </row>
    <row r="530" spans="1:13" ht="14.1" customHeight="1" x14ac:dyDescent="0.25">
      <c r="A530" s="3">
        <v>2</v>
      </c>
      <c r="H530" s="52" t="s">
        <v>402</v>
      </c>
      <c r="M530" s="25" t="str">
        <f>$H$5</f>
        <v>Fluoroscopy System Compliance Inspection</v>
      </c>
    </row>
    <row r="531" spans="1:13" ht="14.1" customHeight="1" x14ac:dyDescent="0.25">
      <c r="A531" s="3">
        <v>3</v>
      </c>
      <c r="B531" s="348"/>
      <c r="C531" s="349"/>
      <c r="D531" s="349"/>
      <c r="E531" s="349"/>
      <c r="F531" s="349"/>
      <c r="G531" s="349"/>
      <c r="H531" s="349"/>
      <c r="I531" s="349"/>
      <c r="J531" s="349"/>
      <c r="K531" s="349"/>
      <c r="L531" s="349"/>
      <c r="M531" s="350"/>
    </row>
    <row r="532" spans="1:13" ht="14.1" customHeight="1" x14ac:dyDescent="0.25">
      <c r="A532" s="3">
        <v>4</v>
      </c>
      <c r="B532" s="351"/>
      <c r="C532" s="138"/>
      <c r="D532" s="574" t="str">
        <f>IF(Q413="","",IF(LEN(Q413)&lt;=135,Q413,IF(LEN(Q413)&lt;=260,LEFT(Q413,SEARCH(" ",Q413,125)),LEFT(Q413,SEARCH(" ",Q413,130)))))</f>
        <v/>
      </c>
      <c r="E532" s="575"/>
      <c r="F532" s="575"/>
      <c r="G532" s="575"/>
      <c r="H532" s="575"/>
      <c r="I532" s="575"/>
      <c r="J532" s="575"/>
      <c r="K532" s="575"/>
      <c r="L532" s="575"/>
      <c r="M532" s="353"/>
    </row>
    <row r="533" spans="1:13" ht="14.1" customHeight="1" x14ac:dyDescent="0.25">
      <c r="A533" s="3">
        <v>5</v>
      </c>
      <c r="B533" s="351"/>
      <c r="C533" s="138"/>
      <c r="D533" s="576" t="str">
        <f>IF(LEN(Q413)&lt;=135,"",IF(LEN(Q413)&lt;=260,RIGHT(Q413,LEN(Q413)-SEARCH(" ",Q413,125)),MID(Q413,SEARCH(" ",Q413,130),IF(LEN(Q413)&lt;=265,LEN(Q413),SEARCH(" ",Q413,255)-SEARCH(" ",Q413,130)))))</f>
        <v/>
      </c>
      <c r="E533" s="577"/>
      <c r="F533" s="577"/>
      <c r="G533" s="577"/>
      <c r="H533" s="577"/>
      <c r="I533" s="577"/>
      <c r="J533" s="577"/>
      <c r="K533" s="577"/>
      <c r="L533" s="577"/>
      <c r="M533" s="353"/>
    </row>
    <row r="534" spans="1:13" ht="14.1" customHeight="1" x14ac:dyDescent="0.25">
      <c r="A534" s="3">
        <v>6</v>
      </c>
      <c r="B534" s="351"/>
      <c r="C534" s="138"/>
      <c r="D534" s="576" t="str">
        <f>IF(LEN(Q413)&lt;=265,"",RIGHT(Q413,LEN(Q413)-SEARCH(" ",Q413,255)))</f>
        <v/>
      </c>
      <c r="E534" s="577"/>
      <c r="F534" s="577"/>
      <c r="G534" s="577"/>
      <c r="H534" s="577"/>
      <c r="I534" s="577"/>
      <c r="J534" s="577"/>
      <c r="K534" s="577"/>
      <c r="L534" s="577"/>
      <c r="M534" s="353"/>
    </row>
    <row r="535" spans="1:13" ht="14.1" customHeight="1" x14ac:dyDescent="0.25">
      <c r="A535" s="3">
        <v>7</v>
      </c>
      <c r="B535" s="351"/>
      <c r="C535" s="138"/>
      <c r="D535" s="576" t="str">
        <f>IF(Q415="","",IF(LEN(Q415)&lt;=135,Q415,IF(LEN(Q415)&lt;=260,LEFT(Q415,SEARCH(" ",Q415,125)),LEFT(Q415,SEARCH(" ",Q415,130)))))</f>
        <v/>
      </c>
      <c r="E535" s="577"/>
      <c r="F535" s="577"/>
      <c r="G535" s="577"/>
      <c r="H535" s="577"/>
      <c r="I535" s="577"/>
      <c r="J535" s="577"/>
      <c r="K535" s="577"/>
      <c r="L535" s="577"/>
      <c r="M535" s="353"/>
    </row>
    <row r="536" spans="1:13" ht="14.1" customHeight="1" x14ac:dyDescent="0.25">
      <c r="A536" s="3">
        <v>8</v>
      </c>
      <c r="B536" s="351"/>
      <c r="C536" s="138"/>
      <c r="D536" s="576" t="str">
        <f>IF(LEN(Q415)&lt;=135,"",IF(LEN(Q415)&lt;=260,RIGHT(Q415,LEN(Q415)-SEARCH(" ",Q415,125)),MID(Q415,SEARCH(" ",Q415,130),IF(LEN(Q415)&lt;=265,LEN(Q415),SEARCH(" ",Q415,255)-SEARCH(" ",Q415,130)))))</f>
        <v/>
      </c>
      <c r="E536" s="577"/>
      <c r="F536" s="577"/>
      <c r="G536" s="577"/>
      <c r="H536" s="577"/>
      <c r="I536" s="577"/>
      <c r="J536" s="577"/>
      <c r="K536" s="577"/>
      <c r="L536" s="577"/>
      <c r="M536" s="353"/>
    </row>
    <row r="537" spans="1:13" ht="14.1" customHeight="1" x14ac:dyDescent="0.25">
      <c r="A537" s="3">
        <v>9</v>
      </c>
      <c r="B537" s="351"/>
      <c r="C537" s="138"/>
      <c r="D537" s="576" t="str">
        <f>IF(LEN(Q415)&lt;=265,"",RIGHT(Q415,LEN(Q415)-SEARCH(" ",Q415,255)))</f>
        <v/>
      </c>
      <c r="E537" s="577"/>
      <c r="F537" s="577"/>
      <c r="G537" s="577"/>
      <c r="H537" s="577"/>
      <c r="I537" s="577"/>
      <c r="J537" s="577"/>
      <c r="K537" s="577"/>
      <c r="L537" s="577"/>
      <c r="M537" s="353"/>
    </row>
    <row r="538" spans="1:13" ht="14.1" customHeight="1" x14ac:dyDescent="0.25">
      <c r="A538" s="3">
        <v>10</v>
      </c>
      <c r="B538" s="351"/>
      <c r="C538" s="138"/>
      <c r="D538" s="576" t="str">
        <f>IF(Q417="","",IF(LEN(Q417)&lt;=135,Q417,IF(LEN(Q417)&lt;=260,LEFT(Q417,SEARCH(" ",Q417,125)),LEFT(Q417,SEARCH(" ",Q417,130)))))</f>
        <v/>
      </c>
      <c r="E538" s="577"/>
      <c r="F538" s="577"/>
      <c r="G538" s="577"/>
      <c r="H538" s="577"/>
      <c r="I538" s="577"/>
      <c r="J538" s="577"/>
      <c r="K538" s="577"/>
      <c r="L538" s="577"/>
      <c r="M538" s="353"/>
    </row>
    <row r="539" spans="1:13" ht="14.1" customHeight="1" x14ac:dyDescent="0.25">
      <c r="A539" s="3">
        <v>11</v>
      </c>
      <c r="B539" s="351"/>
      <c r="C539" s="138"/>
      <c r="D539" s="576" t="str">
        <f>IF(LEN(Q417)&lt;=135,"",IF(LEN(Q417)&lt;=260,RIGHT(Q417,LEN(Q417)-SEARCH(" ",Q417,125)),MID(Q417,SEARCH(" ",Q417,130),IF(LEN(Q417)&lt;=265,LEN(Q417),SEARCH(" ",Q417,255)-SEARCH(" ",Q417,130)))))</f>
        <v/>
      </c>
      <c r="E539" s="577"/>
      <c r="F539" s="577"/>
      <c r="G539" s="577"/>
      <c r="H539" s="577"/>
      <c r="I539" s="577"/>
      <c r="J539" s="577"/>
      <c r="K539" s="577"/>
      <c r="L539" s="577"/>
      <c r="M539" s="353"/>
    </row>
    <row r="540" spans="1:13" ht="14.1" customHeight="1" x14ac:dyDescent="0.25">
      <c r="A540" s="3">
        <v>12</v>
      </c>
      <c r="B540" s="351"/>
      <c r="C540" s="138"/>
      <c r="D540" s="576" t="str">
        <f>IF(LEN(Q417)&lt;=265,"",RIGHT(Q417,LEN(Q417)-SEARCH(" ",Q417,255)))</f>
        <v/>
      </c>
      <c r="E540" s="577"/>
      <c r="F540" s="577"/>
      <c r="G540" s="577"/>
      <c r="H540" s="577"/>
      <c r="I540" s="577"/>
      <c r="J540" s="577"/>
      <c r="K540" s="577"/>
      <c r="L540" s="577"/>
      <c r="M540" s="353"/>
    </row>
    <row r="541" spans="1:13" ht="14.1" customHeight="1" x14ac:dyDescent="0.25">
      <c r="A541" s="3">
        <v>13</v>
      </c>
      <c r="B541" s="351"/>
      <c r="C541" s="138"/>
      <c r="D541" s="576" t="str">
        <f>IF(Q419="","",IF(LEN(Q419)&lt;=135,Q419,IF(LEN(Q419)&lt;=260,LEFT(Q419,SEARCH(" ",Q419,125)),LEFT(Q419,SEARCH(" ",Q419,130)))))</f>
        <v/>
      </c>
      <c r="E541" s="577"/>
      <c r="F541" s="577"/>
      <c r="G541" s="577"/>
      <c r="H541" s="577"/>
      <c r="I541" s="577"/>
      <c r="J541" s="577"/>
      <c r="K541" s="577"/>
      <c r="L541" s="577"/>
      <c r="M541" s="353"/>
    </row>
    <row r="542" spans="1:13" ht="14.1" customHeight="1" x14ac:dyDescent="0.25">
      <c r="A542" s="3">
        <v>14</v>
      </c>
      <c r="B542" s="351"/>
      <c r="C542" s="138"/>
      <c r="D542" s="576" t="str">
        <f>IF(LEN(Q419)&lt;=135,"",IF(LEN(Q419)&lt;=260,RIGHT(Q419,LEN(Q419)-SEARCH(" ",Q419,125)),MID(Q419,SEARCH(" ",Q419,130),IF(LEN(Q419)&lt;=265,LEN(Q419),SEARCH(" ",Q419,255)-SEARCH(" ",Q419,130)))))</f>
        <v/>
      </c>
      <c r="E542" s="577"/>
      <c r="F542" s="577"/>
      <c r="G542" s="577"/>
      <c r="H542" s="577"/>
      <c r="I542" s="577"/>
      <c r="J542" s="577"/>
      <c r="K542" s="577"/>
      <c r="L542" s="577"/>
      <c r="M542" s="353"/>
    </row>
    <row r="543" spans="1:13" ht="14.1" customHeight="1" x14ac:dyDescent="0.25">
      <c r="A543" s="3">
        <v>15</v>
      </c>
      <c r="B543" s="351"/>
      <c r="C543" s="138"/>
      <c r="D543" s="576" t="str">
        <f>IF(LEN(Q419)&lt;=265,"",RIGHT(Q419,LEN(Q419)-SEARCH(" ",Q419,255)))</f>
        <v/>
      </c>
      <c r="E543" s="577"/>
      <c r="F543" s="577"/>
      <c r="G543" s="577"/>
      <c r="H543" s="577"/>
      <c r="I543" s="577"/>
      <c r="J543" s="577"/>
      <c r="K543" s="577"/>
      <c r="L543" s="577"/>
      <c r="M543" s="353"/>
    </row>
    <row r="544" spans="1:13" ht="14.1" customHeight="1" x14ac:dyDescent="0.25">
      <c r="A544" s="3">
        <v>16</v>
      </c>
      <c r="B544" s="351"/>
      <c r="C544" s="138"/>
      <c r="D544" s="576" t="str">
        <f>IF(Q421="","",IF(LEN(Q421)&lt;=135,Q421,IF(LEN(Q421)&lt;=260,LEFT(Q421,SEARCH(" ",Q421,125)),LEFT(Q421,SEARCH(" ",Q421,130)))))</f>
        <v/>
      </c>
      <c r="E544" s="577"/>
      <c r="F544" s="577"/>
      <c r="G544" s="577"/>
      <c r="H544" s="577"/>
      <c r="I544" s="577"/>
      <c r="J544" s="577"/>
      <c r="K544" s="577"/>
      <c r="L544" s="577"/>
      <c r="M544" s="353"/>
    </row>
    <row r="545" spans="1:13" ht="14.1" customHeight="1" x14ac:dyDescent="0.25">
      <c r="A545" s="3">
        <v>17</v>
      </c>
      <c r="B545" s="351"/>
      <c r="C545" s="138"/>
      <c r="D545" s="576" t="str">
        <f>IF(LEN(Q421)&lt;=135,"",IF(LEN(Q421)&lt;=260,RIGHT(Q421,LEN(Q421)-SEARCH(" ",Q421,125)),MID(Q421,SEARCH(" ",Q421,130),IF(LEN(Q421)&lt;=265,LEN(Q421),SEARCH(" ",Q421,255)-SEARCH(" ",Q421,130)))))</f>
        <v/>
      </c>
      <c r="E545" s="577"/>
      <c r="F545" s="577"/>
      <c r="G545" s="577"/>
      <c r="H545" s="577"/>
      <c r="I545" s="577"/>
      <c r="J545" s="577"/>
      <c r="K545" s="577"/>
      <c r="L545" s="577"/>
      <c r="M545" s="353"/>
    </row>
    <row r="546" spans="1:13" ht="14.1" customHeight="1" x14ac:dyDescent="0.25">
      <c r="A546" s="3">
        <v>18</v>
      </c>
      <c r="B546" s="351"/>
      <c r="C546" s="138"/>
      <c r="D546" s="576" t="str">
        <f>IF(LEN(Q421)&lt;=265,"",RIGHT(Q421,LEN(Q421)-SEARCH(" ",Q421,255)))</f>
        <v/>
      </c>
      <c r="E546" s="577"/>
      <c r="F546" s="577"/>
      <c r="G546" s="577"/>
      <c r="H546" s="577"/>
      <c r="I546" s="577"/>
      <c r="J546" s="577"/>
      <c r="K546" s="577"/>
      <c r="L546" s="577"/>
      <c r="M546" s="353"/>
    </row>
    <row r="547" spans="1:13" ht="14.1" customHeight="1" x14ac:dyDescent="0.25">
      <c r="A547" s="3">
        <v>19</v>
      </c>
      <c r="B547" s="351"/>
      <c r="C547" s="138"/>
      <c r="D547" s="576" t="str">
        <f>IF(Q423="","",IF(LEN(Q423)&lt;=135,Q423,IF(LEN(Q423)&lt;=260,LEFT(Q423,SEARCH(" ",Q423,125)),LEFT(Q423,SEARCH(" ",Q423,130)))))</f>
        <v/>
      </c>
      <c r="E547" s="577"/>
      <c r="F547" s="577"/>
      <c r="G547" s="577"/>
      <c r="H547" s="577"/>
      <c r="I547" s="577"/>
      <c r="J547" s="577"/>
      <c r="K547" s="577"/>
      <c r="L547" s="577"/>
      <c r="M547" s="353"/>
    </row>
    <row r="548" spans="1:13" ht="14.1" customHeight="1" x14ac:dyDescent="0.25">
      <c r="A548" s="3">
        <v>20</v>
      </c>
      <c r="B548" s="351"/>
      <c r="C548" s="138"/>
      <c r="D548" s="576" t="str">
        <f>IF(LEN(Q423)&lt;=135,"",IF(LEN(Q423)&lt;=260,RIGHT(Q423,LEN(Q423)-SEARCH(" ",Q423,125)),MID(Q423,SEARCH(" ",Q423,130),IF(LEN(Q423)&lt;=265,LEN(Q423),SEARCH(" ",Q423,255)-SEARCH(" ",Q423,130)))))</f>
        <v/>
      </c>
      <c r="E548" s="577"/>
      <c r="F548" s="577"/>
      <c r="G548" s="577"/>
      <c r="H548" s="577"/>
      <c r="I548" s="577"/>
      <c r="J548" s="577"/>
      <c r="K548" s="577"/>
      <c r="L548" s="577"/>
      <c r="M548" s="353"/>
    </row>
    <row r="549" spans="1:13" ht="14.1" customHeight="1" x14ac:dyDescent="0.25">
      <c r="A549" s="3">
        <v>21</v>
      </c>
      <c r="B549" s="351"/>
      <c r="C549" s="138"/>
      <c r="D549" s="576" t="str">
        <f>IF(LEN(Q423)&lt;=265,"",RIGHT(Q423,LEN(Q423)-SEARCH(" ",Q423,255)))</f>
        <v/>
      </c>
      <c r="E549" s="577"/>
      <c r="F549" s="577"/>
      <c r="G549" s="577"/>
      <c r="H549" s="577"/>
      <c r="I549" s="577"/>
      <c r="J549" s="577"/>
      <c r="K549" s="577"/>
      <c r="L549" s="577"/>
      <c r="M549" s="353"/>
    </row>
    <row r="550" spans="1:13" ht="14.1" customHeight="1" x14ac:dyDescent="0.25">
      <c r="A550" s="3">
        <v>22</v>
      </c>
      <c r="B550" s="351"/>
      <c r="C550" s="138"/>
      <c r="D550" s="576" t="str">
        <f>IF(Q425="","",IF(LEN(Q425)&lt;=135,Q425,IF(LEN(Q425)&lt;=260,LEFT(Q425,SEARCH(" ",Q425,125)),LEFT(Q425,SEARCH(" ",Q425,130)))))</f>
        <v/>
      </c>
      <c r="E550" s="577"/>
      <c r="F550" s="577"/>
      <c r="G550" s="577"/>
      <c r="H550" s="577"/>
      <c r="I550" s="577"/>
      <c r="J550" s="577"/>
      <c r="K550" s="577"/>
      <c r="L550" s="577"/>
      <c r="M550" s="353"/>
    </row>
    <row r="551" spans="1:13" ht="14.1" customHeight="1" x14ac:dyDescent="0.25">
      <c r="A551" s="3">
        <v>23</v>
      </c>
      <c r="B551" s="351"/>
      <c r="C551" s="138"/>
      <c r="D551" s="576" t="str">
        <f>IF(LEN(Q425)&lt;=135,"",IF(LEN(Q425)&lt;=260,RIGHT(Q425,LEN(Q425)-SEARCH(" ",Q425,125)),MID(Q425,SEARCH(" ",Q425,130),IF(LEN(Q425)&lt;=265,LEN(Q425),SEARCH(" ",Q425,255)-SEARCH(" ",Q425,130)))))</f>
        <v/>
      </c>
      <c r="E551" s="577"/>
      <c r="F551" s="577"/>
      <c r="G551" s="577"/>
      <c r="H551" s="577"/>
      <c r="I551" s="577"/>
      <c r="J551" s="577"/>
      <c r="K551" s="577"/>
      <c r="L551" s="577"/>
      <c r="M551" s="353"/>
    </row>
    <row r="552" spans="1:13" ht="14.1" customHeight="1" x14ac:dyDescent="0.25">
      <c r="A552" s="3">
        <v>24</v>
      </c>
      <c r="B552" s="351"/>
      <c r="C552" s="138"/>
      <c r="D552" s="576" t="str">
        <f>IF(LEN(Q425)&lt;=265,"",RIGHT(Q425,LEN(Q425)-SEARCH(" ",Q425,255)))</f>
        <v/>
      </c>
      <c r="E552" s="577"/>
      <c r="F552" s="577"/>
      <c r="G552" s="577"/>
      <c r="H552" s="577"/>
      <c r="I552" s="577"/>
      <c r="J552" s="577"/>
      <c r="K552" s="577"/>
      <c r="L552" s="577"/>
      <c r="M552" s="353"/>
    </row>
    <row r="553" spans="1:13" ht="14.1" customHeight="1" x14ac:dyDescent="0.25">
      <c r="A553" s="3">
        <v>25</v>
      </c>
      <c r="B553" s="351"/>
      <c r="C553" s="138"/>
      <c r="D553" s="576" t="str">
        <f>IF(Q427="","",IF(LEN(Q427)&lt;=135,Q427,IF(LEN(Q427)&lt;=260,LEFT(Q427,SEARCH(" ",Q427,125)),LEFT(Q427,SEARCH(" ",Q427,130)))))</f>
        <v/>
      </c>
      <c r="E553" s="577"/>
      <c r="F553" s="577"/>
      <c r="G553" s="577"/>
      <c r="H553" s="577"/>
      <c r="I553" s="577"/>
      <c r="J553" s="577"/>
      <c r="K553" s="577"/>
      <c r="L553" s="577"/>
      <c r="M553" s="353"/>
    </row>
    <row r="554" spans="1:13" ht="14.1" customHeight="1" x14ac:dyDescent="0.25">
      <c r="A554" s="3">
        <v>26</v>
      </c>
      <c r="B554" s="351"/>
      <c r="C554" s="138"/>
      <c r="D554" s="576" t="str">
        <f>IF(LEN(Q427)&lt;=135,"",IF(LEN(Q427)&lt;=260,RIGHT(Q427,LEN(Q427)-SEARCH(" ",Q427,125)),MID(Q427,SEARCH(" ",Q427,130),IF(LEN(Q427)&lt;=265,LEN(Q427),SEARCH(" ",Q427,255)-SEARCH(" ",Q427,130)))))</f>
        <v/>
      </c>
      <c r="E554" s="577"/>
      <c r="F554" s="577"/>
      <c r="G554" s="577"/>
      <c r="H554" s="577"/>
      <c r="I554" s="577"/>
      <c r="J554" s="577"/>
      <c r="K554" s="577"/>
      <c r="L554" s="577"/>
      <c r="M554" s="353"/>
    </row>
    <row r="555" spans="1:13" ht="14.1" customHeight="1" x14ac:dyDescent="0.25">
      <c r="A555" s="3">
        <v>27</v>
      </c>
      <c r="B555" s="351"/>
      <c r="C555" s="138"/>
      <c r="D555" s="576" t="str">
        <f>IF(LEN(Q427)&lt;=265,"",RIGHT(Q427,LEN(Q427)-SEARCH(" ",Q427,255)))</f>
        <v/>
      </c>
      <c r="E555" s="577"/>
      <c r="F555" s="577"/>
      <c r="G555" s="577"/>
      <c r="H555" s="577"/>
      <c r="I555" s="577"/>
      <c r="J555" s="577"/>
      <c r="K555" s="577"/>
      <c r="L555" s="577"/>
      <c r="M555" s="353"/>
    </row>
    <row r="556" spans="1:13" ht="14.1" customHeight="1" x14ac:dyDescent="0.25">
      <c r="A556" s="3">
        <v>28</v>
      </c>
      <c r="B556" s="351"/>
      <c r="C556" s="138"/>
      <c r="D556" s="576" t="str">
        <f>IF(Q429="","",IF(LEN(Q429)&lt;=135,Q429,IF(LEN(Q429)&lt;=260,LEFT(Q429,SEARCH(" ",Q429,125)),LEFT(Q429,SEARCH(" ",Q429,130)))))</f>
        <v/>
      </c>
      <c r="E556" s="577"/>
      <c r="F556" s="577"/>
      <c r="G556" s="577"/>
      <c r="H556" s="577"/>
      <c r="I556" s="577"/>
      <c r="J556" s="577"/>
      <c r="K556" s="577"/>
      <c r="L556" s="577"/>
      <c r="M556" s="353"/>
    </row>
    <row r="557" spans="1:13" ht="14.1" customHeight="1" x14ac:dyDescent="0.25">
      <c r="A557" s="3">
        <v>29</v>
      </c>
      <c r="B557" s="351"/>
      <c r="C557" s="138"/>
      <c r="D557" s="576" t="str">
        <f>IF(LEN(Q429)&lt;=135,"",IF(LEN(Q429)&lt;=260,RIGHT(Q429,LEN(Q429)-SEARCH(" ",Q429,125)),MID(Q429,SEARCH(" ",Q429,130),IF(LEN(Q429)&lt;=265,LEN(Q429),SEARCH(" ",Q429,255)-SEARCH(" ",Q429,130)))))</f>
        <v/>
      </c>
      <c r="E557" s="577"/>
      <c r="F557" s="577"/>
      <c r="G557" s="577"/>
      <c r="H557" s="577"/>
      <c r="I557" s="577"/>
      <c r="J557" s="577"/>
      <c r="K557" s="577"/>
      <c r="L557" s="577"/>
      <c r="M557" s="353"/>
    </row>
    <row r="558" spans="1:13" ht="14.1" customHeight="1" x14ac:dyDescent="0.25">
      <c r="A558" s="3">
        <v>30</v>
      </c>
      <c r="B558" s="351"/>
      <c r="C558" s="138"/>
      <c r="D558" s="576" t="str">
        <f>IF(LEN(Q429)&lt;=265,"",RIGHT(Q429,LEN(Q429)-SEARCH(" ",Q429,255)))</f>
        <v/>
      </c>
      <c r="E558" s="577"/>
      <c r="F558" s="577"/>
      <c r="G558" s="577"/>
      <c r="H558" s="577"/>
      <c r="I558" s="577"/>
      <c r="J558" s="577"/>
      <c r="K558" s="577"/>
      <c r="L558" s="577"/>
      <c r="M558" s="353"/>
    </row>
    <row r="559" spans="1:13" ht="14.1" customHeight="1" x14ac:dyDescent="0.25">
      <c r="A559" s="3">
        <v>31</v>
      </c>
      <c r="B559" s="351"/>
      <c r="C559" s="138"/>
      <c r="D559" s="576" t="str">
        <f>IF(Q431="","",IF(LEN(Q431)&lt;=135,Q431,IF(LEN(Q431)&lt;=260,LEFT(Q431,SEARCH(" ",Q431,125)),LEFT(Q431,SEARCH(" ",Q431,130)))))</f>
        <v/>
      </c>
      <c r="E559" s="577"/>
      <c r="F559" s="577"/>
      <c r="G559" s="577"/>
      <c r="H559" s="577"/>
      <c r="I559" s="577"/>
      <c r="J559" s="577"/>
      <c r="K559" s="577"/>
      <c r="L559" s="577"/>
      <c r="M559" s="353"/>
    </row>
    <row r="560" spans="1:13" ht="14.1" customHeight="1" x14ac:dyDescent="0.25">
      <c r="A560" s="3">
        <v>32</v>
      </c>
      <c r="B560" s="351"/>
      <c r="C560" s="138"/>
      <c r="D560" s="576" t="str">
        <f>IF(LEN(Q431)&lt;=135,"",IF(LEN(Q431)&lt;=260,RIGHT(Q431,LEN(Q431)-SEARCH(" ",Q431,125)),MID(Q431,SEARCH(" ",Q431,130),IF(LEN(Q431)&lt;=265,LEN(Q431),SEARCH(" ",Q431,255)-SEARCH(" ",Q431,130)))))</f>
        <v/>
      </c>
      <c r="E560" s="577"/>
      <c r="F560" s="577"/>
      <c r="G560" s="577"/>
      <c r="H560" s="577"/>
      <c r="I560" s="577"/>
      <c r="J560" s="577"/>
      <c r="K560" s="577"/>
      <c r="L560" s="577"/>
      <c r="M560" s="353"/>
    </row>
    <row r="561" spans="1:13" ht="14.1" customHeight="1" x14ac:dyDescent="0.25">
      <c r="A561" s="3">
        <v>33</v>
      </c>
      <c r="B561" s="351"/>
      <c r="C561" s="138"/>
      <c r="D561" s="576" t="str">
        <f>IF(LEN(Q431)&lt;=265,"",RIGHT(Q431,LEN(Q431)-SEARCH(" ",Q431,255)))</f>
        <v/>
      </c>
      <c r="E561" s="577"/>
      <c r="F561" s="577"/>
      <c r="G561" s="577"/>
      <c r="H561" s="577"/>
      <c r="I561" s="577"/>
      <c r="J561" s="577"/>
      <c r="K561" s="577"/>
      <c r="L561" s="577"/>
      <c r="M561" s="353"/>
    </row>
    <row r="562" spans="1:13" ht="14.1" customHeight="1" x14ac:dyDescent="0.25">
      <c r="A562" s="3">
        <v>34</v>
      </c>
      <c r="B562" s="351"/>
      <c r="C562" s="138"/>
      <c r="D562" s="576" t="str">
        <f>IF(Q433="","",IF(LEN(Q433)&lt;=135,Q433,IF(LEN(Q433)&lt;=260,LEFT(Q433,SEARCH(" ",Q433,125)),LEFT(Q433,SEARCH(" ",Q433,130)))))</f>
        <v/>
      </c>
      <c r="E562" s="577"/>
      <c r="F562" s="577"/>
      <c r="G562" s="577"/>
      <c r="H562" s="577"/>
      <c r="I562" s="577"/>
      <c r="J562" s="577"/>
      <c r="K562" s="577"/>
      <c r="L562" s="577"/>
      <c r="M562" s="353"/>
    </row>
    <row r="563" spans="1:13" ht="14.1" customHeight="1" x14ac:dyDescent="0.25">
      <c r="A563" s="3">
        <v>35</v>
      </c>
      <c r="B563" s="351"/>
      <c r="C563" s="138"/>
      <c r="D563" s="576" t="str">
        <f>IF(LEN(Q433)&lt;=135,"",IF(LEN(Q433)&lt;=260,RIGHT(Q433,LEN(Q433)-SEARCH(" ",Q433,125)),MID(Q433,SEARCH(" ",Q433,130),IF(LEN(Q433)&lt;=265,LEN(Q433),SEARCH(" ",Q433,255)-SEARCH(" ",Q433,130)))))</f>
        <v/>
      </c>
      <c r="E563" s="577"/>
      <c r="F563" s="577"/>
      <c r="G563" s="577"/>
      <c r="H563" s="577"/>
      <c r="I563" s="577"/>
      <c r="J563" s="577"/>
      <c r="K563" s="577"/>
      <c r="L563" s="577"/>
      <c r="M563" s="353"/>
    </row>
    <row r="564" spans="1:13" ht="14.1" customHeight="1" x14ac:dyDescent="0.25">
      <c r="A564" s="3">
        <v>36</v>
      </c>
      <c r="B564" s="351"/>
      <c r="C564" s="138"/>
      <c r="D564" s="576" t="str">
        <f>IF(LEN(Q433)&lt;=265,"",RIGHT(Q433,LEN(Q433)-SEARCH(" ",Q433,255)))</f>
        <v/>
      </c>
      <c r="E564" s="577"/>
      <c r="F564" s="577"/>
      <c r="G564" s="577"/>
      <c r="H564" s="577"/>
      <c r="I564" s="577"/>
      <c r="J564" s="577"/>
      <c r="K564" s="577"/>
      <c r="L564" s="577"/>
      <c r="M564" s="353"/>
    </row>
    <row r="565" spans="1:13" ht="14.1" customHeight="1" x14ac:dyDescent="0.25">
      <c r="A565" s="3">
        <v>37</v>
      </c>
      <c r="B565" s="351"/>
      <c r="C565" s="138"/>
      <c r="D565" s="576" t="str">
        <f>IF(Q435="","",IF(LEN(Q435)&lt;=135,Q435,IF(LEN(Q435)&lt;=260,LEFT(Q435,SEARCH(" ",Q435,125)),LEFT(Q435,SEARCH(" ",Q435,130)))))</f>
        <v/>
      </c>
      <c r="E565" s="577"/>
      <c r="F565" s="577"/>
      <c r="G565" s="577"/>
      <c r="H565" s="577"/>
      <c r="I565" s="577"/>
      <c r="J565" s="577"/>
      <c r="K565" s="577"/>
      <c r="L565" s="577"/>
      <c r="M565" s="353"/>
    </row>
    <row r="566" spans="1:13" ht="14.1" customHeight="1" x14ac:dyDescent="0.25">
      <c r="A566" s="3">
        <v>38</v>
      </c>
      <c r="B566" s="351"/>
      <c r="C566" s="138"/>
      <c r="D566" s="576" t="str">
        <f>IF(LEN(Q435)&lt;=135,"",IF(LEN(Q435)&lt;=260,RIGHT(Q435,LEN(Q435)-SEARCH(" ",Q435,125)),MID(Q435,SEARCH(" ",Q435,130),IF(LEN(Q435)&lt;=265,LEN(Q435),SEARCH(" ",Q435,255)-SEARCH(" ",Q435,130)))))</f>
        <v/>
      </c>
      <c r="E566" s="577"/>
      <c r="F566" s="577"/>
      <c r="G566" s="577"/>
      <c r="H566" s="577"/>
      <c r="I566" s="577"/>
      <c r="J566" s="577"/>
      <c r="K566" s="577"/>
      <c r="L566" s="577"/>
      <c r="M566" s="353"/>
    </row>
    <row r="567" spans="1:13" ht="14.1" customHeight="1" x14ac:dyDescent="0.25">
      <c r="A567" s="3">
        <v>39</v>
      </c>
      <c r="B567" s="351"/>
      <c r="C567" s="138"/>
      <c r="D567" s="576" t="str">
        <f>IF(LEN(Q435)&lt;=265,"",RIGHT(Q435,LEN(Q435)-SEARCH(" ",Q435,255)))</f>
        <v/>
      </c>
      <c r="E567" s="577"/>
      <c r="F567" s="577"/>
      <c r="G567" s="577"/>
      <c r="H567" s="577"/>
      <c r="I567" s="577"/>
      <c r="J567" s="577"/>
      <c r="K567" s="577"/>
      <c r="L567" s="577"/>
      <c r="M567" s="353"/>
    </row>
    <row r="568" spans="1:13" ht="14.1" customHeight="1" x14ac:dyDescent="0.25">
      <c r="A568" s="3">
        <v>40</v>
      </c>
      <c r="B568" s="351"/>
      <c r="C568" s="138"/>
      <c r="D568" s="576" t="str">
        <f>IF(Q437="","",IF(LEN(Q437)&lt;=135,Q437,IF(LEN(Q437)&lt;=260,LEFT(Q437,SEARCH(" ",Q437,125)),LEFT(Q437,SEARCH(" ",Q437,130)))))</f>
        <v/>
      </c>
      <c r="E568" s="577"/>
      <c r="F568" s="577"/>
      <c r="G568" s="577"/>
      <c r="H568" s="577"/>
      <c r="I568" s="577"/>
      <c r="J568" s="577"/>
      <c r="K568" s="577"/>
      <c r="L568" s="577"/>
      <c r="M568" s="353"/>
    </row>
    <row r="569" spans="1:13" ht="14.1" customHeight="1" x14ac:dyDescent="0.25">
      <c r="A569" s="3">
        <v>41</v>
      </c>
      <c r="B569" s="351"/>
      <c r="C569" s="138"/>
      <c r="D569" s="576" t="str">
        <f>IF(LEN(Q437)&lt;=135,"",IF(LEN(Q437)&lt;=260,RIGHT(Q437,LEN(Q437)-SEARCH(" ",Q437,125)),MID(Q437,SEARCH(" ",Q437,130),IF(LEN(Q437)&lt;=265,LEN(Q437),SEARCH(" ",Q437,255)-SEARCH(" ",Q437,130)))))</f>
        <v/>
      </c>
      <c r="E569" s="577"/>
      <c r="F569" s="577"/>
      <c r="G569" s="577"/>
      <c r="H569" s="577"/>
      <c r="I569" s="577"/>
      <c r="J569" s="577"/>
      <c r="K569" s="577"/>
      <c r="L569" s="577"/>
      <c r="M569" s="353"/>
    </row>
    <row r="570" spans="1:13" ht="14.1" customHeight="1" x14ac:dyDescent="0.25">
      <c r="A570" s="3">
        <v>42</v>
      </c>
      <c r="B570" s="351"/>
      <c r="C570" s="138"/>
      <c r="D570" s="576" t="str">
        <f>IF(LEN(Q437)&lt;=265,"",RIGHT(Q437,LEN(Q437)-SEARCH(" ",Q437,255)))</f>
        <v/>
      </c>
      <c r="E570" s="577"/>
      <c r="F570" s="577"/>
      <c r="G570" s="577"/>
      <c r="H570" s="577"/>
      <c r="I570" s="577"/>
      <c r="J570" s="577"/>
      <c r="K570" s="577"/>
      <c r="L570" s="577"/>
      <c r="M570" s="353"/>
    </row>
    <row r="571" spans="1:13" ht="14.1" customHeight="1" x14ac:dyDescent="0.25">
      <c r="A571" s="3">
        <v>43</v>
      </c>
      <c r="B571" s="351"/>
      <c r="C571" s="138"/>
      <c r="D571" s="576" t="str">
        <f>IF(Q439="","",IF(LEN(Q439)&lt;=135,Q439,IF(LEN(Q439)&lt;=260,LEFT(Q439,SEARCH(" ",Q439,125)),LEFT(Q439,SEARCH(" ",Q439,130)))))</f>
        <v/>
      </c>
      <c r="E571" s="577"/>
      <c r="F571" s="577"/>
      <c r="G571" s="577"/>
      <c r="H571" s="577"/>
      <c r="I571" s="577"/>
      <c r="J571" s="577"/>
      <c r="K571" s="577"/>
      <c r="L571" s="577"/>
      <c r="M571" s="353"/>
    </row>
    <row r="572" spans="1:13" ht="14.1" customHeight="1" x14ac:dyDescent="0.25">
      <c r="A572" s="3">
        <v>44</v>
      </c>
      <c r="B572" s="351"/>
      <c r="C572" s="138"/>
      <c r="D572" s="576" t="str">
        <f>IF(LEN(Q439)&lt;=135,"",IF(LEN(Q439)&lt;=260,RIGHT(Q439,LEN(Q439)-SEARCH(" ",Q439,125)),MID(Q439,SEARCH(" ",Q439,130),IF(LEN(Q439)&lt;=265,LEN(Q439),SEARCH(" ",Q439,255)-SEARCH(" ",Q439,130)))))</f>
        <v/>
      </c>
      <c r="E572" s="577"/>
      <c r="F572" s="577"/>
      <c r="G572" s="577"/>
      <c r="H572" s="577"/>
      <c r="I572" s="577"/>
      <c r="J572" s="577"/>
      <c r="K572" s="577"/>
      <c r="L572" s="577"/>
      <c r="M572" s="353"/>
    </row>
    <row r="573" spans="1:13" ht="14.1" customHeight="1" x14ac:dyDescent="0.25">
      <c r="A573" s="3">
        <v>45</v>
      </c>
      <c r="B573" s="351"/>
      <c r="C573" s="138"/>
      <c r="D573" s="576" t="str">
        <f>IF(LEN(Q439)&lt;=265,"",RIGHT(Q439,LEN(Q439)-SEARCH(" ",Q439,255)))</f>
        <v/>
      </c>
      <c r="E573" s="577"/>
      <c r="F573" s="577"/>
      <c r="G573" s="577"/>
      <c r="H573" s="577"/>
      <c r="I573" s="577"/>
      <c r="J573" s="577"/>
      <c r="K573" s="577"/>
      <c r="L573" s="577"/>
      <c r="M573" s="353"/>
    </row>
    <row r="574" spans="1:13" ht="14.1" customHeight="1" x14ac:dyDescent="0.25">
      <c r="A574" s="3">
        <v>46</v>
      </c>
      <c r="B574" s="351"/>
      <c r="C574" s="138"/>
      <c r="D574" s="576" t="str">
        <f>IF(Q441="","",IF(LEN(Q441)&lt;=135,Q441,IF(LEN(Q441)&lt;=260,LEFT(Q441,SEARCH(" ",Q441,125)),LEFT(Q441,SEARCH(" ",Q441,130)))))</f>
        <v/>
      </c>
      <c r="E574" s="577"/>
      <c r="F574" s="577"/>
      <c r="G574" s="577"/>
      <c r="H574" s="577"/>
      <c r="I574" s="577"/>
      <c r="J574" s="577"/>
      <c r="K574" s="577"/>
      <c r="L574" s="577"/>
      <c r="M574" s="353"/>
    </row>
    <row r="575" spans="1:13" ht="14.1" customHeight="1" x14ac:dyDescent="0.25">
      <c r="A575" s="3">
        <v>47</v>
      </c>
      <c r="B575" s="351"/>
      <c r="C575" s="138"/>
      <c r="D575" s="576" t="str">
        <f>IF(LEN(Q441)&lt;=135,"",IF(LEN(Q441)&lt;=260,RIGHT(Q441,LEN(Q441)-SEARCH(" ",Q441,125)),MID(Q441,SEARCH(" ",Q441,130),IF(LEN(Q441)&lt;=265,LEN(Q441),SEARCH(" ",Q441,255)-SEARCH(" ",Q441,130)))))</f>
        <v/>
      </c>
      <c r="E575" s="577"/>
      <c r="F575" s="577"/>
      <c r="G575" s="577"/>
      <c r="H575" s="577"/>
      <c r="I575" s="577"/>
      <c r="J575" s="577"/>
      <c r="K575" s="577"/>
      <c r="L575" s="577"/>
      <c r="M575" s="353"/>
    </row>
    <row r="576" spans="1:13" ht="14.1" customHeight="1" x14ac:dyDescent="0.25">
      <c r="A576" s="3">
        <v>48</v>
      </c>
      <c r="B576" s="351"/>
      <c r="C576" s="138"/>
      <c r="D576" s="576" t="str">
        <f>IF(LEN(Q441)&lt;=265,"",RIGHT(Q441,LEN(Q441)-SEARCH(" ",Q441,255)))</f>
        <v/>
      </c>
      <c r="E576" s="577"/>
      <c r="F576" s="577"/>
      <c r="G576" s="577"/>
      <c r="H576" s="577"/>
      <c r="I576" s="577"/>
      <c r="J576" s="577"/>
      <c r="K576" s="577"/>
      <c r="L576" s="577"/>
      <c r="M576" s="353"/>
    </row>
    <row r="577" spans="1:13" ht="14.1" customHeight="1" x14ac:dyDescent="0.25">
      <c r="A577" s="3">
        <v>49</v>
      </c>
      <c r="B577" s="351"/>
      <c r="C577" s="138"/>
      <c r="D577" s="576" t="str">
        <f>IF(Q443="","",IF(LEN(Q443)&lt;=135,Q443,IF(LEN(Q443)&lt;=260,LEFT(Q443,SEARCH(" ",Q443,125)),LEFT(Q443,SEARCH(" ",Q443,130)))))</f>
        <v/>
      </c>
      <c r="E577" s="577"/>
      <c r="F577" s="577"/>
      <c r="G577" s="577"/>
      <c r="H577" s="577"/>
      <c r="I577" s="577"/>
      <c r="J577" s="577"/>
      <c r="K577" s="577"/>
      <c r="L577" s="577"/>
      <c r="M577" s="353"/>
    </row>
    <row r="578" spans="1:13" ht="14.1" customHeight="1" x14ac:dyDescent="0.25">
      <c r="A578" s="3">
        <v>50</v>
      </c>
      <c r="B578" s="351"/>
      <c r="C578" s="138"/>
      <c r="D578" s="576" t="str">
        <f>IF(LEN(Q443)&lt;=135,"",IF(LEN(Q443)&lt;=260,RIGHT(Q443,LEN(Q443)-SEARCH(" ",Q443,125)),MID(Q443,SEARCH(" ",Q443,130),IF(LEN(Q443)&lt;=265,LEN(Q443),SEARCH(" ",Q443,255)-SEARCH(" ",Q443,130)))))</f>
        <v/>
      </c>
      <c r="E578" s="577"/>
      <c r="F578" s="577"/>
      <c r="G578" s="577"/>
      <c r="H578" s="577"/>
      <c r="I578" s="577"/>
      <c r="J578" s="577"/>
      <c r="K578" s="577"/>
      <c r="L578" s="577"/>
      <c r="M578" s="353"/>
    </row>
    <row r="579" spans="1:13" ht="14.1" customHeight="1" x14ac:dyDescent="0.25">
      <c r="A579" s="3">
        <v>51</v>
      </c>
      <c r="B579" s="351"/>
      <c r="C579" s="138"/>
      <c r="D579" s="576" t="str">
        <f>IF(LEN(Q443)&lt;=265,"",RIGHT(Q443,LEN(Q443)-SEARCH(" ",Q443,255)))</f>
        <v/>
      </c>
      <c r="E579" s="577"/>
      <c r="F579" s="577"/>
      <c r="G579" s="577"/>
      <c r="H579" s="577"/>
      <c r="I579" s="577"/>
      <c r="J579" s="577"/>
      <c r="K579" s="577"/>
      <c r="L579" s="577"/>
      <c r="M579" s="353"/>
    </row>
    <row r="580" spans="1:13" ht="14.1" customHeight="1" x14ac:dyDescent="0.25">
      <c r="A580" s="3">
        <v>52</v>
      </c>
      <c r="B580" s="351"/>
      <c r="C580" s="138"/>
      <c r="D580" s="576" t="str">
        <f>IF(Q445="","",IF(LEN(Q445)&lt;=135,Q445,IF(LEN(Q445)&lt;=260,LEFT(Q445,SEARCH(" ",Q445,125)),LEFT(Q445,SEARCH(" ",Q445,130)))))</f>
        <v/>
      </c>
      <c r="E580" s="577"/>
      <c r="F580" s="577"/>
      <c r="G580" s="577"/>
      <c r="H580" s="577"/>
      <c r="I580" s="577"/>
      <c r="J580" s="577"/>
      <c r="K580" s="577"/>
      <c r="L580" s="577"/>
      <c r="M580" s="353"/>
    </row>
    <row r="581" spans="1:13" ht="14.1" customHeight="1" x14ac:dyDescent="0.25">
      <c r="A581" s="3">
        <v>53</v>
      </c>
      <c r="B581" s="351"/>
      <c r="C581" s="138"/>
      <c r="D581" s="576" t="str">
        <f>IF(LEN(Q445)&lt;=135,"",IF(LEN(Q445)&lt;=260,RIGHT(Q445,LEN(Q445)-SEARCH(" ",Q445,125)),MID(Q445,SEARCH(" ",Q445,130),IF(LEN(Q445)&lt;=265,LEN(Q445),SEARCH(" ",Q445,255)-SEARCH(" ",Q445,130)))))</f>
        <v/>
      </c>
      <c r="E581" s="577"/>
      <c r="F581" s="577"/>
      <c r="G581" s="577"/>
      <c r="H581" s="577"/>
      <c r="I581" s="577"/>
      <c r="J581" s="577"/>
      <c r="K581" s="577"/>
      <c r="L581" s="577"/>
      <c r="M581" s="353"/>
    </row>
    <row r="582" spans="1:13" ht="14.1" customHeight="1" x14ac:dyDescent="0.25">
      <c r="A582" s="3">
        <v>54</v>
      </c>
      <c r="B582" s="351"/>
      <c r="C582" s="138"/>
      <c r="D582" s="576" t="str">
        <f>IF(LEN(Q445)&lt;=265,"",RIGHT(Q445,LEN(Q445)-SEARCH(" ",Q445,255)))</f>
        <v/>
      </c>
      <c r="E582" s="577"/>
      <c r="F582" s="577"/>
      <c r="G582" s="577"/>
      <c r="H582" s="577"/>
      <c r="I582" s="577"/>
      <c r="J582" s="577"/>
      <c r="K582" s="577"/>
      <c r="L582" s="577"/>
      <c r="M582" s="353"/>
    </row>
    <row r="583" spans="1:13" ht="14.1" customHeight="1" x14ac:dyDescent="0.25">
      <c r="A583" s="3">
        <v>55</v>
      </c>
      <c r="B583" s="351"/>
      <c r="C583" s="138"/>
      <c r="D583" s="576" t="str">
        <f>IF(Q447="","",IF(LEN(Q447)&lt;=135,Q447,IF(LEN(Q447)&lt;=260,LEFT(Q447,SEARCH(" ",Q447,125)),LEFT(Q447,SEARCH(" ",Q447,130)))))</f>
        <v/>
      </c>
      <c r="E583" s="577"/>
      <c r="F583" s="577"/>
      <c r="G583" s="577"/>
      <c r="H583" s="577"/>
      <c r="I583" s="577"/>
      <c r="J583" s="577"/>
      <c r="K583" s="577"/>
      <c r="L583" s="577"/>
      <c r="M583" s="353"/>
    </row>
    <row r="584" spans="1:13" ht="14.1" customHeight="1" x14ac:dyDescent="0.25">
      <c r="A584" s="3">
        <v>56</v>
      </c>
      <c r="B584" s="351"/>
      <c r="C584" s="138"/>
      <c r="D584" s="576" t="str">
        <f>IF(LEN(Q447)&lt;=135,"",IF(LEN(Q447)&lt;=260,RIGHT(Q447,LEN(Q447)-SEARCH(" ",Q447,125)),MID(Q447,SEARCH(" ",Q447,130),IF(LEN(Q447)&lt;=265,LEN(Q447),SEARCH(" ",Q447,255)-SEARCH(" ",Q447,130)))))</f>
        <v/>
      </c>
      <c r="E584" s="577"/>
      <c r="F584" s="577"/>
      <c r="G584" s="577"/>
      <c r="H584" s="577"/>
      <c r="I584" s="577"/>
      <c r="J584" s="577"/>
      <c r="K584" s="577"/>
      <c r="L584" s="577"/>
      <c r="M584" s="353"/>
    </row>
    <row r="585" spans="1:13" ht="14.1" customHeight="1" x14ac:dyDescent="0.25">
      <c r="A585" s="3">
        <v>57</v>
      </c>
      <c r="B585" s="351"/>
      <c r="C585" s="138"/>
      <c r="D585" s="576" t="str">
        <f>IF(LEN(Q447)&lt;=265,"",RIGHT(Q447,LEN(Q447)-SEARCH(" ",Q447,255)))</f>
        <v/>
      </c>
      <c r="E585" s="577"/>
      <c r="F585" s="577"/>
      <c r="G585" s="577"/>
      <c r="H585" s="577"/>
      <c r="I585" s="577"/>
      <c r="J585" s="577"/>
      <c r="K585" s="577"/>
      <c r="L585" s="577"/>
      <c r="M585" s="353"/>
    </row>
    <row r="586" spans="1:13" ht="14.1" customHeight="1" x14ac:dyDescent="0.25">
      <c r="A586" s="3">
        <v>58</v>
      </c>
      <c r="B586" s="351"/>
      <c r="C586" s="138"/>
      <c r="D586" s="576" t="str">
        <f>IF(Q449="","",IF(LEN(Q449)&lt;=135,Q449,IF(LEN(Q449)&lt;=260,LEFT(Q449,SEARCH(" ",Q449,125)),LEFT(Q449,SEARCH(" ",Q449,130)))))</f>
        <v/>
      </c>
      <c r="E586" s="577"/>
      <c r="F586" s="577"/>
      <c r="G586" s="577"/>
      <c r="H586" s="577"/>
      <c r="I586" s="577"/>
      <c r="J586" s="577"/>
      <c r="K586" s="577"/>
      <c r="L586" s="577"/>
      <c r="M586" s="353"/>
    </row>
    <row r="587" spans="1:13" ht="14.1" customHeight="1" x14ac:dyDescent="0.25">
      <c r="A587" s="3">
        <v>59</v>
      </c>
      <c r="B587" s="351"/>
      <c r="C587" s="138"/>
      <c r="D587" s="576" t="str">
        <f>IF(LEN(Q449)&lt;=135,"",IF(LEN(Q449)&lt;=260,RIGHT(Q449,LEN(Q449)-SEARCH(" ",Q449,125)),MID(Q449,SEARCH(" ",Q449,130),IF(LEN(Q449)&lt;=265,LEN(Q449),SEARCH(" ",Q449,255)-SEARCH(" ",Q449,130)))))</f>
        <v/>
      </c>
      <c r="E587" s="577"/>
      <c r="F587" s="577"/>
      <c r="G587" s="577"/>
      <c r="H587" s="577"/>
      <c r="I587" s="577"/>
      <c r="J587" s="577"/>
      <c r="K587" s="577"/>
      <c r="L587" s="577"/>
      <c r="M587" s="353"/>
    </row>
    <row r="588" spans="1:13" ht="14.1" customHeight="1" x14ac:dyDescent="0.25">
      <c r="A588" s="3">
        <v>60</v>
      </c>
      <c r="B588" s="351"/>
      <c r="C588" s="138"/>
      <c r="D588" s="576" t="str">
        <f>IF(LEN(Q449)&lt;=265,"",RIGHT(Q449,LEN(Q449)-SEARCH(" ",Q449,255)))</f>
        <v/>
      </c>
      <c r="E588" s="577"/>
      <c r="F588" s="577"/>
      <c r="G588" s="577"/>
      <c r="H588" s="577"/>
      <c r="I588" s="577"/>
      <c r="J588" s="577"/>
      <c r="K588" s="577"/>
      <c r="L588" s="577"/>
      <c r="M588" s="353"/>
    </row>
    <row r="589" spans="1:13" ht="14.1" customHeight="1" x14ac:dyDescent="0.25">
      <c r="A589" s="3">
        <v>61</v>
      </c>
      <c r="B589" s="351"/>
      <c r="C589" s="138"/>
      <c r="D589" s="138"/>
      <c r="E589" s="138"/>
      <c r="F589" s="138"/>
      <c r="G589" s="138"/>
      <c r="H589" s="138"/>
      <c r="I589" s="138"/>
      <c r="J589" s="138"/>
      <c r="K589" s="138"/>
      <c r="L589" s="138"/>
      <c r="M589" s="353"/>
    </row>
    <row r="590" spans="1:13" ht="14.1" customHeight="1" x14ac:dyDescent="0.25">
      <c r="A590" s="3">
        <v>62</v>
      </c>
      <c r="B590" s="351"/>
      <c r="C590" s="138"/>
      <c r="D590" s="138"/>
      <c r="E590" s="138"/>
      <c r="F590" s="138"/>
      <c r="G590" s="138"/>
      <c r="H590" s="138"/>
      <c r="I590" s="138"/>
      <c r="J590" s="138"/>
      <c r="K590" s="138"/>
      <c r="L590" s="138"/>
      <c r="M590" s="353"/>
    </row>
    <row r="591" spans="1:13" ht="14.1" customHeight="1" x14ac:dyDescent="0.25">
      <c r="A591" s="3">
        <v>63</v>
      </c>
      <c r="B591" s="351"/>
      <c r="C591" s="138"/>
      <c r="D591" s="138"/>
      <c r="E591" s="138"/>
      <c r="F591" s="138"/>
      <c r="G591" s="138"/>
      <c r="H591" s="138"/>
      <c r="I591" s="138"/>
      <c r="J591" s="138"/>
      <c r="K591" s="138"/>
      <c r="L591" s="138"/>
      <c r="M591" s="353"/>
    </row>
    <row r="592" spans="1:13" ht="14.1" customHeight="1" x14ac:dyDescent="0.25">
      <c r="A592" s="3">
        <v>64</v>
      </c>
      <c r="B592" s="354"/>
      <c r="C592" s="355"/>
      <c r="D592" s="355"/>
      <c r="E592" s="355"/>
      <c r="F592" s="355"/>
      <c r="G592" s="355"/>
      <c r="H592" s="355"/>
      <c r="I592" s="355"/>
      <c r="J592" s="355"/>
      <c r="K592" s="355"/>
      <c r="L592" s="355"/>
      <c r="M592" s="356"/>
    </row>
    <row r="593" spans="1:13" ht="14.1" customHeight="1" x14ac:dyDescent="0.25">
      <c r="A593" s="3">
        <v>65</v>
      </c>
      <c r="C593" s="2" t="s">
        <v>10</v>
      </c>
      <c r="D593" s="68" t="str">
        <f>IF($P$7="","",$P$7)</f>
        <v/>
      </c>
      <c r="L593" s="2" t="s">
        <v>11</v>
      </c>
      <c r="M593" s="69" t="str">
        <f>IF($X$7="","",$X$7)</f>
        <v>Eugene Mah</v>
      </c>
    </row>
    <row r="594" spans="1:13" ht="14.1" customHeight="1" x14ac:dyDescent="0.25">
      <c r="A594" s="3">
        <v>66</v>
      </c>
      <c r="C594" s="2" t="s">
        <v>79</v>
      </c>
      <c r="D594" s="70" t="str">
        <f>IF($R$14="","",$R$14&amp;" Tube "&amp;$W$48)</f>
        <v/>
      </c>
      <c r="L594" s="2" t="s">
        <v>25</v>
      </c>
      <c r="M594" s="71" t="str">
        <f>IF($R$13="","",$R$13)</f>
        <v/>
      </c>
    </row>
    <row r="595" spans="1:13" ht="14.1" customHeight="1" x14ac:dyDescent="0.25">
      <c r="A595" s="3">
        <v>1</v>
      </c>
      <c r="M595" s="72" t="str">
        <f>$H$2</f>
        <v>Medical University of South Carolina</v>
      </c>
    </row>
    <row r="596" spans="1:13" ht="14.1" customHeight="1" x14ac:dyDescent="0.25">
      <c r="A596" s="3">
        <v>2</v>
      </c>
      <c r="H596" s="52" t="s">
        <v>406</v>
      </c>
      <c r="M596" s="25" t="str">
        <f>$H$5</f>
        <v>Fluoroscopy System Compliance Inspection</v>
      </c>
    </row>
    <row r="597" spans="1:13" ht="14.1" customHeight="1" x14ac:dyDescent="0.25">
      <c r="A597" s="3">
        <v>3</v>
      </c>
      <c r="B597" s="348"/>
      <c r="C597" s="349"/>
      <c r="D597" s="349"/>
      <c r="E597" s="349"/>
      <c r="F597" s="349"/>
      <c r="G597" s="349"/>
      <c r="H597" s="349"/>
      <c r="I597" s="349"/>
      <c r="J597" s="349"/>
      <c r="K597" s="349"/>
      <c r="L597" s="349"/>
      <c r="M597" s="350"/>
    </row>
    <row r="598" spans="1:13" ht="14.1" customHeight="1" x14ac:dyDescent="0.25">
      <c r="A598" s="3">
        <v>4</v>
      </c>
      <c r="B598" s="351"/>
      <c r="C598" s="138"/>
      <c r="D598" s="138"/>
      <c r="E598" s="138"/>
      <c r="F598" s="138"/>
      <c r="G598" s="138"/>
      <c r="H598" s="138"/>
      <c r="I598" s="138"/>
      <c r="J598" s="138"/>
      <c r="K598" s="138"/>
      <c r="L598" s="138"/>
      <c r="M598" s="353"/>
    </row>
    <row r="599" spans="1:13" ht="14.1" customHeight="1" x14ac:dyDescent="0.25">
      <c r="A599" s="3">
        <v>5</v>
      </c>
      <c r="B599" s="351"/>
      <c r="C599" s="138"/>
      <c r="D599" s="138"/>
      <c r="E599" s="138"/>
      <c r="F599" s="138"/>
      <c r="G599" s="138"/>
      <c r="H599" s="138"/>
      <c r="I599" s="138"/>
      <c r="J599" s="138"/>
      <c r="K599" s="138"/>
      <c r="L599" s="138"/>
      <c r="M599" s="353"/>
    </row>
    <row r="600" spans="1:13" ht="14.1" customHeight="1" x14ac:dyDescent="0.25">
      <c r="A600" s="3">
        <v>6</v>
      </c>
      <c r="B600" s="351"/>
      <c r="C600" s="138"/>
      <c r="D600" s="138"/>
      <c r="E600" s="138"/>
      <c r="F600" s="138"/>
      <c r="G600" s="138"/>
      <c r="H600" s="138"/>
      <c r="I600" s="138"/>
      <c r="J600" s="138"/>
      <c r="K600" s="138"/>
      <c r="L600" s="138"/>
      <c r="M600" s="353"/>
    </row>
    <row r="601" spans="1:13" ht="14.1" customHeight="1" x14ac:dyDescent="0.25">
      <c r="A601" s="3">
        <v>7</v>
      </c>
      <c r="B601" s="351"/>
      <c r="C601" s="138"/>
      <c r="D601" s="138"/>
      <c r="E601" s="138"/>
      <c r="F601" s="138"/>
      <c r="G601" s="138"/>
      <c r="H601" s="138"/>
      <c r="I601" s="138"/>
      <c r="J601" s="138"/>
      <c r="K601" s="138"/>
      <c r="L601" s="138"/>
      <c r="M601" s="353"/>
    </row>
    <row r="602" spans="1:13" ht="14.1" customHeight="1" x14ac:dyDescent="0.25">
      <c r="A602" s="3">
        <v>8</v>
      </c>
      <c r="B602" s="351"/>
      <c r="C602" s="138"/>
      <c r="D602" s="138"/>
      <c r="E602" s="138"/>
      <c r="F602" s="138"/>
      <c r="G602" s="138"/>
      <c r="H602" s="138"/>
      <c r="I602" s="138"/>
      <c r="J602" s="138"/>
      <c r="K602" s="138"/>
      <c r="L602" s="138"/>
      <c r="M602" s="353"/>
    </row>
    <row r="603" spans="1:13" ht="14.1" customHeight="1" x14ac:dyDescent="0.25">
      <c r="A603" s="3">
        <v>9</v>
      </c>
      <c r="B603" s="351"/>
      <c r="C603" s="138"/>
      <c r="D603" s="138"/>
      <c r="E603" s="138"/>
      <c r="F603" s="138"/>
      <c r="G603" s="138"/>
      <c r="H603" s="138"/>
      <c r="I603" s="138"/>
      <c r="J603" s="138"/>
      <c r="K603" s="138"/>
      <c r="L603" s="138"/>
      <c r="M603" s="353"/>
    </row>
    <row r="604" spans="1:13" ht="14.1" customHeight="1" x14ac:dyDescent="0.25">
      <c r="A604" s="3">
        <v>10</v>
      </c>
      <c r="B604" s="351"/>
      <c r="C604" s="138"/>
      <c r="D604" s="138"/>
      <c r="E604" s="138"/>
      <c r="F604" s="138"/>
      <c r="G604" s="138"/>
      <c r="H604" s="138"/>
      <c r="I604" s="138"/>
      <c r="J604" s="138"/>
      <c r="K604" s="138"/>
      <c r="L604" s="138"/>
      <c r="M604" s="353"/>
    </row>
    <row r="605" spans="1:13" ht="14.1" customHeight="1" x14ac:dyDescent="0.25">
      <c r="A605" s="3">
        <v>11</v>
      </c>
      <c r="B605" s="351"/>
      <c r="C605" s="138"/>
      <c r="D605" s="138"/>
      <c r="E605" s="138"/>
      <c r="F605" s="138"/>
      <c r="G605" s="138"/>
      <c r="H605" s="138"/>
      <c r="I605" s="138"/>
      <c r="J605" s="138"/>
      <c r="K605" s="138"/>
      <c r="L605" s="138"/>
      <c r="M605" s="353"/>
    </row>
    <row r="606" spans="1:13" ht="14.1" customHeight="1" x14ac:dyDescent="0.25">
      <c r="A606" s="3">
        <v>12</v>
      </c>
      <c r="B606" s="351"/>
      <c r="C606" s="138"/>
      <c r="D606" s="138"/>
      <c r="E606" s="138"/>
      <c r="F606" s="138"/>
      <c r="G606" s="138"/>
      <c r="H606" s="138"/>
      <c r="I606" s="138"/>
      <c r="J606" s="138"/>
      <c r="K606" s="138"/>
      <c r="L606" s="138"/>
      <c r="M606" s="353"/>
    </row>
    <row r="607" spans="1:13" ht="14.1" customHeight="1" x14ac:dyDescent="0.25">
      <c r="A607" s="3">
        <v>13</v>
      </c>
      <c r="B607" s="351"/>
      <c r="C607" s="138"/>
      <c r="D607" s="138"/>
      <c r="E607" s="138"/>
      <c r="F607" s="138"/>
      <c r="G607" s="138"/>
      <c r="H607" s="138"/>
      <c r="I607" s="138"/>
      <c r="J607" s="138"/>
      <c r="K607" s="138"/>
      <c r="L607" s="138"/>
      <c r="M607" s="353"/>
    </row>
    <row r="608" spans="1:13" ht="14.1" customHeight="1" x14ac:dyDescent="0.25">
      <c r="A608" s="3">
        <v>14</v>
      </c>
      <c r="B608" s="351"/>
      <c r="C608" s="138"/>
      <c r="D608" s="138"/>
      <c r="E608" s="138"/>
      <c r="F608" s="138"/>
      <c r="G608" s="138"/>
      <c r="H608" s="138"/>
      <c r="I608" s="138"/>
      <c r="J608" s="138"/>
      <c r="K608" s="138"/>
      <c r="L608" s="138"/>
      <c r="M608" s="353"/>
    </row>
    <row r="609" spans="1:13" ht="14.1" customHeight="1" x14ac:dyDescent="0.25">
      <c r="A609" s="3">
        <v>15</v>
      </c>
      <c r="B609" s="351"/>
      <c r="C609" s="138"/>
      <c r="D609" s="138"/>
      <c r="E609" s="138"/>
      <c r="F609" s="138"/>
      <c r="G609" s="138"/>
      <c r="H609" s="138"/>
      <c r="I609" s="138"/>
      <c r="J609" s="138"/>
      <c r="K609" s="138"/>
      <c r="L609" s="138"/>
      <c r="M609" s="353"/>
    </row>
    <row r="610" spans="1:13" ht="14.1" customHeight="1" x14ac:dyDescent="0.25">
      <c r="A610" s="3">
        <v>16</v>
      </c>
      <c r="B610" s="351"/>
      <c r="C610" s="138"/>
      <c r="D610" s="138"/>
      <c r="E610" s="138"/>
      <c r="F610" s="138"/>
      <c r="G610" s="138"/>
      <c r="H610" s="138"/>
      <c r="I610" s="138"/>
      <c r="J610" s="138"/>
      <c r="K610" s="138"/>
      <c r="L610" s="138"/>
      <c r="M610" s="353"/>
    </row>
    <row r="611" spans="1:13" ht="14.1" customHeight="1" x14ac:dyDescent="0.25">
      <c r="A611" s="3">
        <v>17</v>
      </c>
      <c r="B611" s="351"/>
      <c r="C611" s="138"/>
      <c r="D611" s="138"/>
      <c r="E611" s="138"/>
      <c r="F611" s="138"/>
      <c r="G611" s="138"/>
      <c r="H611" s="138"/>
      <c r="I611" s="138"/>
      <c r="J611" s="138"/>
      <c r="K611" s="138"/>
      <c r="L611" s="138"/>
      <c r="M611" s="353"/>
    </row>
    <row r="612" spans="1:13" ht="14.1" customHeight="1" x14ac:dyDescent="0.25">
      <c r="A612" s="3">
        <v>18</v>
      </c>
      <c r="B612" s="351"/>
      <c r="C612" s="138"/>
      <c r="D612" s="138"/>
      <c r="E612" s="138"/>
      <c r="F612" s="138"/>
      <c r="G612" s="138"/>
      <c r="H612" s="138"/>
      <c r="I612" s="138"/>
      <c r="J612" s="138"/>
      <c r="K612" s="138"/>
      <c r="L612" s="138"/>
      <c r="M612" s="353"/>
    </row>
    <row r="613" spans="1:13" ht="14.1" customHeight="1" x14ac:dyDescent="0.25">
      <c r="A613" s="3">
        <v>19</v>
      </c>
      <c r="B613" s="351"/>
      <c r="C613" s="138"/>
      <c r="D613" s="138"/>
      <c r="E613" s="138"/>
      <c r="F613" s="138"/>
      <c r="G613" s="138"/>
      <c r="H613" s="138"/>
      <c r="I613" s="138"/>
      <c r="J613" s="138"/>
      <c r="K613" s="138"/>
      <c r="L613" s="138"/>
      <c r="M613" s="353"/>
    </row>
    <row r="614" spans="1:13" ht="14.1" customHeight="1" x14ac:dyDescent="0.25">
      <c r="A614" s="3">
        <v>20</v>
      </c>
      <c r="B614" s="351"/>
      <c r="C614" s="138"/>
      <c r="D614" s="138"/>
      <c r="E614" s="138"/>
      <c r="F614" s="138"/>
      <c r="G614" s="138"/>
      <c r="H614" s="138"/>
      <c r="I614" s="138"/>
      <c r="J614" s="138"/>
      <c r="K614" s="138"/>
      <c r="L614" s="138"/>
      <c r="M614" s="353"/>
    </row>
    <row r="615" spans="1:13" ht="14.1" customHeight="1" x14ac:dyDescent="0.25">
      <c r="A615" s="3">
        <v>21</v>
      </c>
      <c r="B615" s="351"/>
      <c r="C615" s="138"/>
      <c r="D615" s="138"/>
      <c r="E615" s="138"/>
      <c r="F615" s="138"/>
      <c r="G615" s="138"/>
      <c r="H615" s="138"/>
      <c r="I615" s="138"/>
      <c r="J615" s="138"/>
      <c r="K615" s="138"/>
      <c r="L615" s="138"/>
      <c r="M615" s="353"/>
    </row>
    <row r="616" spans="1:13" ht="14.1" customHeight="1" x14ac:dyDescent="0.25">
      <c r="A616" s="3">
        <v>22</v>
      </c>
      <c r="B616" s="351"/>
      <c r="C616" s="138"/>
      <c r="D616" s="138"/>
      <c r="E616" s="138"/>
      <c r="F616" s="138"/>
      <c r="G616" s="138"/>
      <c r="H616" s="138"/>
      <c r="I616" s="138"/>
      <c r="J616" s="138"/>
      <c r="K616" s="138"/>
      <c r="L616" s="138"/>
      <c r="M616" s="353"/>
    </row>
    <row r="617" spans="1:13" ht="14.1" customHeight="1" x14ac:dyDescent="0.25">
      <c r="A617" s="3">
        <v>23</v>
      </c>
      <c r="B617" s="351"/>
      <c r="C617" s="138"/>
      <c r="D617" s="138"/>
      <c r="E617" s="138"/>
      <c r="F617" s="138"/>
      <c r="G617" s="138"/>
      <c r="H617" s="138"/>
      <c r="I617" s="138"/>
      <c r="J617" s="138"/>
      <c r="K617" s="138"/>
      <c r="L617" s="138"/>
      <c r="M617" s="353"/>
    </row>
    <row r="618" spans="1:13" ht="14.1" customHeight="1" x14ac:dyDescent="0.25">
      <c r="A618" s="3">
        <v>24</v>
      </c>
      <c r="B618" s="351"/>
      <c r="C618" s="138"/>
      <c r="D618" s="138"/>
      <c r="E618" s="138"/>
      <c r="F618" s="138"/>
      <c r="G618" s="138"/>
      <c r="H618" s="138"/>
      <c r="I618" s="138"/>
      <c r="J618" s="138"/>
      <c r="K618" s="138"/>
      <c r="L618" s="138"/>
      <c r="M618" s="353"/>
    </row>
    <row r="619" spans="1:13" ht="14.1" customHeight="1" x14ac:dyDescent="0.25">
      <c r="A619" s="3">
        <v>25</v>
      </c>
      <c r="B619" s="351"/>
      <c r="C619" s="138"/>
      <c r="D619" s="138"/>
      <c r="E619" s="138"/>
      <c r="F619" s="138"/>
      <c r="G619" s="138"/>
      <c r="H619" s="138"/>
      <c r="I619" s="138"/>
      <c r="J619" s="138"/>
      <c r="K619" s="138"/>
      <c r="L619" s="138"/>
      <c r="M619" s="353"/>
    </row>
    <row r="620" spans="1:13" ht="14.1" customHeight="1" x14ac:dyDescent="0.25">
      <c r="A620" s="3">
        <v>26</v>
      </c>
      <c r="B620" s="351"/>
      <c r="C620" s="138"/>
      <c r="D620" s="138"/>
      <c r="E620" s="138"/>
      <c r="F620" s="138"/>
      <c r="G620" s="138"/>
      <c r="H620" s="138"/>
      <c r="I620" s="138"/>
      <c r="J620" s="138"/>
      <c r="K620" s="138"/>
      <c r="L620" s="138"/>
      <c r="M620" s="353"/>
    </row>
    <row r="621" spans="1:13" ht="14.1" customHeight="1" x14ac:dyDescent="0.25">
      <c r="A621" s="3">
        <v>27</v>
      </c>
      <c r="B621" s="351"/>
      <c r="C621" s="138"/>
      <c r="D621" s="138"/>
      <c r="E621" s="138"/>
      <c r="F621" s="138"/>
      <c r="G621" s="138"/>
      <c r="H621" s="138"/>
      <c r="I621" s="138"/>
      <c r="J621" s="138"/>
      <c r="K621" s="138"/>
      <c r="L621" s="138"/>
      <c r="M621" s="353"/>
    </row>
    <row r="622" spans="1:13" ht="14.1" customHeight="1" x14ac:dyDescent="0.25">
      <c r="A622" s="3">
        <v>28</v>
      </c>
      <c r="B622" s="351"/>
      <c r="C622" s="138"/>
      <c r="D622" s="138"/>
      <c r="E622" s="138"/>
      <c r="F622" s="138"/>
      <c r="G622" s="138"/>
      <c r="H622" s="138"/>
      <c r="I622" s="138"/>
      <c r="J622" s="138"/>
      <c r="K622" s="138"/>
      <c r="L622" s="138"/>
      <c r="M622" s="353"/>
    </row>
    <row r="623" spans="1:13" ht="14.1" customHeight="1" x14ac:dyDescent="0.25">
      <c r="A623" s="3">
        <v>29</v>
      </c>
      <c r="B623" s="351"/>
      <c r="C623" s="138"/>
      <c r="D623" s="138"/>
      <c r="E623" s="138"/>
      <c r="F623" s="138"/>
      <c r="G623" s="138"/>
      <c r="H623" s="138"/>
      <c r="I623" s="138"/>
      <c r="J623" s="138"/>
      <c r="K623" s="138"/>
      <c r="L623" s="138"/>
      <c r="M623" s="353"/>
    </row>
    <row r="624" spans="1:13" ht="14.1" customHeight="1" x14ac:dyDescent="0.25">
      <c r="A624" s="3">
        <v>30</v>
      </c>
      <c r="B624" s="351"/>
      <c r="C624" s="138"/>
      <c r="D624" s="138"/>
      <c r="E624" s="138"/>
      <c r="F624" s="138"/>
      <c r="G624" s="138"/>
      <c r="H624" s="138"/>
      <c r="I624" s="138"/>
      <c r="J624" s="138"/>
      <c r="K624" s="138"/>
      <c r="L624" s="138"/>
      <c r="M624" s="353"/>
    </row>
    <row r="625" spans="1:13" ht="14.1" customHeight="1" x14ac:dyDescent="0.25">
      <c r="A625" s="3">
        <v>31</v>
      </c>
      <c r="B625" s="351"/>
      <c r="C625" s="138"/>
      <c r="D625" s="138"/>
      <c r="E625" s="138"/>
      <c r="F625" s="138"/>
      <c r="G625" s="138"/>
      <c r="H625" s="138"/>
      <c r="I625" s="138"/>
      <c r="J625" s="138"/>
      <c r="K625" s="138"/>
      <c r="L625" s="138"/>
      <c r="M625" s="353"/>
    </row>
    <row r="626" spans="1:13" ht="14.1" customHeight="1" x14ac:dyDescent="0.25">
      <c r="A626" s="3">
        <v>32</v>
      </c>
      <c r="B626" s="351"/>
      <c r="C626" s="138"/>
      <c r="D626" s="138"/>
      <c r="E626" s="138"/>
      <c r="F626" s="138"/>
      <c r="G626" s="138"/>
      <c r="H626" s="138"/>
      <c r="I626" s="138"/>
      <c r="J626" s="138"/>
      <c r="K626" s="138"/>
      <c r="L626" s="138"/>
      <c r="M626" s="353"/>
    </row>
    <row r="627" spans="1:13" ht="14.1" customHeight="1" x14ac:dyDescent="0.25">
      <c r="A627" s="3">
        <v>33</v>
      </c>
      <c r="B627" s="351"/>
      <c r="C627" s="138"/>
      <c r="D627" s="138"/>
      <c r="E627" s="138"/>
      <c r="F627" s="138"/>
      <c r="G627" s="138"/>
      <c r="H627" s="138"/>
      <c r="I627" s="138"/>
      <c r="J627" s="138"/>
      <c r="K627" s="138"/>
      <c r="L627" s="138"/>
      <c r="M627" s="353"/>
    </row>
    <row r="628" spans="1:13" ht="14.1" customHeight="1" x14ac:dyDescent="0.25">
      <c r="A628" s="3">
        <v>34</v>
      </c>
      <c r="B628" s="351"/>
      <c r="C628" s="138"/>
      <c r="D628" s="138"/>
      <c r="E628" s="138"/>
      <c r="F628" s="138"/>
      <c r="G628" s="138"/>
      <c r="H628" s="138"/>
      <c r="I628" s="138"/>
      <c r="J628" s="138"/>
      <c r="K628" s="138"/>
      <c r="L628" s="138"/>
      <c r="M628" s="353"/>
    </row>
    <row r="629" spans="1:13" ht="14.1" customHeight="1" x14ac:dyDescent="0.25">
      <c r="A629" s="3">
        <v>35</v>
      </c>
      <c r="B629" s="351"/>
      <c r="C629" s="138"/>
      <c r="D629" s="138"/>
      <c r="E629" s="138"/>
      <c r="F629" s="138"/>
      <c r="G629" s="138"/>
      <c r="H629" s="138"/>
      <c r="I629" s="138"/>
      <c r="J629" s="138"/>
      <c r="K629" s="138"/>
      <c r="L629" s="138"/>
      <c r="M629" s="353"/>
    </row>
    <row r="630" spans="1:13" ht="14.1" customHeight="1" x14ac:dyDescent="0.25">
      <c r="A630" s="3">
        <v>36</v>
      </c>
      <c r="B630" s="351"/>
      <c r="C630" s="138"/>
      <c r="D630" s="138"/>
      <c r="E630" s="138"/>
      <c r="F630" s="138"/>
      <c r="G630" s="138"/>
      <c r="H630" s="138"/>
      <c r="I630" s="138"/>
      <c r="J630" s="138"/>
      <c r="K630" s="138"/>
      <c r="L630" s="138"/>
      <c r="M630" s="353"/>
    </row>
    <row r="631" spans="1:13" ht="14.1" customHeight="1" x14ac:dyDescent="0.25">
      <c r="A631" s="3">
        <v>37</v>
      </c>
      <c r="B631" s="351"/>
      <c r="C631" s="138"/>
      <c r="D631" s="138"/>
      <c r="E631" s="138"/>
      <c r="F631" s="138"/>
      <c r="G631" s="138"/>
      <c r="H631" s="138"/>
      <c r="I631" s="138"/>
      <c r="J631" s="138"/>
      <c r="K631" s="138"/>
      <c r="L631" s="138"/>
      <c r="M631" s="353"/>
    </row>
    <row r="632" spans="1:13" ht="14.1" customHeight="1" x14ac:dyDescent="0.25">
      <c r="A632" s="3">
        <v>38</v>
      </c>
      <c r="B632" s="351"/>
      <c r="C632" s="138"/>
      <c r="D632" s="138"/>
      <c r="E632" s="138"/>
      <c r="F632" s="138"/>
      <c r="G632" s="138"/>
      <c r="H632" s="138"/>
      <c r="I632" s="138"/>
      <c r="J632" s="138"/>
      <c r="K632" s="138"/>
      <c r="L632" s="138"/>
      <c r="M632" s="353"/>
    </row>
    <row r="633" spans="1:13" ht="14.1" customHeight="1" x14ac:dyDescent="0.25">
      <c r="A633" s="3">
        <v>39</v>
      </c>
      <c r="B633" s="351"/>
      <c r="C633" s="138"/>
      <c r="D633" s="138"/>
      <c r="E633" s="138"/>
      <c r="F633" s="138"/>
      <c r="G633" s="138"/>
      <c r="H633" s="138"/>
      <c r="I633" s="138"/>
      <c r="J633" s="138"/>
      <c r="K633" s="138"/>
      <c r="L633" s="138"/>
      <c r="M633" s="353"/>
    </row>
    <row r="634" spans="1:13" ht="14.1" customHeight="1" x14ac:dyDescent="0.25">
      <c r="A634" s="3">
        <v>40</v>
      </c>
      <c r="B634" s="351"/>
      <c r="C634" s="138"/>
      <c r="D634" s="138"/>
      <c r="E634" s="138"/>
      <c r="F634" s="138"/>
      <c r="G634" s="138"/>
      <c r="H634" s="138"/>
      <c r="I634" s="138"/>
      <c r="J634" s="138"/>
      <c r="K634" s="138"/>
      <c r="L634" s="138"/>
      <c r="M634" s="353"/>
    </row>
    <row r="635" spans="1:13" ht="14.1" customHeight="1" x14ac:dyDescent="0.25">
      <c r="A635" s="3">
        <v>41</v>
      </c>
      <c r="B635" s="351"/>
      <c r="C635" s="138"/>
      <c r="D635" s="138"/>
      <c r="E635" s="138"/>
      <c r="F635" s="138"/>
      <c r="G635" s="138"/>
      <c r="H635" s="138"/>
      <c r="I635" s="138"/>
      <c r="J635" s="138"/>
      <c r="K635" s="138"/>
      <c r="L635" s="138"/>
      <c r="M635" s="353"/>
    </row>
    <row r="636" spans="1:13" ht="14.1" customHeight="1" x14ac:dyDescent="0.25">
      <c r="A636" s="3">
        <v>42</v>
      </c>
      <c r="B636" s="351"/>
      <c r="C636" s="138"/>
      <c r="D636" s="138"/>
      <c r="E636" s="138"/>
      <c r="F636" s="138"/>
      <c r="G636" s="138"/>
      <c r="H636" s="138"/>
      <c r="I636" s="138"/>
      <c r="J636" s="138"/>
      <c r="K636" s="138"/>
      <c r="L636" s="138"/>
      <c r="M636" s="353"/>
    </row>
    <row r="637" spans="1:13" ht="14.1" customHeight="1" x14ac:dyDescent="0.25">
      <c r="A637" s="3">
        <v>43</v>
      </c>
      <c r="B637" s="351"/>
      <c r="C637" s="138"/>
      <c r="D637" s="138"/>
      <c r="E637" s="138"/>
      <c r="F637" s="138"/>
      <c r="G637" s="138"/>
      <c r="H637" s="138"/>
      <c r="I637" s="138"/>
      <c r="J637" s="138"/>
      <c r="K637" s="138"/>
      <c r="L637" s="138"/>
      <c r="M637" s="353"/>
    </row>
    <row r="638" spans="1:13" ht="14.1" customHeight="1" x14ac:dyDescent="0.25">
      <c r="A638" s="3">
        <v>44</v>
      </c>
      <c r="B638" s="351"/>
      <c r="C638" s="138"/>
      <c r="D638" s="138"/>
      <c r="E638" s="138"/>
      <c r="F638" s="138"/>
      <c r="G638" s="138"/>
      <c r="H638" s="138"/>
      <c r="I638" s="138"/>
      <c r="J638" s="138"/>
      <c r="K638" s="138"/>
      <c r="L638" s="138"/>
      <c r="M638" s="353"/>
    </row>
    <row r="639" spans="1:13" ht="14.1" customHeight="1" x14ac:dyDescent="0.25">
      <c r="A639" s="3">
        <v>45</v>
      </c>
      <c r="B639" s="351"/>
      <c r="C639" s="138"/>
      <c r="D639" s="138"/>
      <c r="E639" s="138"/>
      <c r="F639" s="138"/>
      <c r="G639" s="138"/>
      <c r="H639" s="138"/>
      <c r="I639" s="138"/>
      <c r="J639" s="138"/>
      <c r="K639" s="138"/>
      <c r="L639" s="138"/>
      <c r="M639" s="353"/>
    </row>
    <row r="640" spans="1:13" ht="14.1" customHeight="1" x14ac:dyDescent="0.25">
      <c r="A640" s="3">
        <v>46</v>
      </c>
      <c r="B640" s="351"/>
      <c r="C640" s="138"/>
      <c r="D640" s="138"/>
      <c r="E640" s="138"/>
      <c r="F640" s="138"/>
      <c r="G640" s="138"/>
      <c r="H640" s="138"/>
      <c r="I640" s="138"/>
      <c r="J640" s="138"/>
      <c r="K640" s="138"/>
      <c r="L640" s="138"/>
      <c r="M640" s="353"/>
    </row>
    <row r="641" spans="1:13" ht="14.1" customHeight="1" x14ac:dyDescent="0.25">
      <c r="A641" s="3">
        <v>47</v>
      </c>
      <c r="B641" s="351"/>
      <c r="C641" s="138"/>
      <c r="D641" s="138"/>
      <c r="E641" s="138"/>
      <c r="F641" s="138"/>
      <c r="G641" s="138"/>
      <c r="H641" s="138"/>
      <c r="I641" s="138"/>
      <c r="J641" s="138"/>
      <c r="K641" s="138"/>
      <c r="L641" s="138"/>
      <c r="M641" s="353"/>
    </row>
    <row r="642" spans="1:13" ht="14.1" customHeight="1" x14ac:dyDescent="0.25">
      <c r="A642" s="3">
        <v>48</v>
      </c>
      <c r="B642" s="351"/>
      <c r="C642" s="138"/>
      <c r="D642" s="138"/>
      <c r="E642" s="138"/>
      <c r="F642" s="138"/>
      <c r="G642" s="138"/>
      <c r="H642" s="138"/>
      <c r="I642" s="138"/>
      <c r="J642" s="138"/>
      <c r="K642" s="138"/>
      <c r="L642" s="138"/>
      <c r="M642" s="353"/>
    </row>
    <row r="643" spans="1:13" ht="14.1" customHeight="1" x14ac:dyDescent="0.25">
      <c r="A643" s="3">
        <v>49</v>
      </c>
      <c r="B643" s="351"/>
      <c r="C643" s="138"/>
      <c r="D643" s="138"/>
      <c r="E643" s="138"/>
      <c r="F643" s="138"/>
      <c r="G643" s="138"/>
      <c r="H643" s="138"/>
      <c r="I643" s="138"/>
      <c r="J643" s="138"/>
      <c r="K643" s="138"/>
      <c r="L643" s="138"/>
      <c r="M643" s="353"/>
    </row>
    <row r="644" spans="1:13" ht="14.1" customHeight="1" x14ac:dyDescent="0.25">
      <c r="A644" s="3">
        <v>50</v>
      </c>
      <c r="B644" s="351"/>
      <c r="C644" s="138"/>
      <c r="D644" s="138"/>
      <c r="E644" s="138"/>
      <c r="F644" s="138"/>
      <c r="G644" s="138"/>
      <c r="H644" s="138"/>
      <c r="I644" s="138"/>
      <c r="J644" s="138"/>
      <c r="K644" s="138"/>
      <c r="L644" s="138"/>
      <c r="M644" s="353"/>
    </row>
    <row r="645" spans="1:13" ht="14.1" customHeight="1" x14ac:dyDescent="0.25">
      <c r="A645" s="3">
        <v>51</v>
      </c>
      <c r="B645" s="351"/>
      <c r="C645" s="138"/>
      <c r="D645" s="138"/>
      <c r="E645" s="138"/>
      <c r="F645" s="138"/>
      <c r="G645" s="138"/>
      <c r="H645" s="138"/>
      <c r="I645" s="138"/>
      <c r="J645" s="138"/>
      <c r="K645" s="138"/>
      <c r="L645" s="138"/>
      <c r="M645" s="353"/>
    </row>
    <row r="646" spans="1:13" ht="14.1" customHeight="1" x14ac:dyDescent="0.25">
      <c r="A646" s="3">
        <v>52</v>
      </c>
      <c r="B646" s="351"/>
      <c r="C646" s="138"/>
      <c r="D646" s="138"/>
      <c r="E646" s="138"/>
      <c r="F646" s="138"/>
      <c r="G646" s="138"/>
      <c r="H646" s="138"/>
      <c r="I646" s="138"/>
      <c r="J646" s="138"/>
      <c r="K646" s="138"/>
      <c r="L646" s="138"/>
      <c r="M646" s="353"/>
    </row>
    <row r="647" spans="1:13" ht="14.1" customHeight="1" x14ac:dyDescent="0.25">
      <c r="A647" s="3">
        <v>53</v>
      </c>
      <c r="B647" s="351"/>
      <c r="C647" s="138"/>
      <c r="D647" s="138"/>
      <c r="E647" s="138"/>
      <c r="F647" s="138"/>
      <c r="G647" s="138"/>
      <c r="H647" s="138"/>
      <c r="I647" s="138"/>
      <c r="J647" s="138"/>
      <c r="K647" s="138"/>
      <c r="L647" s="138"/>
      <c r="M647" s="353"/>
    </row>
    <row r="648" spans="1:13" ht="14.1" customHeight="1" x14ac:dyDescent="0.25">
      <c r="A648" s="3">
        <v>54</v>
      </c>
      <c r="B648" s="351"/>
      <c r="C648" s="138"/>
      <c r="D648" s="138"/>
      <c r="E648" s="138"/>
      <c r="F648" s="138"/>
      <c r="G648" s="138"/>
      <c r="H648" s="138"/>
      <c r="I648" s="138"/>
      <c r="J648" s="138"/>
      <c r="K648" s="138"/>
      <c r="L648" s="138"/>
      <c r="M648" s="353"/>
    </row>
    <row r="649" spans="1:13" ht="14.1" customHeight="1" x14ac:dyDescent="0.25">
      <c r="A649" s="3">
        <v>55</v>
      </c>
      <c r="B649" s="351"/>
      <c r="C649" s="138"/>
      <c r="D649" s="138"/>
      <c r="E649" s="138"/>
      <c r="F649" s="138"/>
      <c r="G649" s="138"/>
      <c r="H649" s="138"/>
      <c r="I649" s="138"/>
      <c r="J649" s="138"/>
      <c r="K649" s="138"/>
      <c r="L649" s="138"/>
      <c r="M649" s="353"/>
    </row>
    <row r="650" spans="1:13" ht="14.1" customHeight="1" x14ac:dyDescent="0.25">
      <c r="A650" s="3">
        <v>56</v>
      </c>
      <c r="B650" s="351"/>
      <c r="C650" s="138"/>
      <c r="D650" s="138"/>
      <c r="E650" s="138"/>
      <c r="F650" s="138"/>
      <c r="G650" s="138"/>
      <c r="H650" s="138"/>
      <c r="I650" s="138"/>
      <c r="J650" s="138"/>
      <c r="K650" s="138"/>
      <c r="L650" s="138"/>
      <c r="M650" s="353"/>
    </row>
    <row r="651" spans="1:13" ht="14.1" customHeight="1" x14ac:dyDescent="0.25">
      <c r="A651" s="3">
        <v>57</v>
      </c>
      <c r="B651" s="351"/>
      <c r="C651" s="138"/>
      <c r="D651" s="138"/>
      <c r="E651" s="138"/>
      <c r="F651" s="138"/>
      <c r="G651" s="138"/>
      <c r="H651" s="138"/>
      <c r="I651" s="138"/>
      <c r="J651" s="138"/>
      <c r="K651" s="138"/>
      <c r="L651" s="138"/>
      <c r="M651" s="353"/>
    </row>
    <row r="652" spans="1:13" ht="14.1" customHeight="1" x14ac:dyDescent="0.25">
      <c r="A652" s="3">
        <v>58</v>
      </c>
      <c r="B652" s="351"/>
      <c r="C652" s="138"/>
      <c r="D652" s="138"/>
      <c r="E652" s="138"/>
      <c r="F652" s="138"/>
      <c r="G652" s="138"/>
      <c r="H652" s="138"/>
      <c r="I652" s="138"/>
      <c r="J652" s="138"/>
      <c r="K652" s="138"/>
      <c r="L652" s="138"/>
      <c r="M652" s="353"/>
    </row>
    <row r="653" spans="1:13" ht="14.1" customHeight="1" x14ac:dyDescent="0.25">
      <c r="A653" s="3">
        <v>59</v>
      </c>
      <c r="B653" s="351"/>
      <c r="C653" s="138"/>
      <c r="D653" s="138"/>
      <c r="E653" s="138"/>
      <c r="F653" s="138"/>
      <c r="G653" s="138"/>
      <c r="H653" s="138"/>
      <c r="I653" s="138"/>
      <c r="J653" s="138"/>
      <c r="K653" s="138"/>
      <c r="L653" s="138"/>
      <c r="M653" s="353"/>
    </row>
    <row r="654" spans="1:13" ht="14.1" customHeight="1" x14ac:dyDescent="0.25">
      <c r="A654" s="3">
        <v>60</v>
      </c>
      <c r="B654" s="351"/>
      <c r="C654" s="138"/>
      <c r="D654" s="138"/>
      <c r="E654" s="138"/>
      <c r="F654" s="138"/>
      <c r="G654" s="138"/>
      <c r="H654" s="138"/>
      <c r="I654" s="138"/>
      <c r="J654" s="138"/>
      <c r="K654" s="138"/>
      <c r="L654" s="138"/>
      <c r="M654" s="353"/>
    </row>
    <row r="655" spans="1:13" ht="14.1" customHeight="1" x14ac:dyDescent="0.25">
      <c r="A655" s="3">
        <v>61</v>
      </c>
      <c r="B655" s="351"/>
      <c r="C655" s="138"/>
      <c r="D655" s="138"/>
      <c r="E655" s="138"/>
      <c r="F655" s="138"/>
      <c r="G655" s="138"/>
      <c r="H655" s="138"/>
      <c r="I655" s="138"/>
      <c r="J655" s="138"/>
      <c r="K655" s="138"/>
      <c r="L655" s="138"/>
      <c r="M655" s="353"/>
    </row>
    <row r="656" spans="1:13" ht="14.1" customHeight="1" x14ac:dyDescent="0.25">
      <c r="A656" s="3">
        <v>62</v>
      </c>
      <c r="B656" s="351"/>
      <c r="C656" s="138"/>
      <c r="D656" s="138"/>
      <c r="E656" s="138"/>
      <c r="F656" s="138"/>
      <c r="G656" s="138"/>
      <c r="H656" s="138"/>
      <c r="I656" s="138"/>
      <c r="J656" s="138"/>
      <c r="K656" s="138"/>
      <c r="L656" s="138"/>
      <c r="M656" s="353"/>
    </row>
    <row r="657" spans="1:13" ht="14.1" customHeight="1" x14ac:dyDescent="0.25">
      <c r="A657" s="3">
        <v>63</v>
      </c>
      <c r="B657" s="351"/>
      <c r="C657" s="138"/>
      <c r="D657" s="138"/>
      <c r="E657" s="138"/>
      <c r="F657" s="138"/>
      <c r="G657" s="138"/>
      <c r="H657" s="138"/>
      <c r="I657" s="138"/>
      <c r="J657" s="138"/>
      <c r="K657" s="138"/>
      <c r="L657" s="138"/>
      <c r="M657" s="353"/>
    </row>
    <row r="658" spans="1:13" ht="14.1" customHeight="1" x14ac:dyDescent="0.25">
      <c r="A658" s="3">
        <v>64</v>
      </c>
      <c r="B658" s="354"/>
      <c r="C658" s="355"/>
      <c r="D658" s="355"/>
      <c r="E658" s="355"/>
      <c r="F658" s="355"/>
      <c r="G658" s="355"/>
      <c r="H658" s="355"/>
      <c r="I658" s="355"/>
      <c r="J658" s="355"/>
      <c r="K658" s="355"/>
      <c r="L658" s="355"/>
      <c r="M658" s="356"/>
    </row>
    <row r="659" spans="1:13" ht="14.1" customHeight="1" x14ac:dyDescent="0.25">
      <c r="A659" s="3">
        <v>65</v>
      </c>
      <c r="C659" s="2" t="s">
        <v>10</v>
      </c>
      <c r="D659" s="68" t="str">
        <f>IF($P$7="","",$P$7)</f>
        <v/>
      </c>
      <c r="L659" s="2" t="s">
        <v>11</v>
      </c>
      <c r="M659" s="69" t="str">
        <f>IF($X$7="","",$X$7)</f>
        <v>Eugene Mah</v>
      </c>
    </row>
    <row r="660" spans="1:13" ht="14.1" customHeight="1" x14ac:dyDescent="0.25">
      <c r="A660" s="3">
        <v>66</v>
      </c>
      <c r="C660" s="2" t="s">
        <v>79</v>
      </c>
      <c r="D660" s="70" t="str">
        <f>IF($R$14="","",$R$14&amp;" Tube "&amp;$W$48)</f>
        <v/>
      </c>
      <c r="L660" s="2" t="s">
        <v>25</v>
      </c>
      <c r="M660" s="71" t="str">
        <f>IF($R$13="","",$R$13)</f>
        <v/>
      </c>
    </row>
    <row r="661" spans="1:13" ht="14.1" customHeight="1" x14ac:dyDescent="0.25">
      <c r="A661" s="3">
        <v>1</v>
      </c>
      <c r="M661" s="72" t="str">
        <f>$H$2</f>
        <v>Medical University of South Carolina</v>
      </c>
    </row>
    <row r="662" spans="1:13" ht="14.1" customHeight="1" x14ac:dyDescent="0.25">
      <c r="A662" s="3">
        <v>2</v>
      </c>
      <c r="H662" s="52"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8"/>
      <c r="C663" s="349"/>
      <c r="D663" s="349"/>
      <c r="E663" s="349"/>
      <c r="F663" s="349"/>
      <c r="G663" s="349"/>
      <c r="H663" s="349"/>
      <c r="I663" s="349"/>
      <c r="J663" s="349"/>
      <c r="K663" s="349"/>
      <c r="L663" s="349"/>
      <c r="M663" s="350"/>
    </row>
    <row r="664" spans="1:13" ht="14.1" customHeight="1" x14ac:dyDescent="0.25">
      <c r="A664" s="3">
        <v>4</v>
      </c>
      <c r="B664" s="351"/>
      <c r="C664" s="138"/>
      <c r="D664" s="138"/>
      <c r="E664" s="138"/>
      <c r="F664" s="138"/>
      <c r="G664" s="138"/>
      <c r="H664" s="138"/>
      <c r="I664" s="138"/>
      <c r="J664" s="138"/>
      <c r="K664" s="138"/>
      <c r="L664" s="138"/>
      <c r="M664" s="353"/>
    </row>
    <row r="665" spans="1:13" ht="14.1" customHeight="1" x14ac:dyDescent="0.25">
      <c r="A665" s="3">
        <v>5</v>
      </c>
      <c r="B665" s="351"/>
      <c r="C665" s="138"/>
      <c r="D665" s="138"/>
      <c r="E665" s="138"/>
      <c r="F665" s="138"/>
      <c r="G665" s="138"/>
      <c r="H665" s="138"/>
      <c r="I665" s="138"/>
      <c r="J665" s="138"/>
      <c r="K665" s="138"/>
      <c r="L665" s="138"/>
      <c r="M665" s="353"/>
    </row>
    <row r="666" spans="1:13" ht="14.1" customHeight="1" x14ac:dyDescent="0.25">
      <c r="A666" s="3">
        <v>6</v>
      </c>
      <c r="B666" s="351"/>
      <c r="C666" s="138"/>
      <c r="D666" s="138"/>
      <c r="E666" s="138"/>
      <c r="F666" s="138"/>
      <c r="G666" s="138"/>
      <c r="H666" s="138"/>
      <c r="I666" s="138"/>
      <c r="J666" s="138"/>
      <c r="K666" s="138"/>
      <c r="L666" s="138"/>
      <c r="M666" s="353"/>
    </row>
    <row r="667" spans="1:13" ht="14.1" customHeight="1" x14ac:dyDescent="0.25">
      <c r="A667" s="3">
        <v>7</v>
      </c>
      <c r="B667" s="351"/>
      <c r="C667" s="138"/>
      <c r="D667" s="138"/>
      <c r="E667" s="138"/>
      <c r="F667" s="138"/>
      <c r="G667" s="138"/>
      <c r="H667" s="138"/>
      <c r="I667" s="138"/>
      <c r="J667" s="138"/>
      <c r="K667" s="138"/>
      <c r="L667" s="138"/>
      <c r="M667" s="353"/>
    </row>
    <row r="668" spans="1:13" ht="14.1" customHeight="1" x14ac:dyDescent="0.25">
      <c r="A668" s="3">
        <v>8</v>
      </c>
      <c r="B668" s="351"/>
      <c r="C668" s="138"/>
      <c r="D668" s="138"/>
      <c r="E668" s="138"/>
      <c r="F668" s="138"/>
      <c r="G668" s="138"/>
      <c r="H668" s="138"/>
      <c r="I668" s="138"/>
      <c r="J668" s="138"/>
      <c r="K668" s="138"/>
      <c r="L668" s="138"/>
      <c r="M668" s="353"/>
    </row>
    <row r="669" spans="1:13" ht="14.1" customHeight="1" x14ac:dyDescent="0.25">
      <c r="A669" s="3">
        <v>9</v>
      </c>
      <c r="B669" s="351"/>
      <c r="C669" s="138"/>
      <c r="D669" s="138"/>
      <c r="E669" s="138"/>
      <c r="F669" s="138"/>
      <c r="G669" s="138"/>
      <c r="H669" s="138"/>
      <c r="I669" s="138"/>
      <c r="J669" s="138"/>
      <c r="K669" s="138"/>
      <c r="L669" s="138"/>
      <c r="M669" s="353"/>
    </row>
    <row r="670" spans="1:13" ht="14.1" customHeight="1" x14ac:dyDescent="0.25">
      <c r="A670" s="3">
        <v>10</v>
      </c>
      <c r="B670" s="351"/>
      <c r="C670" s="138"/>
      <c r="D670" s="138"/>
      <c r="E670" s="138"/>
      <c r="F670" s="138"/>
      <c r="G670" s="138"/>
      <c r="H670" s="138"/>
      <c r="I670" s="138"/>
      <c r="J670" s="138"/>
      <c r="K670" s="138"/>
      <c r="L670" s="138"/>
      <c r="M670" s="353"/>
    </row>
    <row r="671" spans="1:13" ht="14.1" customHeight="1" x14ac:dyDescent="0.25">
      <c r="A671" s="3">
        <v>11</v>
      </c>
      <c r="B671" s="351"/>
      <c r="C671" s="138"/>
      <c r="D671" s="138"/>
      <c r="E671" s="138"/>
      <c r="F671" s="138"/>
      <c r="G671" s="138"/>
      <c r="H671" s="138"/>
      <c r="I671" s="138"/>
      <c r="J671" s="138"/>
      <c r="K671" s="138"/>
      <c r="L671" s="138"/>
      <c r="M671" s="353"/>
    </row>
    <row r="672" spans="1:13" ht="14.1" customHeight="1" x14ac:dyDescent="0.25">
      <c r="A672" s="3">
        <v>12</v>
      </c>
      <c r="B672" s="351"/>
      <c r="C672" s="138"/>
      <c r="D672" s="138"/>
      <c r="E672" s="138"/>
      <c r="F672" s="138"/>
      <c r="G672" s="138"/>
      <c r="H672" s="138"/>
      <c r="I672" s="138"/>
      <c r="J672" s="138"/>
      <c r="K672" s="138"/>
      <c r="L672" s="138"/>
      <c r="M672" s="353"/>
    </row>
    <row r="673" spans="1:13" ht="14.1" customHeight="1" x14ac:dyDescent="0.25">
      <c r="A673" s="3">
        <v>13</v>
      </c>
      <c r="B673" s="351"/>
      <c r="C673" s="138"/>
      <c r="D673" s="138"/>
      <c r="E673" s="138"/>
      <c r="F673" s="138"/>
      <c r="G673" s="138"/>
      <c r="H673" s="138"/>
      <c r="I673" s="138"/>
      <c r="J673" s="138"/>
      <c r="K673" s="138"/>
      <c r="L673" s="138"/>
      <c r="M673" s="353"/>
    </row>
    <row r="674" spans="1:13" ht="14.1" customHeight="1" x14ac:dyDescent="0.25">
      <c r="A674" s="3">
        <v>14</v>
      </c>
      <c r="B674" s="351"/>
      <c r="C674" s="138"/>
      <c r="D674" s="138"/>
      <c r="E674" s="138"/>
      <c r="F674" s="138"/>
      <c r="G674" s="138"/>
      <c r="H674" s="138"/>
      <c r="I674" s="138"/>
      <c r="J674" s="138"/>
      <c r="K674" s="138"/>
      <c r="L674" s="138"/>
      <c r="M674" s="353"/>
    </row>
    <row r="675" spans="1:13" ht="14.1" customHeight="1" x14ac:dyDescent="0.25">
      <c r="A675" s="3">
        <v>15</v>
      </c>
      <c r="B675" s="351"/>
      <c r="C675" s="138"/>
      <c r="D675" s="138"/>
      <c r="E675" s="138"/>
      <c r="F675" s="138"/>
      <c r="G675" s="138"/>
      <c r="H675" s="138"/>
      <c r="I675" s="138"/>
      <c r="J675" s="138"/>
      <c r="K675" s="138"/>
      <c r="L675" s="138"/>
      <c r="M675" s="353"/>
    </row>
    <row r="676" spans="1:13" ht="14.1" customHeight="1" x14ac:dyDescent="0.25">
      <c r="A676" s="3">
        <v>16</v>
      </c>
      <c r="B676" s="351"/>
      <c r="C676" s="138"/>
      <c r="D676" s="138"/>
      <c r="E676" s="138"/>
      <c r="F676" s="138"/>
      <c r="G676" s="138"/>
      <c r="H676" s="138"/>
      <c r="I676" s="138"/>
      <c r="J676" s="138"/>
      <c r="K676" s="138"/>
      <c r="L676" s="138"/>
      <c r="M676" s="353"/>
    </row>
    <row r="677" spans="1:13" ht="14.1" customHeight="1" x14ac:dyDescent="0.25">
      <c r="A677" s="3">
        <v>17</v>
      </c>
      <c r="B677" s="351"/>
      <c r="C677" s="138"/>
      <c r="D677" s="138"/>
      <c r="E677" s="138"/>
      <c r="F677" s="138"/>
      <c r="G677" s="138"/>
      <c r="H677" s="138"/>
      <c r="I677" s="138"/>
      <c r="J677" s="138"/>
      <c r="K677" s="138"/>
      <c r="L677" s="138"/>
      <c r="M677" s="353"/>
    </row>
    <row r="678" spans="1:13" ht="14.1" customHeight="1" x14ac:dyDescent="0.25">
      <c r="A678" s="3">
        <v>18</v>
      </c>
      <c r="B678" s="351"/>
      <c r="C678" s="138"/>
      <c r="D678" s="138"/>
      <c r="E678" s="138"/>
      <c r="F678" s="138"/>
      <c r="G678" s="138"/>
      <c r="H678" s="138"/>
      <c r="I678" s="138"/>
      <c r="J678" s="138"/>
      <c r="K678" s="138"/>
      <c r="L678" s="138"/>
      <c r="M678" s="353"/>
    </row>
    <row r="679" spans="1:13" ht="14.1" customHeight="1" x14ac:dyDescent="0.25">
      <c r="A679" s="3">
        <v>19</v>
      </c>
      <c r="B679" s="351"/>
      <c r="C679" s="138"/>
      <c r="D679" s="138"/>
      <c r="E679" s="138"/>
      <c r="F679" s="138"/>
      <c r="G679" s="138"/>
      <c r="H679" s="138"/>
      <c r="I679" s="138"/>
      <c r="J679" s="138"/>
      <c r="K679" s="138"/>
      <c r="L679" s="138"/>
      <c r="M679" s="353"/>
    </row>
    <row r="680" spans="1:13" ht="14.1" customHeight="1" x14ac:dyDescent="0.25">
      <c r="A680" s="3">
        <v>20</v>
      </c>
      <c r="B680" s="351"/>
      <c r="C680" s="138"/>
      <c r="D680" s="138"/>
      <c r="E680" s="138"/>
      <c r="F680" s="138"/>
      <c r="G680" s="138"/>
      <c r="H680" s="138"/>
      <c r="I680" s="138"/>
      <c r="J680" s="138"/>
      <c r="K680" s="138"/>
      <c r="L680" s="138"/>
      <c r="M680" s="353"/>
    </row>
    <row r="681" spans="1:13" ht="14.1" customHeight="1" x14ac:dyDescent="0.25">
      <c r="A681" s="3">
        <v>21</v>
      </c>
      <c r="B681" s="351"/>
      <c r="C681" s="138"/>
      <c r="D681" s="138"/>
      <c r="E681" s="138"/>
      <c r="F681" s="138"/>
      <c r="G681" s="138"/>
      <c r="H681" s="138"/>
      <c r="I681" s="138"/>
      <c r="J681" s="138"/>
      <c r="K681" s="138"/>
      <c r="L681" s="138"/>
      <c r="M681" s="353"/>
    </row>
    <row r="682" spans="1:13" ht="14.1" customHeight="1" x14ac:dyDescent="0.25">
      <c r="A682" s="3">
        <v>22</v>
      </c>
      <c r="B682" s="351"/>
      <c r="C682" s="138"/>
      <c r="D682" s="138"/>
      <c r="E682" s="138"/>
      <c r="F682" s="138"/>
      <c r="G682" s="138"/>
      <c r="H682" s="138"/>
      <c r="I682" s="138"/>
      <c r="J682" s="138"/>
      <c r="K682" s="138"/>
      <c r="L682" s="138"/>
      <c r="M682" s="353"/>
    </row>
    <row r="683" spans="1:13" ht="14.1" customHeight="1" x14ac:dyDescent="0.25">
      <c r="A683" s="3">
        <v>23</v>
      </c>
      <c r="B683" s="351"/>
      <c r="C683" s="138"/>
      <c r="D683" s="138"/>
      <c r="E683" s="138"/>
      <c r="F683" s="138"/>
      <c r="G683" s="138"/>
      <c r="H683" s="138"/>
      <c r="I683" s="138"/>
      <c r="J683" s="138"/>
      <c r="K683" s="138"/>
      <c r="L683" s="138"/>
      <c r="M683" s="353"/>
    </row>
    <row r="684" spans="1:13" ht="14.1" customHeight="1" x14ac:dyDescent="0.25">
      <c r="A684" s="3">
        <v>24</v>
      </c>
      <c r="B684" s="351"/>
      <c r="C684" s="138"/>
      <c r="D684" s="138"/>
      <c r="E684" s="138"/>
      <c r="F684" s="138"/>
      <c r="G684" s="138"/>
      <c r="H684" s="138"/>
      <c r="I684" s="138"/>
      <c r="J684" s="138"/>
      <c r="K684" s="138"/>
      <c r="L684" s="138"/>
      <c r="M684" s="353"/>
    </row>
    <row r="685" spans="1:13" ht="14.1" customHeight="1" x14ac:dyDescent="0.25">
      <c r="A685" s="3">
        <v>25</v>
      </c>
      <c r="B685" s="351"/>
      <c r="C685" s="138"/>
      <c r="D685" s="138"/>
      <c r="E685" s="138"/>
      <c r="F685" s="138"/>
      <c r="G685" s="138"/>
      <c r="H685" s="138"/>
      <c r="I685" s="138"/>
      <c r="J685" s="138"/>
      <c r="K685" s="138"/>
      <c r="L685" s="138"/>
      <c r="M685" s="353"/>
    </row>
    <row r="686" spans="1:13" ht="14.1" customHeight="1" x14ac:dyDescent="0.25">
      <c r="A686" s="3">
        <v>26</v>
      </c>
      <c r="B686" s="351"/>
      <c r="C686" s="138"/>
      <c r="D686" s="138"/>
      <c r="E686" s="138"/>
      <c r="F686" s="138"/>
      <c r="G686" s="138"/>
      <c r="H686" s="138"/>
      <c r="I686" s="138"/>
      <c r="J686" s="138"/>
      <c r="K686" s="138"/>
      <c r="L686" s="138"/>
      <c r="M686" s="353"/>
    </row>
    <row r="687" spans="1:13" ht="14.1" customHeight="1" x14ac:dyDescent="0.25">
      <c r="A687" s="3">
        <v>27</v>
      </c>
      <c r="B687" s="351"/>
      <c r="C687" s="138"/>
      <c r="D687" s="138"/>
      <c r="E687" s="138"/>
      <c r="F687" s="138"/>
      <c r="G687" s="138"/>
      <c r="H687" s="138"/>
      <c r="I687" s="138"/>
      <c r="J687" s="138"/>
      <c r="K687" s="138"/>
      <c r="L687" s="138"/>
      <c r="M687" s="353"/>
    </row>
    <row r="688" spans="1:13" ht="14.1" customHeight="1" x14ac:dyDescent="0.25">
      <c r="A688" s="3">
        <v>28</v>
      </c>
      <c r="B688" s="351"/>
      <c r="C688" s="138"/>
      <c r="D688" s="138"/>
      <c r="E688" s="138"/>
      <c r="F688" s="138"/>
      <c r="G688" s="138"/>
      <c r="H688" s="138"/>
      <c r="I688" s="138"/>
      <c r="J688" s="138"/>
      <c r="K688" s="138"/>
      <c r="L688" s="138"/>
      <c r="M688" s="353"/>
    </row>
    <row r="689" spans="1:13" ht="14.1" customHeight="1" x14ac:dyDescent="0.25">
      <c r="A689" s="3">
        <v>29</v>
      </c>
      <c r="B689" s="351"/>
      <c r="C689" s="138"/>
      <c r="D689" s="138"/>
      <c r="E689" s="138"/>
      <c r="F689" s="138"/>
      <c r="G689" s="138"/>
      <c r="H689" s="138"/>
      <c r="I689" s="138"/>
      <c r="J689" s="138"/>
      <c r="K689" s="138"/>
      <c r="L689" s="138"/>
      <c r="M689" s="353"/>
    </row>
    <row r="690" spans="1:13" ht="14.1" customHeight="1" x14ac:dyDescent="0.25">
      <c r="A690" s="3">
        <v>30</v>
      </c>
      <c r="B690" s="351"/>
      <c r="C690" s="138"/>
      <c r="D690" s="138"/>
      <c r="E690" s="138"/>
      <c r="F690" s="138"/>
      <c r="G690" s="138"/>
      <c r="H690" s="138"/>
      <c r="I690" s="138"/>
      <c r="J690" s="138"/>
      <c r="K690" s="138"/>
      <c r="L690" s="138"/>
      <c r="M690" s="353"/>
    </row>
    <row r="691" spans="1:13" ht="14.1" customHeight="1" x14ac:dyDescent="0.25">
      <c r="A691" s="3">
        <v>31</v>
      </c>
      <c r="B691" s="351"/>
      <c r="C691" s="138"/>
      <c r="D691" s="138"/>
      <c r="E691" s="138"/>
      <c r="F691" s="138"/>
      <c r="G691" s="138"/>
      <c r="H691" s="138"/>
      <c r="I691" s="138"/>
      <c r="J691" s="138"/>
      <c r="K691" s="138"/>
      <c r="L691" s="138"/>
      <c r="M691" s="353"/>
    </row>
    <row r="692" spans="1:13" ht="14.1" customHeight="1" x14ac:dyDescent="0.25">
      <c r="A692" s="3">
        <v>32</v>
      </c>
      <c r="B692" s="351"/>
      <c r="C692" s="138"/>
      <c r="D692" s="138"/>
      <c r="E692" s="138"/>
      <c r="F692" s="138"/>
      <c r="G692" s="138"/>
      <c r="H692" s="138"/>
      <c r="I692" s="138"/>
      <c r="J692" s="138"/>
      <c r="K692" s="138"/>
      <c r="L692" s="138"/>
      <c r="M692" s="353"/>
    </row>
    <row r="693" spans="1:13" ht="14.1" customHeight="1" x14ac:dyDescent="0.25">
      <c r="A693" s="3">
        <v>33</v>
      </c>
      <c r="B693" s="351"/>
      <c r="C693" s="138"/>
      <c r="D693" s="138"/>
      <c r="E693" s="138"/>
      <c r="F693" s="138"/>
      <c r="G693" s="138"/>
      <c r="H693" s="138"/>
      <c r="I693" s="138"/>
      <c r="J693" s="138"/>
      <c r="K693" s="138"/>
      <c r="L693" s="138"/>
      <c r="M693" s="353"/>
    </row>
    <row r="694" spans="1:13" ht="14.1" customHeight="1" x14ac:dyDescent="0.25">
      <c r="A694" s="3">
        <v>34</v>
      </c>
      <c r="B694" s="351"/>
      <c r="C694" s="138"/>
      <c r="D694" s="138"/>
      <c r="E694" s="138"/>
      <c r="F694" s="138"/>
      <c r="G694" s="138"/>
      <c r="H694" s="138"/>
      <c r="I694" s="138"/>
      <c r="J694" s="138"/>
      <c r="K694" s="138"/>
      <c r="L694" s="138"/>
      <c r="M694" s="353"/>
    </row>
    <row r="695" spans="1:13" ht="14.1" customHeight="1" x14ac:dyDescent="0.25">
      <c r="A695" s="3">
        <v>35</v>
      </c>
      <c r="B695" s="351"/>
      <c r="C695" s="138"/>
      <c r="D695" s="138"/>
      <c r="E695" s="138"/>
      <c r="F695" s="138"/>
      <c r="G695" s="138"/>
      <c r="H695" s="138"/>
      <c r="I695" s="138"/>
      <c r="J695" s="138"/>
      <c r="K695" s="138"/>
      <c r="L695" s="138"/>
      <c r="M695" s="353"/>
    </row>
    <row r="696" spans="1:13" ht="14.1" customHeight="1" x14ac:dyDescent="0.25">
      <c r="A696" s="3">
        <v>36</v>
      </c>
      <c r="B696" s="351"/>
      <c r="C696" s="138"/>
      <c r="D696" s="138"/>
      <c r="E696" s="138"/>
      <c r="F696" s="138"/>
      <c r="G696" s="138"/>
      <c r="H696" s="138"/>
      <c r="I696" s="138"/>
      <c r="J696" s="138"/>
      <c r="K696" s="138"/>
      <c r="L696" s="138"/>
      <c r="M696" s="353"/>
    </row>
    <row r="697" spans="1:13" ht="14.1" customHeight="1" x14ac:dyDescent="0.25">
      <c r="A697" s="3">
        <v>37</v>
      </c>
      <c r="B697" s="351"/>
      <c r="C697" s="138"/>
      <c r="D697" s="138"/>
      <c r="E697" s="138"/>
      <c r="F697" s="138"/>
      <c r="G697" s="138"/>
      <c r="H697" s="138"/>
      <c r="I697" s="138"/>
      <c r="J697" s="138"/>
      <c r="K697" s="138"/>
      <c r="L697" s="138"/>
      <c r="M697" s="353"/>
    </row>
    <row r="698" spans="1:13" ht="14.1" customHeight="1" x14ac:dyDescent="0.25">
      <c r="A698" s="3">
        <v>38</v>
      </c>
      <c r="B698" s="351"/>
      <c r="C698" s="138"/>
      <c r="D698" s="138"/>
      <c r="E698" s="138"/>
      <c r="F698" s="138"/>
      <c r="G698" s="138"/>
      <c r="H698" s="138"/>
      <c r="I698" s="138"/>
      <c r="J698" s="138"/>
      <c r="K698" s="138"/>
      <c r="L698" s="138"/>
      <c r="M698" s="353"/>
    </row>
    <row r="699" spans="1:13" ht="14.1" customHeight="1" x14ac:dyDescent="0.25">
      <c r="A699" s="3">
        <v>39</v>
      </c>
      <c r="B699" s="351"/>
      <c r="C699" s="138"/>
      <c r="D699" s="138"/>
      <c r="E699" s="138"/>
      <c r="F699" s="138"/>
      <c r="G699" s="138"/>
      <c r="H699" s="138"/>
      <c r="I699" s="138"/>
      <c r="J699" s="138"/>
      <c r="K699" s="138"/>
      <c r="L699" s="138"/>
      <c r="M699" s="353"/>
    </row>
    <row r="700" spans="1:13" ht="14.1" customHeight="1" x14ac:dyDescent="0.25">
      <c r="A700" s="3">
        <v>40</v>
      </c>
      <c r="B700" s="351"/>
      <c r="C700" s="138"/>
      <c r="D700" s="138"/>
      <c r="E700" s="138"/>
      <c r="F700" s="138"/>
      <c r="G700" s="138"/>
      <c r="H700" s="138"/>
      <c r="I700" s="138"/>
      <c r="J700" s="138"/>
      <c r="K700" s="138"/>
      <c r="L700" s="138"/>
      <c r="M700" s="353"/>
    </row>
    <row r="701" spans="1:13" ht="14.1" customHeight="1" x14ac:dyDescent="0.25">
      <c r="A701" s="3">
        <v>41</v>
      </c>
      <c r="B701" s="351"/>
      <c r="C701" s="138"/>
      <c r="D701" s="138"/>
      <c r="E701" s="138"/>
      <c r="F701" s="138"/>
      <c r="G701" s="138"/>
      <c r="H701" s="138"/>
      <c r="I701" s="138"/>
      <c r="J701" s="138"/>
      <c r="K701" s="138"/>
      <c r="L701" s="138"/>
      <c r="M701" s="353"/>
    </row>
    <row r="702" spans="1:13" ht="14.1" customHeight="1" x14ac:dyDescent="0.25">
      <c r="A702" s="3">
        <v>42</v>
      </c>
      <c r="B702" s="351"/>
      <c r="C702" s="138"/>
      <c r="D702" s="138"/>
      <c r="E702" s="138"/>
      <c r="F702" s="138"/>
      <c r="G702" s="138"/>
      <c r="H702" s="138"/>
      <c r="I702" s="138"/>
      <c r="J702" s="138"/>
      <c r="K702" s="138"/>
      <c r="L702" s="138"/>
      <c r="M702" s="353"/>
    </row>
    <row r="703" spans="1:13" ht="14.1" customHeight="1" x14ac:dyDescent="0.25">
      <c r="A703" s="3">
        <v>43</v>
      </c>
      <c r="B703" s="351"/>
      <c r="C703" s="138"/>
      <c r="D703" s="138"/>
      <c r="E703" s="138"/>
      <c r="F703" s="138"/>
      <c r="G703" s="138"/>
      <c r="H703" s="138"/>
      <c r="I703" s="138"/>
      <c r="J703" s="138"/>
      <c r="K703" s="138"/>
      <c r="L703" s="138"/>
      <c r="M703" s="353"/>
    </row>
    <row r="704" spans="1:13" ht="14.1" customHeight="1" x14ac:dyDescent="0.25">
      <c r="A704" s="3">
        <v>44</v>
      </c>
      <c r="B704" s="351"/>
      <c r="C704" s="138"/>
      <c r="D704" s="138"/>
      <c r="E704" s="138"/>
      <c r="F704" s="138"/>
      <c r="G704" s="138"/>
      <c r="H704" s="138"/>
      <c r="I704" s="138"/>
      <c r="J704" s="138"/>
      <c r="K704" s="138"/>
      <c r="L704" s="138"/>
      <c r="M704" s="353"/>
    </row>
    <row r="705" spans="1:13" ht="14.1" customHeight="1" x14ac:dyDescent="0.25">
      <c r="A705" s="3">
        <v>45</v>
      </c>
      <c r="B705" s="351"/>
      <c r="C705" s="138"/>
      <c r="D705" s="138"/>
      <c r="E705" s="138"/>
      <c r="F705" s="138"/>
      <c r="G705" s="138"/>
      <c r="H705" s="138"/>
      <c r="I705" s="138"/>
      <c r="J705" s="138"/>
      <c r="K705" s="138"/>
      <c r="L705" s="138"/>
      <c r="M705" s="353"/>
    </row>
    <row r="706" spans="1:13" ht="14.1" customHeight="1" x14ac:dyDescent="0.25">
      <c r="A706" s="3">
        <v>46</v>
      </c>
      <c r="B706" s="351"/>
      <c r="C706" s="138"/>
      <c r="D706" s="138"/>
      <c r="E706" s="138"/>
      <c r="F706" s="138"/>
      <c r="G706" s="138"/>
      <c r="H706" s="138"/>
      <c r="I706" s="138"/>
      <c r="J706" s="138"/>
      <c r="K706" s="138"/>
      <c r="L706" s="138"/>
      <c r="M706" s="353"/>
    </row>
    <row r="707" spans="1:13" ht="14.1" customHeight="1" x14ac:dyDescent="0.25">
      <c r="A707" s="3">
        <v>47</v>
      </c>
      <c r="B707" s="351"/>
      <c r="C707" s="138"/>
      <c r="D707" s="138"/>
      <c r="E707" s="138"/>
      <c r="F707" s="138"/>
      <c r="G707" s="138"/>
      <c r="H707" s="138"/>
      <c r="I707" s="138"/>
      <c r="J707" s="138"/>
      <c r="K707" s="138"/>
      <c r="L707" s="138"/>
      <c r="M707" s="353"/>
    </row>
    <row r="708" spans="1:13" ht="14.1" customHeight="1" x14ac:dyDescent="0.25">
      <c r="A708" s="3">
        <v>48</v>
      </c>
      <c r="B708" s="351"/>
      <c r="C708" s="138"/>
      <c r="D708" s="138"/>
      <c r="E708" s="138"/>
      <c r="F708" s="138"/>
      <c r="G708" s="138"/>
      <c r="H708" s="138"/>
      <c r="I708" s="138"/>
      <c r="J708" s="138"/>
      <c r="K708" s="138"/>
      <c r="L708" s="138"/>
      <c r="M708" s="353"/>
    </row>
    <row r="709" spans="1:13" ht="14.1" customHeight="1" x14ac:dyDescent="0.25">
      <c r="A709" s="3">
        <v>49</v>
      </c>
      <c r="B709" s="351"/>
      <c r="C709" s="138"/>
      <c r="D709" s="138"/>
      <c r="E709" s="138"/>
      <c r="F709" s="138"/>
      <c r="G709" s="138"/>
      <c r="H709" s="138"/>
      <c r="I709" s="138"/>
      <c r="J709" s="138"/>
      <c r="K709" s="138"/>
      <c r="L709" s="138"/>
      <c r="M709" s="353"/>
    </row>
    <row r="710" spans="1:13" ht="14.1" customHeight="1" x14ac:dyDescent="0.25">
      <c r="A710" s="3">
        <v>50</v>
      </c>
      <c r="B710" s="351"/>
      <c r="C710" s="138"/>
      <c r="D710" s="138"/>
      <c r="E710" s="138"/>
      <c r="F710" s="138"/>
      <c r="G710" s="138"/>
      <c r="H710" s="138"/>
      <c r="I710" s="138"/>
      <c r="J710" s="138"/>
      <c r="K710" s="138"/>
      <c r="L710" s="138"/>
      <c r="M710" s="353"/>
    </row>
    <row r="711" spans="1:13" ht="14.1" customHeight="1" x14ac:dyDescent="0.25">
      <c r="A711" s="3">
        <v>51</v>
      </c>
      <c r="B711" s="351"/>
      <c r="C711" s="138"/>
      <c r="D711" s="138"/>
      <c r="E711" s="138"/>
      <c r="F711" s="138"/>
      <c r="G711" s="138"/>
      <c r="H711" s="138"/>
      <c r="I711" s="138"/>
      <c r="J711" s="138"/>
      <c r="K711" s="138"/>
      <c r="L711" s="138"/>
      <c r="M711" s="353"/>
    </row>
    <row r="712" spans="1:13" ht="14.1" customHeight="1" x14ac:dyDescent="0.25">
      <c r="A712" s="3">
        <v>52</v>
      </c>
      <c r="B712" s="351"/>
      <c r="C712" s="138"/>
      <c r="D712" s="138"/>
      <c r="E712" s="138"/>
      <c r="F712" s="138"/>
      <c r="G712" s="138"/>
      <c r="H712" s="138"/>
      <c r="I712" s="138"/>
      <c r="J712" s="138"/>
      <c r="K712" s="138"/>
      <c r="L712" s="138"/>
      <c r="M712" s="353"/>
    </row>
    <row r="713" spans="1:13" ht="14.1" customHeight="1" x14ac:dyDescent="0.25">
      <c r="A713" s="3">
        <v>53</v>
      </c>
      <c r="B713" s="351"/>
      <c r="C713" s="138"/>
      <c r="D713" s="138"/>
      <c r="E713" s="138"/>
      <c r="F713" s="138"/>
      <c r="G713" s="138"/>
      <c r="H713" s="138"/>
      <c r="I713" s="138"/>
      <c r="J713" s="138"/>
      <c r="K713" s="138"/>
      <c r="L713" s="138"/>
      <c r="M713" s="353"/>
    </row>
    <row r="714" spans="1:13" ht="14.1" customHeight="1" x14ac:dyDescent="0.25">
      <c r="A714" s="3">
        <v>54</v>
      </c>
      <c r="B714" s="351"/>
      <c r="C714" s="138"/>
      <c r="D714" s="138"/>
      <c r="E714" s="138"/>
      <c r="F714" s="138"/>
      <c r="G714" s="138"/>
      <c r="H714" s="138"/>
      <c r="I714" s="138"/>
      <c r="J714" s="138"/>
      <c r="K714" s="138"/>
      <c r="L714" s="138"/>
      <c r="M714" s="353"/>
    </row>
    <row r="715" spans="1:13" ht="14.1" customHeight="1" x14ac:dyDescent="0.25">
      <c r="A715" s="3">
        <v>55</v>
      </c>
      <c r="B715" s="351"/>
      <c r="C715" s="138"/>
      <c r="D715" s="138"/>
      <c r="E715" s="138"/>
      <c r="F715" s="138"/>
      <c r="G715" s="138"/>
      <c r="H715" s="138"/>
      <c r="I715" s="138"/>
      <c r="J715" s="138"/>
      <c r="K715" s="138"/>
      <c r="L715" s="138"/>
      <c r="M715" s="353"/>
    </row>
    <row r="716" spans="1:13" ht="14.1" customHeight="1" x14ac:dyDescent="0.25">
      <c r="A716" s="3">
        <v>56</v>
      </c>
      <c r="B716" s="351"/>
      <c r="C716" s="138"/>
      <c r="D716" s="138"/>
      <c r="E716" s="138"/>
      <c r="F716" s="138"/>
      <c r="G716" s="138"/>
      <c r="H716" s="138"/>
      <c r="I716" s="138"/>
      <c r="J716" s="138"/>
      <c r="K716" s="138"/>
      <c r="L716" s="138"/>
      <c r="M716" s="353"/>
    </row>
    <row r="717" spans="1:13" ht="14.1" customHeight="1" x14ac:dyDescent="0.25">
      <c r="A717" s="3">
        <v>57</v>
      </c>
      <c r="B717" s="351"/>
      <c r="C717" s="138"/>
      <c r="D717" s="138"/>
      <c r="E717" s="138"/>
      <c r="F717" s="138"/>
      <c r="G717" s="138"/>
      <c r="H717" s="138"/>
      <c r="I717" s="138"/>
      <c r="J717" s="138"/>
      <c r="K717" s="138"/>
      <c r="L717" s="138"/>
      <c r="M717" s="353"/>
    </row>
    <row r="718" spans="1:13" ht="14.1" customHeight="1" x14ac:dyDescent="0.25">
      <c r="A718" s="3">
        <v>58</v>
      </c>
      <c r="B718" s="351"/>
      <c r="C718" s="138"/>
      <c r="D718" s="138"/>
      <c r="E718" s="138"/>
      <c r="F718" s="138"/>
      <c r="G718" s="138"/>
      <c r="H718" s="138"/>
      <c r="I718" s="138"/>
      <c r="J718" s="138"/>
      <c r="K718" s="138"/>
      <c r="L718" s="138"/>
      <c r="M718" s="353"/>
    </row>
    <row r="719" spans="1:13" ht="14.1" customHeight="1" x14ac:dyDescent="0.25">
      <c r="A719" s="3">
        <v>59</v>
      </c>
      <c r="B719" s="351"/>
      <c r="C719" s="138"/>
      <c r="D719" s="138"/>
      <c r="E719" s="138"/>
      <c r="F719" s="138"/>
      <c r="G719" s="138"/>
      <c r="H719" s="138"/>
      <c r="I719" s="138"/>
      <c r="J719" s="138"/>
      <c r="K719" s="138"/>
      <c r="L719" s="138"/>
      <c r="M719" s="353"/>
    </row>
    <row r="720" spans="1:13" ht="14.1" customHeight="1" x14ac:dyDescent="0.25">
      <c r="A720" s="3">
        <v>60</v>
      </c>
      <c r="B720" s="351"/>
      <c r="C720" s="138"/>
      <c r="D720" s="138"/>
      <c r="E720" s="138"/>
      <c r="F720" s="138"/>
      <c r="G720" s="138"/>
      <c r="H720" s="138"/>
      <c r="I720" s="138"/>
      <c r="J720" s="138"/>
      <c r="K720" s="138"/>
      <c r="L720" s="138"/>
      <c r="M720" s="353"/>
    </row>
    <row r="721" spans="1:13" ht="14.1" customHeight="1" x14ac:dyDescent="0.25">
      <c r="A721" s="3">
        <v>61</v>
      </c>
      <c r="B721" s="351"/>
      <c r="C721" s="138"/>
      <c r="D721" s="138"/>
      <c r="E721" s="138"/>
      <c r="F721" s="138"/>
      <c r="G721" s="138"/>
      <c r="H721" s="138"/>
      <c r="I721" s="138"/>
      <c r="J721" s="138"/>
      <c r="K721" s="138"/>
      <c r="L721" s="138"/>
      <c r="M721" s="353"/>
    </row>
    <row r="722" spans="1:13" ht="14.1" customHeight="1" x14ac:dyDescent="0.25">
      <c r="A722" s="3">
        <v>62</v>
      </c>
      <c r="B722" s="351"/>
      <c r="C722" s="138"/>
      <c r="D722" s="138"/>
      <c r="E722" s="138"/>
      <c r="F722" s="138"/>
      <c r="G722" s="138"/>
      <c r="H722" s="138"/>
      <c r="I722" s="138"/>
      <c r="J722" s="138"/>
      <c r="K722" s="138"/>
      <c r="L722" s="138"/>
      <c r="M722" s="353"/>
    </row>
    <row r="723" spans="1:13" ht="14.1" customHeight="1" x14ac:dyDescent="0.25">
      <c r="A723" s="3">
        <v>63</v>
      </c>
      <c r="B723" s="351"/>
      <c r="C723" s="138"/>
      <c r="D723" s="138"/>
      <c r="E723" s="138"/>
      <c r="F723" s="138"/>
      <c r="G723" s="138"/>
      <c r="H723" s="138"/>
      <c r="I723" s="138"/>
      <c r="J723" s="138"/>
      <c r="K723" s="138"/>
      <c r="L723" s="138"/>
      <c r="M723" s="353"/>
    </row>
    <row r="724" spans="1:13" ht="14.1" customHeight="1" x14ac:dyDescent="0.25">
      <c r="A724" s="3">
        <v>64</v>
      </c>
      <c r="B724" s="354"/>
      <c r="C724" s="355"/>
      <c r="D724" s="355"/>
      <c r="E724" s="355"/>
      <c r="F724" s="355"/>
      <c r="G724" s="355"/>
      <c r="H724" s="355"/>
      <c r="I724" s="355"/>
      <c r="J724" s="355"/>
      <c r="K724" s="355"/>
      <c r="L724" s="355"/>
      <c r="M724" s="356"/>
    </row>
    <row r="725" spans="1:13" ht="14.1" customHeight="1" x14ac:dyDescent="0.25">
      <c r="A725" s="3">
        <v>65</v>
      </c>
      <c r="C725" s="2" t="s">
        <v>10</v>
      </c>
      <c r="D725" s="68" t="str">
        <f>IF($P$7="","",$P$7)</f>
        <v/>
      </c>
      <c r="L725" s="2" t="s">
        <v>11</v>
      </c>
      <c r="M725" s="69" t="str">
        <f>IF($X$7="","",$X$7)</f>
        <v>Eugene Mah</v>
      </c>
    </row>
    <row r="726" spans="1:13" ht="14.1" customHeight="1" x14ac:dyDescent="0.25">
      <c r="A726" s="3">
        <v>66</v>
      </c>
      <c r="C726" s="2" t="s">
        <v>79</v>
      </c>
      <c r="D726" s="70" t="str">
        <f>IF($R$14="","",$R$14&amp;" Tube "&amp;$W$48)</f>
        <v/>
      </c>
      <c r="L726" s="2" t="s">
        <v>25</v>
      </c>
      <c r="M726" s="71" t="str">
        <f>IF($R$13="","",$R$13)</f>
        <v/>
      </c>
    </row>
    <row r="727" spans="1:13" ht="14.1" customHeight="1" x14ac:dyDescent="0.25">
      <c r="A727" s="3">
        <v>1</v>
      </c>
      <c r="M727" s="72" t="str">
        <f>$H$2</f>
        <v>Medical University of South Carolina</v>
      </c>
    </row>
    <row r="728" spans="1:13" ht="14.1" customHeight="1" x14ac:dyDescent="0.25">
      <c r="A728" s="3">
        <v>2</v>
      </c>
      <c r="H728" s="52" t="s">
        <v>407</v>
      </c>
      <c r="M728" s="25" t="str">
        <f>$H$5</f>
        <v>Fluoroscopy System Compliance Inspection</v>
      </c>
    </row>
    <row r="729" spans="1:13" ht="14.1" customHeight="1" x14ac:dyDescent="0.25">
      <c r="A729" s="3">
        <v>3</v>
      </c>
      <c r="B729" s="348"/>
      <c r="C729" s="349"/>
      <c r="D729" s="349"/>
      <c r="E729" s="349"/>
      <c r="F729" s="349"/>
      <c r="G729" s="349"/>
      <c r="H729" s="368"/>
      <c r="I729" s="349"/>
      <c r="J729" s="349"/>
      <c r="K729" s="349"/>
      <c r="L729" s="349"/>
      <c r="M729" s="350"/>
    </row>
    <row r="730" spans="1:13" ht="14.1" customHeight="1" x14ac:dyDescent="0.25">
      <c r="A730" s="3">
        <v>4</v>
      </c>
      <c r="B730" s="351"/>
      <c r="C730" s="138"/>
      <c r="D730" s="138"/>
      <c r="E730" s="138"/>
      <c r="F730" s="138"/>
      <c r="G730" s="138"/>
      <c r="H730" s="138"/>
      <c r="I730" s="138"/>
      <c r="J730" s="138"/>
      <c r="K730" s="138"/>
      <c r="L730" s="138"/>
      <c r="M730" s="353"/>
    </row>
    <row r="731" spans="1:13" ht="14.1" customHeight="1" x14ac:dyDescent="0.25">
      <c r="A731" s="3">
        <v>5</v>
      </c>
      <c r="B731" s="351"/>
      <c r="C731" s="138"/>
      <c r="D731" s="138"/>
      <c r="E731" s="138"/>
      <c r="F731" s="138"/>
      <c r="G731" s="138"/>
      <c r="H731" s="138"/>
      <c r="I731" s="138"/>
      <c r="J731" s="138"/>
      <c r="K731" s="138"/>
      <c r="L731" s="138"/>
      <c r="M731" s="353"/>
    </row>
    <row r="732" spans="1:13" ht="14.1" customHeight="1" x14ac:dyDescent="0.25">
      <c r="A732" s="3">
        <v>6</v>
      </c>
      <c r="B732" s="351"/>
      <c r="C732" s="138"/>
      <c r="D732" s="138"/>
      <c r="E732" s="138"/>
      <c r="F732" s="138"/>
      <c r="G732" s="138"/>
      <c r="H732" s="138"/>
      <c r="I732" s="138"/>
      <c r="J732" s="138"/>
      <c r="K732" s="138"/>
      <c r="L732" s="138"/>
      <c r="M732" s="353"/>
    </row>
    <row r="733" spans="1:13" ht="14.1" customHeight="1" x14ac:dyDescent="0.25">
      <c r="A733" s="3">
        <v>7</v>
      </c>
      <c r="B733" s="351"/>
      <c r="C733" s="138"/>
      <c r="D733" s="138"/>
      <c r="E733" s="138"/>
      <c r="F733" s="138"/>
      <c r="G733" s="138"/>
      <c r="H733" s="138"/>
      <c r="I733" s="138"/>
      <c r="J733" s="138"/>
      <c r="K733" s="138"/>
      <c r="L733" s="138"/>
      <c r="M733" s="353"/>
    </row>
    <row r="734" spans="1:13" ht="14.1" customHeight="1" x14ac:dyDescent="0.25">
      <c r="A734" s="3">
        <v>8</v>
      </c>
      <c r="B734" s="351"/>
      <c r="C734" s="138"/>
      <c r="D734" s="138"/>
      <c r="E734" s="138"/>
      <c r="F734" s="138"/>
      <c r="G734" s="138"/>
      <c r="H734" s="138"/>
      <c r="I734" s="138"/>
      <c r="J734" s="138"/>
      <c r="K734" s="138"/>
      <c r="L734" s="138"/>
      <c r="M734" s="353"/>
    </row>
    <row r="735" spans="1:13" ht="14.1" customHeight="1" x14ac:dyDescent="0.25">
      <c r="A735" s="3">
        <v>9</v>
      </c>
      <c r="B735" s="351"/>
      <c r="C735" s="138"/>
      <c r="D735" s="138"/>
      <c r="E735" s="138"/>
      <c r="F735" s="138"/>
      <c r="G735" s="138"/>
      <c r="H735" s="138"/>
      <c r="I735" s="138"/>
      <c r="J735" s="138"/>
      <c r="K735" s="138"/>
      <c r="L735" s="138"/>
      <c r="M735" s="353"/>
    </row>
    <row r="736" spans="1:13" ht="14.1" customHeight="1" x14ac:dyDescent="0.25">
      <c r="A736" s="3">
        <v>10</v>
      </c>
      <c r="B736" s="351"/>
      <c r="C736" s="138"/>
      <c r="D736" s="138"/>
      <c r="E736" s="138"/>
      <c r="F736" s="138"/>
      <c r="G736" s="138"/>
      <c r="H736" s="138"/>
      <c r="I736" s="138"/>
      <c r="J736" s="138"/>
      <c r="K736" s="138"/>
      <c r="L736" s="138"/>
      <c r="M736" s="353"/>
    </row>
    <row r="737" spans="1:13" ht="14.1" customHeight="1" x14ac:dyDescent="0.25">
      <c r="A737" s="3">
        <v>11</v>
      </c>
      <c r="B737" s="351"/>
      <c r="C737" s="138"/>
      <c r="D737" s="138"/>
      <c r="E737" s="138"/>
      <c r="F737" s="138"/>
      <c r="G737" s="138"/>
      <c r="H737" s="138"/>
      <c r="I737" s="138"/>
      <c r="J737" s="138"/>
      <c r="K737" s="138"/>
      <c r="L737" s="138"/>
      <c r="M737" s="353"/>
    </row>
    <row r="738" spans="1:13" ht="14.1" customHeight="1" x14ac:dyDescent="0.25">
      <c r="A738" s="3">
        <v>12</v>
      </c>
      <c r="B738" s="351"/>
      <c r="C738" s="138"/>
      <c r="D738" s="138"/>
      <c r="E738" s="138"/>
      <c r="F738" s="138"/>
      <c r="G738" s="138"/>
      <c r="H738" s="138"/>
      <c r="I738" s="138"/>
      <c r="J738" s="138"/>
      <c r="K738" s="138"/>
      <c r="L738" s="138"/>
      <c r="M738" s="353"/>
    </row>
    <row r="739" spans="1:13" ht="14.1" customHeight="1" x14ac:dyDescent="0.25">
      <c r="A739" s="3">
        <v>13</v>
      </c>
      <c r="B739" s="351"/>
      <c r="C739" s="138"/>
      <c r="D739" s="138"/>
      <c r="E739" s="138"/>
      <c r="F739" s="138"/>
      <c r="G739" s="138"/>
      <c r="H739" s="138"/>
      <c r="I739" s="138"/>
      <c r="J739" s="138"/>
      <c r="K739" s="138"/>
      <c r="L739" s="138"/>
      <c r="M739" s="353"/>
    </row>
    <row r="740" spans="1:13" ht="14.1" customHeight="1" x14ac:dyDescent="0.25">
      <c r="A740" s="3">
        <v>14</v>
      </c>
      <c r="B740" s="351"/>
      <c r="C740" s="138"/>
      <c r="D740" s="138"/>
      <c r="E740" s="138"/>
      <c r="F740" s="138"/>
      <c r="G740" s="138"/>
      <c r="H740" s="138"/>
      <c r="I740" s="138"/>
      <c r="J740" s="138"/>
      <c r="K740" s="138"/>
      <c r="L740" s="138"/>
      <c r="M740" s="353"/>
    </row>
    <row r="741" spans="1:13" ht="14.1" customHeight="1" x14ac:dyDescent="0.25">
      <c r="A741" s="3">
        <v>15</v>
      </c>
      <c r="B741" s="351"/>
      <c r="C741" s="138"/>
      <c r="D741" s="138"/>
      <c r="E741" s="138"/>
      <c r="F741" s="138"/>
      <c r="G741" s="138"/>
      <c r="H741" s="138"/>
      <c r="I741" s="138"/>
      <c r="J741" s="138"/>
      <c r="K741" s="138"/>
      <c r="L741" s="138"/>
      <c r="M741" s="353"/>
    </row>
    <row r="742" spans="1:13" ht="14.1" customHeight="1" x14ac:dyDescent="0.25">
      <c r="A742" s="3">
        <v>16</v>
      </c>
      <c r="B742" s="351"/>
      <c r="C742" s="138"/>
      <c r="D742" s="138"/>
      <c r="E742" s="138"/>
      <c r="F742" s="138"/>
      <c r="G742" s="138"/>
      <c r="H742" s="138"/>
      <c r="I742" s="138"/>
      <c r="J742" s="138"/>
      <c r="K742" s="138"/>
      <c r="L742" s="138"/>
      <c r="M742" s="353"/>
    </row>
    <row r="743" spans="1:13" ht="14.1" customHeight="1" x14ac:dyDescent="0.25">
      <c r="A743" s="3">
        <v>17</v>
      </c>
      <c r="B743" s="351"/>
      <c r="C743" s="138"/>
      <c r="D743" s="138"/>
      <c r="E743" s="138"/>
      <c r="F743" s="138"/>
      <c r="G743" s="138"/>
      <c r="H743" s="138"/>
      <c r="I743" s="138"/>
      <c r="J743" s="138"/>
      <c r="K743" s="138"/>
      <c r="L743" s="138"/>
      <c r="M743" s="353"/>
    </row>
    <row r="744" spans="1:13" ht="14.1" customHeight="1" x14ac:dyDescent="0.25">
      <c r="A744" s="3">
        <v>18</v>
      </c>
      <c r="B744" s="351"/>
      <c r="C744" s="138"/>
      <c r="D744" s="138"/>
      <c r="E744" s="138"/>
      <c r="F744" s="138"/>
      <c r="G744" s="138"/>
      <c r="H744" s="138"/>
      <c r="I744" s="138"/>
      <c r="J744" s="138"/>
      <c r="K744" s="138"/>
      <c r="L744" s="138"/>
      <c r="M744" s="353"/>
    </row>
    <row r="745" spans="1:13" ht="14.1" customHeight="1" x14ac:dyDescent="0.25">
      <c r="A745" s="3">
        <v>19</v>
      </c>
      <c r="B745" s="351"/>
      <c r="C745" s="138"/>
      <c r="D745" s="138"/>
      <c r="E745" s="138"/>
      <c r="F745" s="138"/>
      <c r="G745" s="138"/>
      <c r="H745" s="138"/>
      <c r="I745" s="138"/>
      <c r="J745" s="138"/>
      <c r="K745" s="138"/>
      <c r="L745" s="138"/>
      <c r="M745" s="353"/>
    </row>
    <row r="746" spans="1:13" ht="14.1" customHeight="1" x14ac:dyDescent="0.25">
      <c r="A746" s="3">
        <v>20</v>
      </c>
      <c r="B746" s="351"/>
      <c r="C746" s="138"/>
      <c r="D746" s="138"/>
      <c r="E746" s="138"/>
      <c r="F746" s="138"/>
      <c r="G746" s="138"/>
      <c r="H746" s="138"/>
      <c r="I746" s="138"/>
      <c r="J746" s="138"/>
      <c r="K746" s="138"/>
      <c r="L746" s="138"/>
      <c r="M746" s="353"/>
    </row>
    <row r="747" spans="1:13" ht="14.1" customHeight="1" x14ac:dyDescent="0.25">
      <c r="A747" s="3">
        <v>21</v>
      </c>
      <c r="B747" s="351"/>
      <c r="C747" s="138"/>
      <c r="D747" s="138"/>
      <c r="E747" s="138"/>
      <c r="F747" s="138"/>
      <c r="G747" s="138"/>
      <c r="H747" s="138"/>
      <c r="I747" s="138"/>
      <c r="J747" s="138"/>
      <c r="K747" s="138"/>
      <c r="L747" s="138"/>
      <c r="M747" s="353"/>
    </row>
    <row r="748" spans="1:13" ht="14.1" customHeight="1" x14ac:dyDescent="0.25">
      <c r="A748" s="3">
        <v>22</v>
      </c>
      <c r="B748" s="351"/>
      <c r="C748" s="138"/>
      <c r="D748" s="138"/>
      <c r="E748" s="138"/>
      <c r="F748" s="138"/>
      <c r="G748" s="138"/>
      <c r="H748" s="138"/>
      <c r="I748" s="138"/>
      <c r="J748" s="138"/>
      <c r="K748" s="138"/>
      <c r="L748" s="138"/>
      <c r="M748" s="353"/>
    </row>
    <row r="749" spans="1:13" ht="14.1" customHeight="1" x14ac:dyDescent="0.25">
      <c r="A749" s="3">
        <v>23</v>
      </c>
      <c r="B749" s="351"/>
      <c r="C749" s="138"/>
      <c r="D749" s="138"/>
      <c r="E749" s="138"/>
      <c r="F749" s="138"/>
      <c r="G749" s="138"/>
      <c r="H749" s="138"/>
      <c r="I749" s="138"/>
      <c r="J749" s="138"/>
      <c r="K749" s="138"/>
      <c r="L749" s="138"/>
      <c r="M749" s="353"/>
    </row>
    <row r="750" spans="1:13" ht="14.1" customHeight="1" x14ac:dyDescent="0.25">
      <c r="A750" s="3">
        <v>24</v>
      </c>
      <c r="B750" s="351"/>
      <c r="C750" s="138"/>
      <c r="D750" s="138"/>
      <c r="E750" s="138"/>
      <c r="F750" s="138"/>
      <c r="G750" s="138"/>
      <c r="H750" s="138"/>
      <c r="I750" s="138"/>
      <c r="J750" s="138"/>
      <c r="K750" s="138"/>
      <c r="L750" s="138"/>
      <c r="M750" s="353"/>
    </row>
    <row r="751" spans="1:13" ht="14.1" customHeight="1" x14ac:dyDescent="0.25">
      <c r="A751" s="3">
        <v>25</v>
      </c>
      <c r="B751" s="351"/>
      <c r="C751" s="138"/>
      <c r="D751" s="138"/>
      <c r="E751" s="138"/>
      <c r="F751" s="138"/>
      <c r="G751" s="138"/>
      <c r="H751" s="138"/>
      <c r="I751" s="138"/>
      <c r="J751" s="138"/>
      <c r="K751" s="138"/>
      <c r="L751" s="138"/>
      <c r="M751" s="353"/>
    </row>
    <row r="752" spans="1:13" ht="14.1" customHeight="1" x14ac:dyDescent="0.25">
      <c r="A752" s="3">
        <v>26</v>
      </c>
      <c r="B752" s="351"/>
      <c r="C752" s="138"/>
      <c r="D752" s="138"/>
      <c r="E752" s="138"/>
      <c r="F752" s="138"/>
      <c r="G752" s="138"/>
      <c r="H752" s="138"/>
      <c r="I752" s="138"/>
      <c r="J752" s="138"/>
      <c r="K752" s="138"/>
      <c r="L752" s="138"/>
      <c r="M752" s="353"/>
    </row>
    <row r="753" spans="1:13" ht="14.1" customHeight="1" x14ac:dyDescent="0.25">
      <c r="A753" s="3">
        <v>27</v>
      </c>
      <c r="B753" s="351"/>
      <c r="C753" s="138"/>
      <c r="D753" s="138"/>
      <c r="E753" s="138"/>
      <c r="F753" s="138"/>
      <c r="G753" s="138"/>
      <c r="H753" s="138"/>
      <c r="I753" s="138"/>
      <c r="J753" s="138"/>
      <c r="K753" s="138"/>
      <c r="L753" s="138"/>
      <c r="M753" s="353"/>
    </row>
    <row r="754" spans="1:13" ht="14.1" customHeight="1" x14ac:dyDescent="0.25">
      <c r="A754" s="3">
        <v>28</v>
      </c>
      <c r="B754" s="351"/>
      <c r="C754" s="138"/>
      <c r="D754" s="138"/>
      <c r="E754" s="138"/>
      <c r="F754" s="138"/>
      <c r="G754" s="138"/>
      <c r="H754" s="138"/>
      <c r="I754" s="138"/>
      <c r="J754" s="138"/>
      <c r="K754" s="138"/>
      <c r="L754" s="138"/>
      <c r="M754" s="353"/>
    </row>
    <row r="755" spans="1:13" ht="14.1" customHeight="1" x14ac:dyDescent="0.25">
      <c r="A755" s="3">
        <v>29</v>
      </c>
      <c r="B755" s="351"/>
      <c r="C755" s="138"/>
      <c r="D755" s="138"/>
      <c r="E755" s="138"/>
      <c r="F755" s="138"/>
      <c r="G755" s="138"/>
      <c r="H755" s="138"/>
      <c r="I755" s="138"/>
      <c r="J755" s="138"/>
      <c r="K755" s="138"/>
      <c r="L755" s="138"/>
      <c r="M755" s="353"/>
    </row>
    <row r="756" spans="1:13" ht="14.1" customHeight="1" x14ac:dyDescent="0.25">
      <c r="A756" s="3">
        <v>30</v>
      </c>
      <c r="B756" s="351"/>
      <c r="C756" s="138"/>
      <c r="D756" s="138"/>
      <c r="E756" s="138"/>
      <c r="F756" s="138"/>
      <c r="G756" s="138"/>
      <c r="H756" s="138"/>
      <c r="I756" s="138"/>
      <c r="J756" s="138"/>
      <c r="K756" s="138"/>
      <c r="L756" s="138"/>
      <c r="M756" s="353"/>
    </row>
    <row r="757" spans="1:13" ht="14.1" customHeight="1" x14ac:dyDescent="0.25">
      <c r="A757" s="3">
        <v>31</v>
      </c>
      <c r="B757" s="351"/>
      <c r="C757" s="138"/>
      <c r="D757" s="138"/>
      <c r="E757" s="138"/>
      <c r="F757" s="138"/>
      <c r="G757" s="138"/>
      <c r="H757" s="138"/>
      <c r="I757" s="138"/>
      <c r="J757" s="138"/>
      <c r="K757" s="138"/>
      <c r="L757" s="138"/>
      <c r="M757" s="353"/>
    </row>
    <row r="758" spans="1:13" ht="14.1" customHeight="1" x14ac:dyDescent="0.25">
      <c r="A758" s="3">
        <v>32</v>
      </c>
      <c r="B758" s="351"/>
      <c r="C758" s="138"/>
      <c r="D758" s="138"/>
      <c r="E758" s="138"/>
      <c r="F758" s="138"/>
      <c r="G758" s="138"/>
      <c r="H758" s="138"/>
      <c r="I758" s="138"/>
      <c r="J758" s="138"/>
      <c r="K758" s="138"/>
      <c r="L758" s="138"/>
      <c r="M758" s="353"/>
    </row>
    <row r="759" spans="1:13" ht="14.1" customHeight="1" x14ac:dyDescent="0.25">
      <c r="A759" s="3">
        <v>33</v>
      </c>
      <c r="B759" s="351"/>
      <c r="C759" s="138"/>
      <c r="D759" s="138"/>
      <c r="E759" s="138"/>
      <c r="F759" s="138"/>
      <c r="G759" s="138"/>
      <c r="H759" s="138"/>
      <c r="I759" s="138"/>
      <c r="J759" s="138"/>
      <c r="K759" s="138"/>
      <c r="L759" s="138"/>
      <c r="M759" s="353"/>
    </row>
    <row r="760" spans="1:13" ht="14.1" customHeight="1" x14ac:dyDescent="0.25">
      <c r="A760" s="3">
        <v>34</v>
      </c>
      <c r="B760" s="351"/>
      <c r="C760" s="138"/>
      <c r="D760" s="138"/>
      <c r="E760" s="138"/>
      <c r="F760" s="138"/>
      <c r="G760" s="138"/>
      <c r="H760" s="138"/>
      <c r="I760" s="138"/>
      <c r="J760" s="138"/>
      <c r="K760" s="138"/>
      <c r="L760" s="138"/>
      <c r="M760" s="353"/>
    </row>
    <row r="761" spans="1:13" ht="14.1" customHeight="1" x14ac:dyDescent="0.25">
      <c r="A761" s="3">
        <v>35</v>
      </c>
      <c r="B761" s="351"/>
      <c r="C761" s="138"/>
      <c r="D761" s="138"/>
      <c r="E761" s="138"/>
      <c r="F761" s="138"/>
      <c r="G761" s="138"/>
      <c r="H761" s="138"/>
      <c r="I761" s="138"/>
      <c r="J761" s="138"/>
      <c r="K761" s="138"/>
      <c r="L761" s="138"/>
      <c r="M761" s="353"/>
    </row>
    <row r="762" spans="1:13" ht="14.1" customHeight="1" x14ac:dyDescent="0.25">
      <c r="A762" s="3">
        <v>36</v>
      </c>
      <c r="B762" s="351"/>
      <c r="C762" s="138"/>
      <c r="D762" s="138"/>
      <c r="E762" s="138"/>
      <c r="F762" s="138"/>
      <c r="G762" s="138"/>
      <c r="H762" s="138"/>
      <c r="I762" s="138"/>
      <c r="J762" s="138"/>
      <c r="K762" s="138"/>
      <c r="L762" s="138"/>
      <c r="M762" s="353"/>
    </row>
    <row r="763" spans="1:13" ht="14.1" customHeight="1" x14ac:dyDescent="0.25">
      <c r="A763" s="3">
        <v>37</v>
      </c>
      <c r="B763" s="351"/>
      <c r="C763" s="138"/>
      <c r="D763" s="138"/>
      <c r="E763" s="138"/>
      <c r="F763" s="138"/>
      <c r="G763" s="138"/>
      <c r="H763" s="138"/>
      <c r="I763" s="138"/>
      <c r="J763" s="138"/>
      <c r="K763" s="138"/>
      <c r="L763" s="138"/>
      <c r="M763" s="353"/>
    </row>
    <row r="764" spans="1:13" ht="14.1" customHeight="1" x14ac:dyDescent="0.25">
      <c r="A764" s="3">
        <v>38</v>
      </c>
      <c r="B764" s="351"/>
      <c r="C764" s="138"/>
      <c r="D764" s="138"/>
      <c r="E764" s="138"/>
      <c r="F764" s="138"/>
      <c r="G764" s="138"/>
      <c r="H764" s="138"/>
      <c r="I764" s="138"/>
      <c r="J764" s="138"/>
      <c r="K764" s="138"/>
      <c r="L764" s="138"/>
      <c r="M764" s="353"/>
    </row>
    <row r="765" spans="1:13" ht="14.1" customHeight="1" x14ac:dyDescent="0.25">
      <c r="A765" s="3">
        <v>39</v>
      </c>
      <c r="B765" s="351"/>
      <c r="C765" s="138"/>
      <c r="D765" s="138"/>
      <c r="E765" s="138"/>
      <c r="F765" s="138"/>
      <c r="G765" s="138"/>
      <c r="H765" s="138"/>
      <c r="I765" s="138"/>
      <c r="J765" s="138"/>
      <c r="K765" s="138"/>
      <c r="L765" s="138"/>
      <c r="M765" s="353"/>
    </row>
    <row r="766" spans="1:13" ht="14.1" customHeight="1" x14ac:dyDescent="0.25">
      <c r="A766" s="3">
        <v>40</v>
      </c>
      <c r="B766" s="351"/>
      <c r="C766" s="138"/>
      <c r="D766" s="138"/>
      <c r="E766" s="138"/>
      <c r="F766" s="138"/>
      <c r="G766" s="138"/>
      <c r="H766" s="138"/>
      <c r="I766" s="138"/>
      <c r="J766" s="138"/>
      <c r="K766" s="138"/>
      <c r="L766" s="138"/>
      <c r="M766" s="353"/>
    </row>
    <row r="767" spans="1:13" ht="14.1" customHeight="1" x14ac:dyDescent="0.25">
      <c r="A767" s="3">
        <v>41</v>
      </c>
      <c r="B767" s="351"/>
      <c r="C767" s="138"/>
      <c r="D767" s="138"/>
      <c r="E767" s="138"/>
      <c r="F767" s="138"/>
      <c r="G767" s="138"/>
      <c r="H767" s="138"/>
      <c r="I767" s="138"/>
      <c r="J767" s="138"/>
      <c r="K767" s="138"/>
      <c r="L767" s="138"/>
      <c r="M767" s="353"/>
    </row>
    <row r="768" spans="1:13" ht="14.1" customHeight="1" x14ac:dyDescent="0.25">
      <c r="A768" s="3">
        <v>42</v>
      </c>
      <c r="B768" s="351"/>
      <c r="C768" s="138"/>
      <c r="D768" s="138"/>
      <c r="E768" s="138"/>
      <c r="F768" s="138"/>
      <c r="G768" s="138"/>
      <c r="H768" s="138"/>
      <c r="I768" s="138"/>
      <c r="J768" s="138"/>
      <c r="K768" s="138"/>
      <c r="L768" s="138"/>
      <c r="M768" s="353"/>
    </row>
    <row r="769" spans="1:13" ht="14.1" customHeight="1" x14ac:dyDescent="0.25">
      <c r="A769" s="3">
        <v>43</v>
      </c>
      <c r="B769" s="351"/>
      <c r="C769" s="138"/>
      <c r="D769" s="138"/>
      <c r="E769" s="138"/>
      <c r="F769" s="138"/>
      <c r="G769" s="138"/>
      <c r="H769" s="138"/>
      <c r="I769" s="138"/>
      <c r="J769" s="138"/>
      <c r="K769" s="138"/>
      <c r="L769" s="138"/>
      <c r="M769" s="353"/>
    </row>
    <row r="770" spans="1:13" ht="14.1" customHeight="1" x14ac:dyDescent="0.25">
      <c r="A770" s="3">
        <v>44</v>
      </c>
      <c r="B770" s="351"/>
      <c r="C770" s="138"/>
      <c r="D770" s="138"/>
      <c r="E770" s="138"/>
      <c r="F770" s="138"/>
      <c r="G770" s="138"/>
      <c r="H770" s="138"/>
      <c r="I770" s="138"/>
      <c r="J770" s="138"/>
      <c r="K770" s="138"/>
      <c r="L770" s="138"/>
      <c r="M770" s="353"/>
    </row>
    <row r="771" spans="1:13" ht="14.1" customHeight="1" x14ac:dyDescent="0.25">
      <c r="A771" s="3">
        <v>45</v>
      </c>
      <c r="B771" s="351"/>
      <c r="C771" s="138"/>
      <c r="D771" s="138"/>
      <c r="E771" s="138"/>
      <c r="F771" s="138"/>
      <c r="G771" s="138"/>
      <c r="H771" s="138"/>
      <c r="I771" s="138"/>
      <c r="J771" s="138"/>
      <c r="K771" s="138"/>
      <c r="L771" s="138"/>
      <c r="M771" s="353"/>
    </row>
    <row r="772" spans="1:13" ht="14.1" customHeight="1" x14ac:dyDescent="0.25">
      <c r="A772" s="3">
        <v>46</v>
      </c>
      <c r="B772" s="351"/>
      <c r="C772" s="138"/>
      <c r="D772" s="138"/>
      <c r="E772" s="138"/>
      <c r="F772" s="138"/>
      <c r="G772" s="138"/>
      <c r="H772" s="138"/>
      <c r="I772" s="138"/>
      <c r="J772" s="138"/>
      <c r="K772" s="138"/>
      <c r="L772" s="138"/>
      <c r="M772" s="353"/>
    </row>
    <row r="773" spans="1:13" ht="14.1" customHeight="1" x14ac:dyDescent="0.25">
      <c r="A773" s="3">
        <v>47</v>
      </c>
      <c r="B773" s="351"/>
      <c r="C773" s="138"/>
      <c r="D773" s="138"/>
      <c r="E773" s="138"/>
      <c r="F773" s="138"/>
      <c r="G773" s="138"/>
      <c r="H773" s="138"/>
      <c r="I773" s="138"/>
      <c r="J773" s="138"/>
      <c r="K773" s="138"/>
      <c r="L773" s="138"/>
      <c r="M773" s="353"/>
    </row>
    <row r="774" spans="1:13" ht="14.1" customHeight="1" x14ac:dyDescent="0.25">
      <c r="A774" s="3">
        <v>48</v>
      </c>
      <c r="B774" s="351"/>
      <c r="C774" s="138"/>
      <c r="D774" s="138"/>
      <c r="E774" s="138"/>
      <c r="F774" s="138"/>
      <c r="G774" s="138"/>
      <c r="H774" s="138"/>
      <c r="I774" s="138"/>
      <c r="J774" s="138"/>
      <c r="K774" s="138"/>
      <c r="L774" s="138"/>
      <c r="M774" s="353"/>
    </row>
    <row r="775" spans="1:13" ht="14.1" customHeight="1" x14ac:dyDescent="0.25">
      <c r="A775" s="3">
        <v>49</v>
      </c>
      <c r="B775" s="351"/>
      <c r="C775" s="138"/>
      <c r="D775" s="138"/>
      <c r="E775" s="138"/>
      <c r="F775" s="138"/>
      <c r="G775" s="138"/>
      <c r="H775" s="138"/>
      <c r="I775" s="138"/>
      <c r="J775" s="138"/>
      <c r="K775" s="138"/>
      <c r="L775" s="138"/>
      <c r="M775" s="353"/>
    </row>
    <row r="776" spans="1:13" ht="14.1" customHeight="1" x14ac:dyDescent="0.25">
      <c r="A776" s="3">
        <v>50</v>
      </c>
      <c r="B776" s="351"/>
      <c r="C776" s="138"/>
      <c r="D776" s="138"/>
      <c r="E776" s="138"/>
      <c r="F776" s="138"/>
      <c r="G776" s="138"/>
      <c r="H776" s="138"/>
      <c r="I776" s="138"/>
      <c r="J776" s="138"/>
      <c r="K776" s="138"/>
      <c r="L776" s="138"/>
      <c r="M776" s="353"/>
    </row>
    <row r="777" spans="1:13" ht="14.1" customHeight="1" x14ac:dyDescent="0.25">
      <c r="A777" s="3">
        <v>51</v>
      </c>
      <c r="B777" s="351"/>
      <c r="C777" s="138"/>
      <c r="D777" s="138"/>
      <c r="E777" s="138"/>
      <c r="F777" s="138"/>
      <c r="G777" s="138"/>
      <c r="H777" s="138"/>
      <c r="I777" s="138"/>
      <c r="J777" s="138"/>
      <c r="K777" s="138"/>
      <c r="L777" s="138"/>
      <c r="M777" s="353"/>
    </row>
    <row r="778" spans="1:13" ht="14.1" customHeight="1" x14ac:dyDescent="0.25">
      <c r="A778" s="3">
        <v>52</v>
      </c>
      <c r="B778" s="351"/>
      <c r="C778" s="138"/>
      <c r="D778" s="138"/>
      <c r="E778" s="138"/>
      <c r="F778" s="138"/>
      <c r="G778" s="138"/>
      <c r="H778" s="138"/>
      <c r="I778" s="138"/>
      <c r="J778" s="138"/>
      <c r="K778" s="138"/>
      <c r="L778" s="138"/>
      <c r="M778" s="353"/>
    </row>
    <row r="779" spans="1:13" ht="14.1" customHeight="1" x14ac:dyDescent="0.25">
      <c r="A779" s="3">
        <v>53</v>
      </c>
      <c r="B779" s="351"/>
      <c r="C779" s="138"/>
      <c r="D779" s="138"/>
      <c r="E779" s="138"/>
      <c r="F779" s="138"/>
      <c r="G779" s="138"/>
      <c r="H779" s="138"/>
      <c r="I779" s="138"/>
      <c r="J779" s="138"/>
      <c r="K779" s="138"/>
      <c r="L779" s="138"/>
      <c r="M779" s="353"/>
    </row>
    <row r="780" spans="1:13" ht="14.1" customHeight="1" x14ac:dyDescent="0.25">
      <c r="A780" s="3">
        <v>54</v>
      </c>
      <c r="B780" s="351"/>
      <c r="C780" s="138"/>
      <c r="D780" s="138"/>
      <c r="E780" s="138"/>
      <c r="F780" s="138"/>
      <c r="G780" s="138"/>
      <c r="H780" s="138"/>
      <c r="I780" s="138"/>
      <c r="J780" s="138"/>
      <c r="K780" s="138"/>
      <c r="L780" s="138"/>
      <c r="M780" s="353"/>
    </row>
    <row r="781" spans="1:13" ht="14.1" customHeight="1" x14ac:dyDescent="0.25">
      <c r="A781" s="3">
        <v>55</v>
      </c>
      <c r="B781" s="351"/>
      <c r="C781" s="138"/>
      <c r="D781" s="138"/>
      <c r="E781" s="138"/>
      <c r="F781" s="138"/>
      <c r="G781" s="138"/>
      <c r="H781" s="138"/>
      <c r="I781" s="138"/>
      <c r="J781" s="138"/>
      <c r="K781" s="138"/>
      <c r="L781" s="138"/>
      <c r="M781" s="353"/>
    </row>
    <row r="782" spans="1:13" ht="14.1" customHeight="1" x14ac:dyDescent="0.25">
      <c r="A782" s="3">
        <v>56</v>
      </c>
      <c r="B782" s="351"/>
      <c r="C782" s="138"/>
      <c r="D782" s="138"/>
      <c r="E782" s="138"/>
      <c r="F782" s="138"/>
      <c r="G782" s="138"/>
      <c r="H782" s="138"/>
      <c r="I782" s="138"/>
      <c r="J782" s="138"/>
      <c r="K782" s="138"/>
      <c r="L782" s="138"/>
      <c r="M782" s="353"/>
    </row>
    <row r="783" spans="1:13" ht="14.1" customHeight="1" x14ac:dyDescent="0.25">
      <c r="A783" s="3">
        <v>57</v>
      </c>
      <c r="B783" s="351"/>
      <c r="C783" s="138"/>
      <c r="D783" s="138"/>
      <c r="E783" s="138"/>
      <c r="F783" s="138"/>
      <c r="G783" s="138"/>
      <c r="H783" s="138"/>
      <c r="I783" s="138"/>
      <c r="J783" s="138"/>
      <c r="K783" s="138"/>
      <c r="L783" s="138"/>
      <c r="M783" s="353"/>
    </row>
    <row r="784" spans="1:13" ht="14.1" customHeight="1" x14ac:dyDescent="0.25">
      <c r="A784" s="3">
        <v>58</v>
      </c>
      <c r="B784" s="351"/>
      <c r="C784" s="138"/>
      <c r="D784" s="138"/>
      <c r="E784" s="138"/>
      <c r="F784" s="138"/>
      <c r="G784" s="138"/>
      <c r="H784" s="138"/>
      <c r="I784" s="138"/>
      <c r="J784" s="138"/>
      <c r="K784" s="138"/>
      <c r="L784" s="138"/>
      <c r="M784" s="353"/>
    </row>
    <row r="785" spans="1:13" ht="14.1" customHeight="1" x14ac:dyDescent="0.25">
      <c r="A785" s="3">
        <v>59</v>
      </c>
      <c r="B785" s="351"/>
      <c r="C785" s="138"/>
      <c r="D785" s="138"/>
      <c r="E785" s="138"/>
      <c r="F785" s="138"/>
      <c r="G785" s="138"/>
      <c r="H785" s="138"/>
      <c r="I785" s="138"/>
      <c r="J785" s="138"/>
      <c r="K785" s="138"/>
      <c r="L785" s="138"/>
      <c r="M785" s="353"/>
    </row>
    <row r="786" spans="1:13" ht="14.1" customHeight="1" x14ac:dyDescent="0.25">
      <c r="A786" s="3">
        <v>60</v>
      </c>
      <c r="B786" s="351"/>
      <c r="C786" s="138"/>
      <c r="D786" s="138"/>
      <c r="E786" s="138"/>
      <c r="F786" s="138"/>
      <c r="G786" s="138"/>
      <c r="H786" s="138"/>
      <c r="I786" s="138"/>
      <c r="J786" s="138"/>
      <c r="K786" s="138"/>
      <c r="L786" s="138"/>
      <c r="M786" s="353"/>
    </row>
    <row r="787" spans="1:13" ht="14.1" customHeight="1" x14ac:dyDescent="0.25">
      <c r="A787" s="3">
        <v>61</v>
      </c>
      <c r="B787" s="351"/>
      <c r="C787" s="138"/>
      <c r="D787" s="138"/>
      <c r="E787" s="138"/>
      <c r="F787" s="138"/>
      <c r="G787" s="138"/>
      <c r="H787" s="138"/>
      <c r="I787" s="138"/>
      <c r="J787" s="138"/>
      <c r="K787" s="138"/>
      <c r="L787" s="138"/>
      <c r="M787" s="353"/>
    </row>
    <row r="788" spans="1:13" ht="14.1" customHeight="1" x14ac:dyDescent="0.25">
      <c r="A788" s="3">
        <v>62</v>
      </c>
      <c r="B788" s="351"/>
      <c r="C788" s="138"/>
      <c r="D788" s="138"/>
      <c r="E788" s="138"/>
      <c r="F788" s="138"/>
      <c r="G788" s="138"/>
      <c r="H788" s="138"/>
      <c r="I788" s="138"/>
      <c r="J788" s="138"/>
      <c r="K788" s="138"/>
      <c r="L788" s="138"/>
      <c r="M788" s="353"/>
    </row>
    <row r="789" spans="1:13" ht="14.1" customHeight="1" x14ac:dyDescent="0.25">
      <c r="A789" s="3">
        <v>63</v>
      </c>
      <c r="B789" s="351"/>
      <c r="C789" s="138"/>
      <c r="D789" s="138"/>
      <c r="E789" s="138"/>
      <c r="F789" s="138"/>
      <c r="G789" s="138"/>
      <c r="H789" s="138"/>
      <c r="I789" s="138"/>
      <c r="J789" s="138"/>
      <c r="K789" s="138"/>
      <c r="L789" s="138"/>
      <c r="M789" s="353"/>
    </row>
    <row r="790" spans="1:13" ht="14.1" customHeight="1" x14ac:dyDescent="0.25">
      <c r="A790" s="3">
        <v>64</v>
      </c>
      <c r="B790" s="354"/>
      <c r="C790" s="355"/>
      <c r="D790" s="355"/>
      <c r="E790" s="355"/>
      <c r="F790" s="355"/>
      <c r="G790" s="355"/>
      <c r="H790" s="355"/>
      <c r="I790" s="355"/>
      <c r="J790" s="355"/>
      <c r="K790" s="355"/>
      <c r="L790" s="355"/>
      <c r="M790" s="356"/>
    </row>
    <row r="791" spans="1:13" ht="14.1" customHeight="1" x14ac:dyDescent="0.25">
      <c r="A791" s="3">
        <v>65</v>
      </c>
      <c r="C791" s="2" t="s">
        <v>10</v>
      </c>
      <c r="D791" s="68" t="str">
        <f>IF($P$7="","",$P$7)</f>
        <v/>
      </c>
      <c r="L791" s="2" t="s">
        <v>11</v>
      </c>
      <c r="M791" s="69" t="str">
        <f>IF($X$7="","",$X$7)</f>
        <v>Eugene Mah</v>
      </c>
    </row>
    <row r="792" spans="1:13" ht="14.1" customHeight="1" x14ac:dyDescent="0.25">
      <c r="A792" s="3">
        <v>66</v>
      </c>
      <c r="C792" s="2" t="s">
        <v>79</v>
      </c>
      <c r="D792" s="70" t="str">
        <f>IF($R$14="","",$R$14&amp;" Tube "&amp;$W$48)</f>
        <v/>
      </c>
      <c r="L792" s="2" t="s">
        <v>25</v>
      </c>
      <c r="M792" s="71" t="str">
        <f>IF($R$13="","",$R$13)</f>
        <v/>
      </c>
    </row>
  </sheetData>
  <mergeCells count="108">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F33:G33"/>
    <mergeCell ref="F34:G34"/>
    <mergeCell ref="K34:L34"/>
    <mergeCell ref="K35:L35"/>
    <mergeCell ref="F36:G36"/>
    <mergeCell ref="K36:L36"/>
    <mergeCell ref="F37:G37"/>
    <mergeCell ref="F38:G38"/>
    <mergeCell ref="K39:L39"/>
    <mergeCell ref="F40:G40"/>
    <mergeCell ref="K40:L40"/>
    <mergeCell ref="F41:G41"/>
    <mergeCell ref="F42:G42"/>
    <mergeCell ref="L69:M69"/>
    <mergeCell ref="Q107:S107"/>
    <mergeCell ref="T107:V107"/>
    <mergeCell ref="W107:Y107"/>
    <mergeCell ref="Q139:S139"/>
    <mergeCell ref="T139:V139"/>
    <mergeCell ref="W139:Y139"/>
    <mergeCell ref="T181:U181"/>
    <mergeCell ref="O190:O194"/>
    <mergeCell ref="O195:O199"/>
    <mergeCell ref="O200:O204"/>
    <mergeCell ref="E202:E203"/>
    <mergeCell ref="F202:F203"/>
    <mergeCell ref="G202:G203"/>
    <mergeCell ref="H202:H203"/>
    <mergeCell ref="I202:I203"/>
    <mergeCell ref="J202:J203"/>
    <mergeCell ref="M202:M203"/>
    <mergeCell ref="O214:O218"/>
    <mergeCell ref="O219:O223"/>
    <mergeCell ref="O224:O228"/>
    <mergeCell ref="O240:O241"/>
    <mergeCell ref="O242:O243"/>
    <mergeCell ref="Q257:R257"/>
    <mergeCell ref="T257:U257"/>
    <mergeCell ref="E269:G269"/>
    <mergeCell ref="H269:J269"/>
    <mergeCell ref="K269:M269"/>
    <mergeCell ref="C271:C273"/>
    <mergeCell ref="C274:C276"/>
    <mergeCell ref="O276:O277"/>
    <mergeCell ref="P276:P277"/>
    <mergeCell ref="R276:R277"/>
    <mergeCell ref="S276:S277"/>
    <mergeCell ref="C277:C279"/>
    <mergeCell ref="C280:C282"/>
    <mergeCell ref="C283:C285"/>
    <mergeCell ref="P293:S293"/>
    <mergeCell ref="P302:S302"/>
    <mergeCell ref="C303:C307"/>
    <mergeCell ref="C308:C312"/>
    <mergeCell ref="C313:C317"/>
    <mergeCell ref="V319:W319"/>
    <mergeCell ref="C324:C325"/>
    <mergeCell ref="Q329:U329"/>
    <mergeCell ref="E335:G335"/>
    <mergeCell ref="H335:J335"/>
    <mergeCell ref="K335:M335"/>
    <mergeCell ref="C337:C339"/>
    <mergeCell ref="C340:C342"/>
    <mergeCell ref="C343:C345"/>
    <mergeCell ref="C346:C348"/>
    <mergeCell ref="C349:C351"/>
    <mergeCell ref="Q358:Q359"/>
    <mergeCell ref="R358:R361"/>
    <mergeCell ref="Q360:Q361"/>
    <mergeCell ref="C366:C370"/>
    <mergeCell ref="C371:C375"/>
    <mergeCell ref="C376:C380"/>
    <mergeCell ref="C388:C389"/>
    <mergeCell ref="H399:I399"/>
    <mergeCell ref="J399:K399"/>
    <mergeCell ref="D413:H413"/>
    <mergeCell ref="I413:M413"/>
    <mergeCell ref="F442:F443"/>
    <mergeCell ref="G442:G445"/>
    <mergeCell ref="F444:F445"/>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2 J212 M212">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0 E226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7" firstPageNumber="0" orientation="portrait" horizontalDpi="300" verticalDpi="300" r:id="rId1"/>
  <headerFooter>
    <oddFooter>&amp;C&amp;"Arial,Regular"&amp;10Page &amp;P</oddFooter>
  </headerFooter>
  <rowBreaks count="9" manualBreakCount="9">
    <brk id="66" min="1" max="12" man="1"/>
    <brk id="132" min="1" max="12" man="1"/>
    <brk id="198" min="1" max="12" man="1"/>
    <brk id="264" min="1" max="12" man="1"/>
    <brk id="330" min="1" max="12" man="1"/>
    <brk id="396" min="1" max="12" man="1"/>
    <brk id="462"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heetViews>
  <sheetFormatPr defaultRowHeight="15.75" x14ac:dyDescent="0.25"/>
  <cols>
    <col min="1" max="2" width="2.375" style="56" customWidth="1"/>
    <col min="3" max="13" width="10.625" style="56" customWidth="1"/>
  </cols>
  <sheetData>
    <row r="1" spans="1:13" ht="14.1" customHeight="1" x14ac:dyDescent="0.25">
      <c r="A1" s="3">
        <v>1</v>
      </c>
      <c r="B1" s="1"/>
      <c r="C1" s="1"/>
      <c r="D1" s="1"/>
      <c r="E1" s="1"/>
      <c r="F1" s="1"/>
      <c r="G1" s="1"/>
      <c r="H1" s="1"/>
      <c r="I1" s="1"/>
      <c r="J1" s="1"/>
      <c r="K1" s="1"/>
      <c r="L1" s="1"/>
      <c r="M1" s="72" t="str">
        <f>Fluoro!$H$2</f>
        <v>Medical University of South Carolina</v>
      </c>
    </row>
    <row r="2" spans="1:13" ht="14.1" customHeight="1" x14ac:dyDescent="0.25">
      <c r="A2" s="3">
        <v>2</v>
      </c>
      <c r="B2" s="1"/>
      <c r="C2" s="1"/>
      <c r="D2" s="1"/>
      <c r="E2" s="1"/>
      <c r="F2" s="1"/>
      <c r="G2" s="1"/>
      <c r="H2" s="33" t="str">
        <f>Fluoro!$H$68</f>
        <v>Inspection Results</v>
      </c>
      <c r="I2" s="1"/>
      <c r="J2" s="1"/>
      <c r="K2" s="1"/>
      <c r="L2" s="1"/>
      <c r="M2" s="25" t="str">
        <f>Fluoro!$H$5</f>
        <v>Fluoroscopy System Compliance Inspection</v>
      </c>
    </row>
    <row r="3" spans="1:13" ht="14.1" customHeight="1" x14ac:dyDescent="0.25">
      <c r="A3" s="3">
        <v>3</v>
      </c>
      <c r="B3" s="4"/>
      <c r="C3" s="114" t="str">
        <f>Fluoro!C267</f>
        <v>Patient Entrance Exposure Rate – Fluoroscopy</v>
      </c>
      <c r="D3" s="5"/>
      <c r="E3" s="5"/>
      <c r="F3" s="5"/>
      <c r="G3" s="5"/>
      <c r="H3" s="5"/>
      <c r="I3" s="5"/>
      <c r="J3" s="5"/>
      <c r="K3" s="5"/>
      <c r="L3" s="5"/>
      <c r="M3" s="6"/>
    </row>
    <row r="4" spans="1:13" ht="14.1" customHeight="1" x14ac:dyDescent="0.25">
      <c r="A4" s="3">
        <v>4</v>
      </c>
      <c r="B4" s="11"/>
      <c r="C4" s="193" t="str">
        <f>Fluoro!C268</f>
        <v>Image</v>
      </c>
      <c r="D4" s="193" t="str">
        <f>Fluoro!D268</f>
        <v>Acrylic</v>
      </c>
      <c r="E4" s="46"/>
      <c r="F4" s="46"/>
      <c r="G4" s="46"/>
      <c r="H4" s="46"/>
      <c r="I4" s="46"/>
      <c r="J4" s="46"/>
      <c r="K4" s="46"/>
      <c r="L4" s="46"/>
      <c r="M4" s="47"/>
    </row>
    <row r="5" spans="1:13" ht="14.1" customHeight="1" x14ac:dyDescent="0.25">
      <c r="A5" s="3">
        <v>5</v>
      </c>
      <c r="B5" s="11"/>
      <c r="C5" s="193" t="str">
        <f>Fluoro!C269</f>
        <v>Mode</v>
      </c>
      <c r="D5" s="193" t="str">
        <f>Fluoro!D269</f>
        <v>Attenuator</v>
      </c>
      <c r="E5" s="606" t="str">
        <f>Fluoro!E269</f>
        <v>Auto 1</v>
      </c>
      <c r="F5" s="606">
        <f>Fluoro!F269</f>
        <v>0</v>
      </c>
      <c r="G5" s="606">
        <f>Fluoro!G269</f>
        <v>0</v>
      </c>
      <c r="H5" s="606" t="str">
        <f>Fluoro!H269</f>
        <v>Auto 2</v>
      </c>
      <c r="I5" s="606">
        <f>Fluoro!I269</f>
        <v>0</v>
      </c>
      <c r="J5" s="606">
        <f>Fluoro!J269</f>
        <v>0</v>
      </c>
      <c r="K5" s="607" t="str">
        <f>Fluoro!K269</f>
        <v>High Level</v>
      </c>
      <c r="L5" s="607">
        <f>Fluoro!L269</f>
        <v>0</v>
      </c>
      <c r="M5" s="607">
        <f>Fluoro!M269</f>
        <v>0</v>
      </c>
    </row>
    <row r="6" spans="1:13" ht="14.1" customHeight="1" x14ac:dyDescent="0.25">
      <c r="A6" s="3">
        <v>6</v>
      </c>
      <c r="B6" s="11"/>
      <c r="C6" s="197" t="str">
        <f>Fluoro!C270</f>
        <v>(cm)</v>
      </c>
      <c r="D6" s="197" t="str">
        <f>Fluoro!D270</f>
        <v>(cm)</v>
      </c>
      <c r="E6" s="198" t="str">
        <f>Fluoro!E270</f>
        <v>kVp</v>
      </c>
      <c r="F6" s="199" t="str">
        <f>Fluoro!F270</f>
        <v>mA</v>
      </c>
      <c r="G6" s="200" t="s">
        <v>408</v>
      </c>
      <c r="H6" s="198" t="str">
        <f>Fluoro!H270</f>
        <v>kVp</v>
      </c>
      <c r="I6" s="199" t="str">
        <f>Fluoro!I270</f>
        <v>mA</v>
      </c>
      <c r="J6" s="200" t="s">
        <v>408</v>
      </c>
      <c r="K6" s="198" t="str">
        <f>Fluoro!K270</f>
        <v>kVp</v>
      </c>
      <c r="L6" s="199" t="str">
        <f>Fluoro!L270</f>
        <v>mA</v>
      </c>
      <c r="M6" s="47" t="s">
        <v>408</v>
      </c>
    </row>
    <row r="7" spans="1:13" ht="14.1" customHeight="1" x14ac:dyDescent="0.25">
      <c r="A7" s="3">
        <v>7</v>
      </c>
      <c r="B7" s="11"/>
      <c r="C7" s="634" t="str">
        <f>Fluoro!C271</f>
        <v xml:space="preserve"> cm</v>
      </c>
      <c r="D7" s="201">
        <f>Fluoro!D271</f>
        <v>10</v>
      </c>
      <c r="E7" s="153">
        <f>Fluoro!E271</f>
        <v>0</v>
      </c>
      <c r="F7" s="155">
        <f>Fluoro!F271</f>
        <v>0</v>
      </c>
      <c r="G7" s="154">
        <f>IF(Fluoro!G271="","",Fluoro!G271*0.1145)</f>
        <v>0</v>
      </c>
      <c r="H7" s="153">
        <f>Fluoro!H271</f>
        <v>0</v>
      </c>
      <c r="I7" s="155">
        <f>Fluoro!I271</f>
        <v>0</v>
      </c>
      <c r="J7" s="154">
        <f>IF(Fluoro!J271="","",Fluoro!J271*0.1145)</f>
        <v>0</v>
      </c>
      <c r="K7" s="153">
        <f>Fluoro!K271</f>
        <v>0</v>
      </c>
      <c r="L7" s="155">
        <f>Fluoro!L271</f>
        <v>0</v>
      </c>
      <c r="M7" s="202">
        <f>IF(Fluoro!M271="","",Fluoro!M271*0.1145)</f>
        <v>0</v>
      </c>
    </row>
    <row r="8" spans="1:13" ht="14.1" customHeight="1" x14ac:dyDescent="0.25">
      <c r="A8" s="3">
        <v>8</v>
      </c>
      <c r="B8" s="11"/>
      <c r="C8" s="634">
        <f>Fluoro!C272</f>
        <v>0</v>
      </c>
      <c r="D8" s="193">
        <f>Fluoro!D272</f>
        <v>20</v>
      </c>
      <c r="E8" s="156">
        <f>Fluoro!E272</f>
        <v>0</v>
      </c>
      <c r="F8" s="158">
        <f>Fluoro!F272</f>
        <v>0</v>
      </c>
      <c r="G8" s="157">
        <f>IF(Fluoro!G272="","",Fluoro!G272*0.1145)</f>
        <v>0</v>
      </c>
      <c r="H8" s="156">
        <f>Fluoro!H272</f>
        <v>0</v>
      </c>
      <c r="I8" s="158">
        <f>Fluoro!I272</f>
        <v>0</v>
      </c>
      <c r="J8" s="157">
        <f>IF(Fluoro!J272="","",Fluoro!J272*0.1145)</f>
        <v>0</v>
      </c>
      <c r="K8" s="156">
        <f>Fluoro!K272</f>
        <v>0</v>
      </c>
      <c r="L8" s="158">
        <f>Fluoro!L272</f>
        <v>0</v>
      </c>
      <c r="M8" s="203">
        <f>IF(Fluoro!M272="","",Fluoro!M272*0.1145)</f>
        <v>0</v>
      </c>
    </row>
    <row r="9" spans="1:13" ht="14.1" customHeight="1" x14ac:dyDescent="0.25">
      <c r="A9" s="3">
        <v>9</v>
      </c>
      <c r="B9" s="11"/>
      <c r="C9" s="634">
        <f>Fluoro!C273</f>
        <v>0</v>
      </c>
      <c r="D9" s="197">
        <f>Fluoro!D273</f>
        <v>30</v>
      </c>
      <c r="E9" s="159">
        <f>Fluoro!E273</f>
        <v>0</v>
      </c>
      <c r="F9" s="161">
        <f>Fluoro!F273</f>
        <v>0</v>
      </c>
      <c r="G9" s="160">
        <f>IF(Fluoro!G273="","",Fluoro!G273*0.1145)</f>
        <v>0</v>
      </c>
      <c r="H9" s="159">
        <f>Fluoro!H273</f>
        <v>0</v>
      </c>
      <c r="I9" s="161">
        <f>Fluoro!I273</f>
        <v>0</v>
      </c>
      <c r="J9" s="160">
        <f>IF(Fluoro!J273="","",Fluoro!J273*0.1145)</f>
        <v>0</v>
      </c>
      <c r="K9" s="159">
        <f>Fluoro!K273</f>
        <v>0</v>
      </c>
      <c r="L9" s="161">
        <f>Fluoro!L273</f>
        <v>0</v>
      </c>
      <c r="M9" s="204">
        <f>IF(Fluoro!M273="","",Fluoro!M273*0.1145)</f>
        <v>0</v>
      </c>
    </row>
    <row r="10" spans="1:13" ht="14.1" customHeight="1" x14ac:dyDescent="0.25">
      <c r="A10" s="3">
        <v>10</v>
      </c>
      <c r="B10" s="11"/>
      <c r="C10" s="634" t="str">
        <f>Fluoro!C274</f>
        <v xml:space="preserve"> cm</v>
      </c>
      <c r="D10" s="201">
        <f>Fluoro!D274</f>
        <v>10</v>
      </c>
      <c r="E10" s="153">
        <f>Fluoro!E274</f>
        <v>0</v>
      </c>
      <c r="F10" s="155">
        <f>Fluoro!F274</f>
        <v>0</v>
      </c>
      <c r="G10" s="154">
        <f>IF(Fluoro!G274="","",Fluoro!G274*0.1145)</f>
        <v>0</v>
      </c>
      <c r="H10" s="153">
        <f>Fluoro!H274</f>
        <v>0</v>
      </c>
      <c r="I10" s="155">
        <f>Fluoro!I274</f>
        <v>0</v>
      </c>
      <c r="J10" s="154">
        <f>IF(Fluoro!J274="","",Fluoro!J274*0.1145)</f>
        <v>0</v>
      </c>
      <c r="K10" s="153">
        <f>Fluoro!K274</f>
        <v>0</v>
      </c>
      <c r="L10" s="155">
        <f>Fluoro!L274</f>
        <v>0</v>
      </c>
      <c r="M10" s="202">
        <f>IF(Fluoro!M274="","",Fluoro!M274*0.1145)</f>
        <v>0</v>
      </c>
    </row>
    <row r="11" spans="1:13" ht="14.1" customHeight="1" x14ac:dyDescent="0.25">
      <c r="A11" s="3">
        <v>11</v>
      </c>
      <c r="B11" s="11"/>
      <c r="C11" s="634">
        <f>Fluoro!C275</f>
        <v>0</v>
      </c>
      <c r="D11" s="193">
        <f>Fluoro!D275</f>
        <v>20</v>
      </c>
      <c r="E11" s="156">
        <f>Fluoro!E275</f>
        <v>0</v>
      </c>
      <c r="F11" s="158">
        <f>Fluoro!F275</f>
        <v>0</v>
      </c>
      <c r="G11" s="157">
        <f>IF(Fluoro!G275="","",Fluoro!G275*0.1145)</f>
        <v>0</v>
      </c>
      <c r="H11" s="156">
        <f>Fluoro!H275</f>
        <v>0</v>
      </c>
      <c r="I11" s="158">
        <f>Fluoro!I275</f>
        <v>0</v>
      </c>
      <c r="J11" s="157">
        <f>IF(Fluoro!J275="","",Fluoro!J275*0.1145)</f>
        <v>0</v>
      </c>
      <c r="K11" s="156">
        <f>Fluoro!K275</f>
        <v>0</v>
      </c>
      <c r="L11" s="158">
        <f>Fluoro!L275</f>
        <v>0</v>
      </c>
      <c r="M11" s="203">
        <f>IF(Fluoro!M275="","",Fluoro!M275*0.1145)</f>
        <v>0</v>
      </c>
    </row>
    <row r="12" spans="1:13" ht="14.1" customHeight="1" x14ac:dyDescent="0.25">
      <c r="A12" s="3">
        <v>12</v>
      </c>
      <c r="B12" s="11"/>
      <c r="C12" s="634">
        <f>Fluoro!C276</f>
        <v>0</v>
      </c>
      <c r="D12" s="197">
        <f>Fluoro!D276</f>
        <v>30</v>
      </c>
      <c r="E12" s="159">
        <f>Fluoro!E276</f>
        <v>0</v>
      </c>
      <c r="F12" s="161">
        <f>Fluoro!F276</f>
        <v>0</v>
      </c>
      <c r="G12" s="160">
        <f>IF(Fluoro!G276="","",Fluoro!G276*0.1145)</f>
        <v>0</v>
      </c>
      <c r="H12" s="159">
        <f>Fluoro!H276</f>
        <v>0</v>
      </c>
      <c r="I12" s="161">
        <f>Fluoro!I276</f>
        <v>0</v>
      </c>
      <c r="J12" s="160">
        <f>IF(Fluoro!J276="","",Fluoro!J276*0.1145)</f>
        <v>0</v>
      </c>
      <c r="K12" s="159">
        <f>Fluoro!K276</f>
        <v>0</v>
      </c>
      <c r="L12" s="161">
        <f>Fluoro!L276</f>
        <v>0</v>
      </c>
      <c r="M12" s="204">
        <f>IF(Fluoro!M276="","",Fluoro!M276*0.1145)</f>
        <v>0</v>
      </c>
    </row>
    <row r="13" spans="1:13" ht="14.1" customHeight="1" x14ac:dyDescent="0.25">
      <c r="A13" s="3">
        <v>13</v>
      </c>
      <c r="B13" s="11"/>
      <c r="C13" s="634" t="str">
        <f>Fluoro!C277</f>
        <v xml:space="preserve"> cm</v>
      </c>
      <c r="D13" s="201">
        <f>Fluoro!D277</f>
        <v>10</v>
      </c>
      <c r="E13" s="153">
        <f>Fluoro!E277</f>
        <v>0</v>
      </c>
      <c r="F13" s="155">
        <f>Fluoro!F277</f>
        <v>0</v>
      </c>
      <c r="G13" s="154">
        <f>IF(Fluoro!G277="","",Fluoro!G277*0.1145)</f>
        <v>0</v>
      </c>
      <c r="H13" s="153">
        <f>Fluoro!H277</f>
        <v>0</v>
      </c>
      <c r="I13" s="155">
        <f>Fluoro!I277</f>
        <v>0</v>
      </c>
      <c r="J13" s="154">
        <f>IF(Fluoro!J277="","",Fluoro!J277*0.1145)</f>
        <v>0</v>
      </c>
      <c r="K13" s="153">
        <f>Fluoro!K277</f>
        <v>0</v>
      </c>
      <c r="L13" s="155">
        <f>Fluoro!L277</f>
        <v>0</v>
      </c>
      <c r="M13" s="202">
        <f>IF(Fluoro!M277="","",Fluoro!M277*0.1145)</f>
        <v>0</v>
      </c>
    </row>
    <row r="14" spans="1:13" ht="14.1" customHeight="1" x14ac:dyDescent="0.25">
      <c r="A14" s="3">
        <v>14</v>
      </c>
      <c r="B14" s="11"/>
      <c r="C14" s="634">
        <f>Fluoro!C278</f>
        <v>0</v>
      </c>
      <c r="D14" s="193">
        <f>Fluoro!D278</f>
        <v>20</v>
      </c>
      <c r="E14" s="156">
        <f>Fluoro!E278</f>
        <v>0</v>
      </c>
      <c r="F14" s="158">
        <f>Fluoro!F278</f>
        <v>0</v>
      </c>
      <c r="G14" s="157">
        <f>IF(Fluoro!G278="","",Fluoro!G278*0.1145)</f>
        <v>0</v>
      </c>
      <c r="H14" s="156">
        <f>Fluoro!H278</f>
        <v>0</v>
      </c>
      <c r="I14" s="158">
        <f>Fluoro!I278</f>
        <v>0</v>
      </c>
      <c r="J14" s="157">
        <f>IF(Fluoro!J278="","",Fluoro!J278*0.1145)</f>
        <v>0</v>
      </c>
      <c r="K14" s="156">
        <f>Fluoro!K278</f>
        <v>0</v>
      </c>
      <c r="L14" s="158">
        <f>Fluoro!L278</f>
        <v>0</v>
      </c>
      <c r="M14" s="203">
        <f>IF(Fluoro!M278="","",Fluoro!M278*0.1145)</f>
        <v>0</v>
      </c>
    </row>
    <row r="15" spans="1:13" ht="14.1" customHeight="1" x14ac:dyDescent="0.25">
      <c r="A15" s="3">
        <v>15</v>
      </c>
      <c r="B15" s="11"/>
      <c r="C15" s="634">
        <f>Fluoro!C279</f>
        <v>0</v>
      </c>
      <c r="D15" s="197">
        <f>Fluoro!D279</f>
        <v>30</v>
      </c>
      <c r="E15" s="159">
        <f>Fluoro!E279</f>
        <v>0</v>
      </c>
      <c r="F15" s="161">
        <f>Fluoro!F279</f>
        <v>0</v>
      </c>
      <c r="G15" s="160">
        <f>IF(Fluoro!G279="","",Fluoro!G279*0.1145)</f>
        <v>0</v>
      </c>
      <c r="H15" s="159">
        <f>Fluoro!H279</f>
        <v>0</v>
      </c>
      <c r="I15" s="161">
        <f>Fluoro!I279</f>
        <v>0</v>
      </c>
      <c r="J15" s="160">
        <f>IF(Fluoro!J279="","",Fluoro!J279*0.1145)</f>
        <v>0</v>
      </c>
      <c r="K15" s="159">
        <f>Fluoro!K279</f>
        <v>0</v>
      </c>
      <c r="L15" s="161">
        <f>Fluoro!L279</f>
        <v>0</v>
      </c>
      <c r="M15" s="204">
        <f>IF(Fluoro!M279="","",Fluoro!M279*0.1145)</f>
        <v>0</v>
      </c>
    </row>
    <row r="16" spans="1:13" ht="14.1" customHeight="1" x14ac:dyDescent="0.25">
      <c r="A16" s="3">
        <v>16</v>
      </c>
      <c r="B16" s="11"/>
      <c r="C16" s="634" t="str">
        <f>Fluoro!C280</f>
        <v xml:space="preserve"> cm</v>
      </c>
      <c r="D16" s="201">
        <f>Fluoro!D280</f>
        <v>10</v>
      </c>
      <c r="E16" s="153">
        <f>Fluoro!E280</f>
        <v>0</v>
      </c>
      <c r="F16" s="155">
        <f>Fluoro!F280</f>
        <v>0</v>
      </c>
      <c r="G16" s="154">
        <f>IF(Fluoro!G280="","",Fluoro!G280*0.1145)</f>
        <v>0</v>
      </c>
      <c r="H16" s="153">
        <f>Fluoro!H280</f>
        <v>0</v>
      </c>
      <c r="I16" s="155">
        <f>Fluoro!I280</f>
        <v>0</v>
      </c>
      <c r="J16" s="154">
        <f>IF(Fluoro!J280="","",Fluoro!J280*0.1145)</f>
        <v>0</v>
      </c>
      <c r="K16" s="153">
        <f>Fluoro!K280</f>
        <v>0</v>
      </c>
      <c r="L16" s="155">
        <f>Fluoro!L280</f>
        <v>0</v>
      </c>
      <c r="M16" s="202">
        <f>IF(Fluoro!M280="","",Fluoro!M280*0.1145)</f>
        <v>0</v>
      </c>
    </row>
    <row r="17" spans="1:13" ht="14.1" customHeight="1" x14ac:dyDescent="0.25">
      <c r="A17" s="3">
        <v>17</v>
      </c>
      <c r="B17" s="11"/>
      <c r="C17" s="634">
        <f>Fluoro!C281</f>
        <v>0</v>
      </c>
      <c r="D17" s="193">
        <f>Fluoro!D281</f>
        <v>20</v>
      </c>
      <c r="E17" s="156">
        <f>Fluoro!E281</f>
        <v>0</v>
      </c>
      <c r="F17" s="158">
        <f>Fluoro!F281</f>
        <v>0</v>
      </c>
      <c r="G17" s="157">
        <f>IF(Fluoro!G281="","",Fluoro!G281*0.1145)</f>
        <v>0</v>
      </c>
      <c r="H17" s="156">
        <f>Fluoro!H281</f>
        <v>0</v>
      </c>
      <c r="I17" s="158">
        <f>Fluoro!I281</f>
        <v>0</v>
      </c>
      <c r="J17" s="157">
        <f>IF(Fluoro!J281="","",Fluoro!J281*0.1145)</f>
        <v>0</v>
      </c>
      <c r="K17" s="156">
        <f>Fluoro!K281</f>
        <v>0</v>
      </c>
      <c r="L17" s="158">
        <f>Fluoro!L281</f>
        <v>0</v>
      </c>
      <c r="M17" s="203">
        <f>IF(Fluoro!M281="","",Fluoro!M281*0.1145)</f>
        <v>0</v>
      </c>
    </row>
    <row r="18" spans="1:13" ht="14.1" customHeight="1" x14ac:dyDescent="0.25">
      <c r="A18" s="3">
        <v>18</v>
      </c>
      <c r="B18" s="11"/>
      <c r="C18" s="634">
        <f>Fluoro!C282</f>
        <v>0</v>
      </c>
      <c r="D18" s="197">
        <f>Fluoro!D282</f>
        <v>30</v>
      </c>
      <c r="E18" s="159">
        <f>Fluoro!E282</f>
        <v>0</v>
      </c>
      <c r="F18" s="161">
        <f>Fluoro!F282</f>
        <v>0</v>
      </c>
      <c r="G18" s="160">
        <f>IF(Fluoro!G282="","",Fluoro!G282*0.1145)</f>
        <v>0</v>
      </c>
      <c r="H18" s="159">
        <f>Fluoro!H282</f>
        <v>0</v>
      </c>
      <c r="I18" s="161">
        <f>Fluoro!I282</f>
        <v>0</v>
      </c>
      <c r="J18" s="160">
        <f>IF(Fluoro!J282="","",Fluoro!J282*0.1145)</f>
        <v>0</v>
      </c>
      <c r="K18" s="159">
        <f>Fluoro!K282</f>
        <v>0</v>
      </c>
      <c r="L18" s="161">
        <f>Fluoro!L282</f>
        <v>0</v>
      </c>
      <c r="M18" s="204">
        <f>IF(Fluoro!M282="","",Fluoro!M282*0.1145)</f>
        <v>0</v>
      </c>
    </row>
    <row r="19" spans="1:13" ht="14.1" customHeight="1" x14ac:dyDescent="0.25">
      <c r="A19" s="3">
        <v>19</v>
      </c>
      <c r="B19" s="11"/>
      <c r="C19" s="634" t="str">
        <f>Fluoro!C283</f>
        <v xml:space="preserve"> cm</v>
      </c>
      <c r="D19" s="201">
        <f>Fluoro!D283</f>
        <v>10</v>
      </c>
      <c r="E19" s="153">
        <f>Fluoro!E283</f>
        <v>0</v>
      </c>
      <c r="F19" s="155">
        <f>Fluoro!F283</f>
        <v>0</v>
      </c>
      <c r="G19" s="154">
        <f>IF(Fluoro!G283="","",Fluoro!G283*0.1145)</f>
        <v>0</v>
      </c>
      <c r="H19" s="153">
        <f>Fluoro!H283</f>
        <v>0</v>
      </c>
      <c r="I19" s="155">
        <f>Fluoro!I283</f>
        <v>0</v>
      </c>
      <c r="J19" s="154">
        <f>IF(Fluoro!J283="","",Fluoro!J283*0.1145)</f>
        <v>0</v>
      </c>
      <c r="K19" s="153">
        <f>Fluoro!K283</f>
        <v>0</v>
      </c>
      <c r="L19" s="155">
        <f>Fluoro!L283</f>
        <v>0</v>
      </c>
      <c r="M19" s="202">
        <f>IF(Fluoro!M283="","",Fluoro!M283*0.1145)</f>
        <v>0</v>
      </c>
    </row>
    <row r="20" spans="1:13" ht="14.1" customHeight="1" x14ac:dyDescent="0.25">
      <c r="A20" s="3">
        <v>20</v>
      </c>
      <c r="B20" s="11"/>
      <c r="C20" s="634">
        <f>Fluoro!C284</f>
        <v>0</v>
      </c>
      <c r="D20" s="193">
        <f>Fluoro!D284</f>
        <v>20</v>
      </c>
      <c r="E20" s="156">
        <f>Fluoro!E284</f>
        <v>0</v>
      </c>
      <c r="F20" s="158">
        <f>Fluoro!F284</f>
        <v>0</v>
      </c>
      <c r="G20" s="157">
        <f>IF(Fluoro!G284="","",Fluoro!G284*0.1145)</f>
        <v>0</v>
      </c>
      <c r="H20" s="156">
        <f>Fluoro!H284</f>
        <v>0</v>
      </c>
      <c r="I20" s="158">
        <f>Fluoro!I284</f>
        <v>0</v>
      </c>
      <c r="J20" s="157">
        <f>IF(Fluoro!J284="","",Fluoro!J284*0.1145)</f>
        <v>0</v>
      </c>
      <c r="K20" s="156">
        <f>Fluoro!K284</f>
        <v>0</v>
      </c>
      <c r="L20" s="158">
        <f>Fluoro!L284</f>
        <v>0</v>
      </c>
      <c r="M20" s="203">
        <f>IF(Fluoro!M284="","",Fluoro!M284*0.1145)</f>
        <v>0</v>
      </c>
    </row>
    <row r="21" spans="1:13" ht="14.1" customHeight="1" x14ac:dyDescent="0.25">
      <c r="A21" s="3">
        <v>21</v>
      </c>
      <c r="B21" s="11"/>
      <c r="C21" s="634">
        <f>Fluoro!C285</f>
        <v>0</v>
      </c>
      <c r="D21" s="197">
        <f>Fluoro!D285</f>
        <v>30</v>
      </c>
      <c r="E21" s="159">
        <f>Fluoro!E285</f>
        <v>0</v>
      </c>
      <c r="F21" s="161">
        <f>Fluoro!F285</f>
        <v>0</v>
      </c>
      <c r="G21" s="160">
        <f>IF(Fluoro!G285="","",Fluoro!G285*0.1145)</f>
        <v>0</v>
      </c>
      <c r="H21" s="159">
        <f>Fluoro!H285</f>
        <v>0</v>
      </c>
      <c r="I21" s="161">
        <f>Fluoro!I285</f>
        <v>0</v>
      </c>
      <c r="J21" s="160">
        <f>IF(Fluoro!J285="","",Fluoro!J285*0.1145)</f>
        <v>0</v>
      </c>
      <c r="K21" s="159">
        <f>Fluoro!K285</f>
        <v>0</v>
      </c>
      <c r="L21" s="161">
        <f>Fluoro!L285</f>
        <v>0</v>
      </c>
      <c r="M21" s="204">
        <f>IF(Fluoro!M285="","",Fluoro!M285*0.1145)</f>
        <v>0</v>
      </c>
    </row>
    <row r="22" spans="1:13" ht="14.1" customHeight="1" x14ac:dyDescent="0.25">
      <c r="A22" s="3">
        <v>22</v>
      </c>
      <c r="B22" s="11"/>
      <c r="C22" s="46"/>
      <c r="D22" s="162" t="str">
        <f>Fluoro!D286</f>
        <v>max</v>
      </c>
      <c r="E22" s="224">
        <f>Fluoro!E286</f>
        <v>0</v>
      </c>
      <c r="F22" s="225">
        <f>Fluoro!F286</f>
        <v>0</v>
      </c>
      <c r="G22" s="226">
        <f>IF(Fluoro!G286="","",Fluoro!G286*0.1145)</f>
        <v>0</v>
      </c>
      <c r="H22" s="224">
        <f>Fluoro!H286</f>
        <v>0</v>
      </c>
      <c r="I22" s="225">
        <f>Fluoro!I286</f>
        <v>0</v>
      </c>
      <c r="J22" s="226">
        <f>IF(Fluoro!J286="","",Fluoro!J286*0.1145)</f>
        <v>0</v>
      </c>
      <c r="K22" s="227">
        <f>Fluoro!K286</f>
        <v>0</v>
      </c>
      <c r="L22" s="228">
        <f>Fluoro!L286</f>
        <v>0</v>
      </c>
      <c r="M22" s="229">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5" t="str">
        <f>Fluoro!D288</f>
        <v>*Measured at:</v>
      </c>
      <c r="E24" s="1"/>
      <c r="F24" s="230" t="str">
        <f>Fluoro!F288</f>
        <v>Acceptable:</v>
      </c>
      <c r="G24" s="231" t="str">
        <f>Fluoro!G288</f>
        <v>YES</v>
      </c>
      <c r="H24" s="1"/>
      <c r="I24" s="230" t="str">
        <f>Fluoro!I288</f>
        <v>Acceptable:</v>
      </c>
      <c r="J24" s="231" t="str">
        <f>Fluoro!J288</f>
        <v>YES</v>
      </c>
      <c r="K24" s="1"/>
      <c r="L24" s="230" t="str">
        <f>Fluoro!L288</f>
        <v>Acceptable:</v>
      </c>
      <c r="M24" s="232" t="str">
        <f>Fluoro!M288</f>
        <v>YES</v>
      </c>
    </row>
    <row r="25" spans="1:13" ht="14.1" customHeight="1" x14ac:dyDescent="0.25">
      <c r="A25" s="3">
        <v>25</v>
      </c>
      <c r="B25" s="11"/>
      <c r="C25" s="1"/>
      <c r="D25" s="108" t="str">
        <f>Fluoro!D289</f>
        <v>Undertable fluoroscopy units: 1 cm above table top</v>
      </c>
      <c r="E25" s="1"/>
      <c r="F25" s="1"/>
      <c r="G25" s="1"/>
      <c r="H25" s="1"/>
      <c r="I25" s="1"/>
      <c r="J25" s="1"/>
      <c r="K25" s="1"/>
      <c r="L25" s="1"/>
      <c r="M25" s="13"/>
    </row>
    <row r="26" spans="1:13" ht="14.1" customHeight="1" x14ac:dyDescent="0.25">
      <c r="A26" s="3">
        <v>26</v>
      </c>
      <c r="B26" s="11"/>
      <c r="C26" s="1"/>
      <c r="D26" s="108"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8"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8"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7"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7"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70" t="str">
        <f>Fluoro!D295</f>
        <v/>
      </c>
      <c r="F31" s="69"/>
      <c r="G31" s="69"/>
      <c r="H31" s="69"/>
      <c r="I31" s="69"/>
      <c r="J31" s="69"/>
      <c r="K31" s="69"/>
      <c r="L31" s="69"/>
      <c r="M31" s="245"/>
    </row>
    <row r="32" spans="1:13" ht="14.1" customHeight="1" x14ac:dyDescent="0.25">
      <c r="A32" s="3">
        <v>32</v>
      </c>
      <c r="B32" s="11"/>
      <c r="C32" s="1"/>
      <c r="D32" s="1"/>
      <c r="E32" s="111" t="str">
        <f>Fluoro!D296</f>
        <v/>
      </c>
      <c r="F32" s="113"/>
      <c r="G32" s="113"/>
      <c r="H32" s="113"/>
      <c r="I32" s="113"/>
      <c r="J32" s="113"/>
      <c r="K32" s="113"/>
      <c r="L32" s="113"/>
      <c r="M32" s="248"/>
    </row>
    <row r="33" spans="1:13" ht="14.1" customHeight="1" x14ac:dyDescent="0.25">
      <c r="A33" s="3">
        <v>33</v>
      </c>
      <c r="B33" s="11"/>
      <c r="C33" s="1"/>
      <c r="D33" s="1"/>
      <c r="E33" s="111" t="str">
        <f>Fluoro!D297</f>
        <v/>
      </c>
      <c r="F33" s="113"/>
      <c r="G33" s="113"/>
      <c r="H33" s="113"/>
      <c r="I33" s="113"/>
      <c r="J33" s="113"/>
      <c r="K33" s="113"/>
      <c r="L33" s="113"/>
      <c r="M33" s="248"/>
    </row>
    <row r="34" spans="1:13" ht="14.1" customHeight="1" x14ac:dyDescent="0.25">
      <c r="A34" s="3">
        <v>34</v>
      </c>
      <c r="B34" s="251"/>
      <c r="C34" s="1"/>
      <c r="D34" s="1"/>
      <c r="E34" s="1"/>
      <c r="F34" s="1"/>
      <c r="G34" s="1"/>
      <c r="H34" s="1"/>
      <c r="I34" s="1"/>
      <c r="J34" s="1"/>
      <c r="K34" s="1"/>
      <c r="L34" s="1"/>
      <c r="M34" s="13"/>
    </row>
    <row r="35" spans="1:13" ht="14.1" customHeight="1" x14ac:dyDescent="0.25">
      <c r="A35" s="3">
        <v>35</v>
      </c>
      <c r="B35" s="11"/>
      <c r="C35" s="253" t="str">
        <f>Fluoro!C299</f>
        <v>Image Receptor Entrance Exposure Rate – Fluoroscopy</v>
      </c>
      <c r="D35" s="8"/>
      <c r="E35" s="8"/>
      <c r="F35" s="8"/>
      <c r="G35" s="8"/>
      <c r="H35" s="8"/>
      <c r="I35" s="8"/>
      <c r="J35" s="8"/>
      <c r="K35" s="8"/>
      <c r="L35" s="8"/>
      <c r="M35" s="164"/>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6" t="str">
        <f>Fluoro!C301</f>
        <v>Dose</v>
      </c>
      <c r="D37" s="46" t="str">
        <f>Fluoro!D301</f>
        <v>Receptor</v>
      </c>
      <c r="E37" s="46"/>
      <c r="F37" s="46"/>
      <c r="G37" s="46"/>
      <c r="H37" s="46"/>
      <c r="I37" s="1"/>
      <c r="J37" s="1"/>
      <c r="K37" s="1"/>
      <c r="L37" s="1"/>
      <c r="M37" s="13"/>
    </row>
    <row r="38" spans="1:13" ht="14.1" customHeight="1" x14ac:dyDescent="0.25">
      <c r="A38" s="3">
        <v>38</v>
      </c>
      <c r="B38" s="11"/>
      <c r="C38" s="46" t="str">
        <f>Fluoro!C302</f>
        <v>Level</v>
      </c>
      <c r="D38" s="46" t="str">
        <f>Fluoro!D302</f>
        <v>Size (cm)</v>
      </c>
      <c r="E38" s="46" t="str">
        <f>Fluoro!E302</f>
        <v>kVp</v>
      </c>
      <c r="F38" s="46" t="str">
        <f>Fluoro!F302</f>
        <v>mA</v>
      </c>
      <c r="G38" s="46" t="s">
        <v>409</v>
      </c>
      <c r="H38" s="46" t="str">
        <f>Fluoro!H302</f>
        <v>nGy/frame</v>
      </c>
      <c r="I38" s="1"/>
      <c r="J38" s="1"/>
      <c r="K38" s="1"/>
      <c r="L38" s="1"/>
      <c r="M38" s="13"/>
    </row>
    <row r="39" spans="1:13" ht="14.1" customHeight="1" x14ac:dyDescent="0.25">
      <c r="A39" s="3">
        <v>39</v>
      </c>
      <c r="B39" s="11"/>
      <c r="C39" s="631" t="str">
        <f>Fluoro!C303</f>
        <v>Auto 1</v>
      </c>
      <c r="D39" s="255" t="str">
        <f>Fluoro!D303</f>
        <v/>
      </c>
      <c r="E39" s="256" t="str">
        <f>Fluoro!E303</f>
        <v/>
      </c>
      <c r="F39" s="256" t="str">
        <f>Fluoro!F303</f>
        <v/>
      </c>
      <c r="G39" s="257" t="str">
        <f>IF(Fluoro!G303="","",Fluoro!G303*0.1145)</f>
        <v/>
      </c>
      <c r="H39" s="257" t="str">
        <f>Fluoro!H303</f>
        <v/>
      </c>
      <c r="I39" s="1"/>
      <c r="J39" s="18" t="str">
        <f>Fluoro!J303</f>
        <v>Measure using pancake probe placed against</v>
      </c>
      <c r="K39" s="1"/>
      <c r="L39" s="1"/>
      <c r="M39" s="13"/>
    </row>
    <row r="40" spans="1:13" ht="14.1" customHeight="1" x14ac:dyDescent="0.25">
      <c r="A40" s="3">
        <v>40</v>
      </c>
      <c r="B40" s="11"/>
      <c r="C40" s="631">
        <f>Fluoro!C304</f>
        <v>0</v>
      </c>
      <c r="D40" s="258" t="str">
        <f>Fluoro!D304</f>
        <v/>
      </c>
      <c r="E40" s="259" t="str">
        <f>Fluoro!E304</f>
        <v/>
      </c>
      <c r="F40" s="259" t="str">
        <f>Fluoro!F304</f>
        <v/>
      </c>
      <c r="G40" s="260" t="str">
        <f>IF(Fluoro!G304="","",Fluoro!G304*0.1145)</f>
        <v/>
      </c>
      <c r="H40" s="260" t="str">
        <f>Fluoro!H304</f>
        <v/>
      </c>
      <c r="I40" s="1"/>
      <c r="J40" s="18" t="str">
        <f>Fluoro!J304</f>
        <v>image receptor input window</v>
      </c>
      <c r="K40" s="1"/>
      <c r="L40" s="1"/>
      <c r="M40" s="13"/>
    </row>
    <row r="41" spans="1:13" ht="14.1" customHeight="1" x14ac:dyDescent="0.25">
      <c r="A41" s="3">
        <v>41</v>
      </c>
      <c r="B41" s="11"/>
      <c r="C41" s="631">
        <f>Fluoro!C305</f>
        <v>0</v>
      </c>
      <c r="D41" s="258" t="str">
        <f>Fluoro!D305</f>
        <v/>
      </c>
      <c r="E41" s="259" t="str">
        <f>Fluoro!E305</f>
        <v/>
      </c>
      <c r="F41" s="259" t="str">
        <f>Fluoro!F305</f>
        <v/>
      </c>
      <c r="G41" s="260" t="str">
        <f>IF(Fluoro!G305="","",Fluoro!G305*0.1145)</f>
        <v/>
      </c>
      <c r="H41" s="260" t="str">
        <f>Fluoro!H305</f>
        <v/>
      </c>
      <c r="I41" s="1"/>
      <c r="J41" s="18" t="str">
        <f>Fluoro!J305</f>
        <v>Use 1.5mm Cu filtration</v>
      </c>
      <c r="K41" s="1"/>
      <c r="L41" s="1"/>
      <c r="M41" s="13"/>
    </row>
    <row r="42" spans="1:13" ht="14.1" customHeight="1" x14ac:dyDescent="0.25">
      <c r="A42" s="3">
        <v>42</v>
      </c>
      <c r="B42" s="11"/>
      <c r="C42" s="631">
        <f>Fluoro!C306</f>
        <v>0</v>
      </c>
      <c r="D42" s="264" t="str">
        <f>Fluoro!D306</f>
        <v/>
      </c>
      <c r="E42" s="265" t="str">
        <f>Fluoro!E306</f>
        <v/>
      </c>
      <c r="F42" s="265" t="str">
        <f>Fluoro!F306</f>
        <v/>
      </c>
      <c r="G42" s="266" t="str">
        <f>IF(Fluoro!G306="","",Fluoro!G306*0.1145)</f>
        <v/>
      </c>
      <c r="H42" s="266" t="str">
        <f>Fluoro!H306</f>
        <v/>
      </c>
      <c r="I42" s="1"/>
      <c r="J42" s="1"/>
      <c r="K42" s="1"/>
      <c r="L42" s="1"/>
      <c r="M42" s="13"/>
    </row>
    <row r="43" spans="1:13" ht="14.1" customHeight="1" x14ac:dyDescent="0.25">
      <c r="A43" s="3">
        <v>43</v>
      </c>
      <c r="B43" s="11"/>
      <c r="C43" s="631">
        <f>Fluoro!C307</f>
        <v>0</v>
      </c>
      <c r="D43" s="264" t="str">
        <f>Fluoro!D307</f>
        <v/>
      </c>
      <c r="E43" s="265" t="str">
        <f>Fluoro!E307</f>
        <v/>
      </c>
      <c r="F43" s="265" t="str">
        <f>Fluoro!F307</f>
        <v/>
      </c>
      <c r="G43" s="266" t="str">
        <f>IF(Fluoro!G307="","",Fluoro!G307*0.1145)</f>
        <v/>
      </c>
      <c r="H43" s="266" t="str">
        <f>Fluoro!H307</f>
        <v/>
      </c>
      <c r="I43" s="1"/>
      <c r="J43" s="1"/>
      <c r="K43" s="1"/>
      <c r="L43" s="1"/>
      <c r="M43" s="13"/>
    </row>
    <row r="44" spans="1:13" ht="14.1" customHeight="1" x14ac:dyDescent="0.25">
      <c r="A44" s="3">
        <v>44</v>
      </c>
      <c r="B44" s="11"/>
      <c r="C44" s="632" t="str">
        <f>Fluoro!C308</f>
        <v>Auto 2</v>
      </c>
      <c r="D44" s="255" t="str">
        <f>Fluoro!D308</f>
        <v/>
      </c>
      <c r="E44" s="256" t="str">
        <f>Fluoro!E308</f>
        <v/>
      </c>
      <c r="F44" s="256" t="str">
        <f>Fluoro!F308</f>
        <v/>
      </c>
      <c r="G44" s="257" t="str">
        <f>IF(Fluoro!G308="","",Fluoro!G308*0.1145)</f>
        <v/>
      </c>
      <c r="H44" s="257" t="str">
        <f>Fluoro!H308</f>
        <v/>
      </c>
      <c r="I44" s="1"/>
      <c r="J44" s="1"/>
      <c r="K44" s="1"/>
      <c r="L44" s="1"/>
      <c r="M44" s="13"/>
    </row>
    <row r="45" spans="1:13" ht="14.1" customHeight="1" x14ac:dyDescent="0.25">
      <c r="A45" s="3">
        <v>45</v>
      </c>
      <c r="B45" s="11"/>
      <c r="C45" s="632">
        <f>Fluoro!C309</f>
        <v>0</v>
      </c>
      <c r="D45" s="258" t="str">
        <f>Fluoro!D309</f>
        <v/>
      </c>
      <c r="E45" s="259" t="str">
        <f>Fluoro!E309</f>
        <v/>
      </c>
      <c r="F45" s="259" t="str">
        <f>Fluoro!F309</f>
        <v/>
      </c>
      <c r="G45" s="260" t="str">
        <f>IF(Fluoro!G309="","",Fluoro!G309*0.1145)</f>
        <v/>
      </c>
      <c r="H45" s="260" t="str">
        <f>Fluoro!H309</f>
        <v/>
      </c>
      <c r="I45" s="1"/>
      <c r="J45" s="1"/>
      <c r="K45" s="1"/>
      <c r="L45" s="1"/>
      <c r="M45" s="13"/>
    </row>
    <row r="46" spans="1:13" ht="14.1" customHeight="1" x14ac:dyDescent="0.25">
      <c r="A46" s="3">
        <v>46</v>
      </c>
      <c r="B46" s="11"/>
      <c r="C46" s="632">
        <f>Fluoro!C310</f>
        <v>0</v>
      </c>
      <c r="D46" s="258" t="str">
        <f>Fluoro!D310</f>
        <v/>
      </c>
      <c r="E46" s="259" t="str">
        <f>Fluoro!E310</f>
        <v/>
      </c>
      <c r="F46" s="259" t="str">
        <f>Fluoro!F310</f>
        <v/>
      </c>
      <c r="G46" s="260" t="str">
        <f>IF(Fluoro!G310="","",Fluoro!G310*0.1145)</f>
        <v/>
      </c>
      <c r="H46" s="260" t="str">
        <f>Fluoro!H310</f>
        <v/>
      </c>
      <c r="I46" s="1"/>
      <c r="J46" s="1"/>
      <c r="K46" s="1"/>
      <c r="L46" s="1"/>
      <c r="M46" s="13"/>
    </row>
    <row r="47" spans="1:13" ht="14.1" customHeight="1" x14ac:dyDescent="0.25">
      <c r="A47" s="3">
        <v>47</v>
      </c>
      <c r="B47" s="11"/>
      <c r="C47" s="632">
        <f>Fluoro!C311</f>
        <v>0</v>
      </c>
      <c r="D47" s="258" t="str">
        <f>Fluoro!D311</f>
        <v/>
      </c>
      <c r="E47" s="259" t="str">
        <f>Fluoro!E311</f>
        <v/>
      </c>
      <c r="F47" s="259" t="str">
        <f>Fluoro!F311</f>
        <v/>
      </c>
      <c r="G47" s="260" t="str">
        <f>IF(Fluoro!G311="","",Fluoro!G311*0.1145)</f>
        <v/>
      </c>
      <c r="H47" s="260" t="str">
        <f>Fluoro!H311</f>
        <v/>
      </c>
      <c r="I47" s="1"/>
      <c r="J47" s="1"/>
      <c r="K47" s="1"/>
      <c r="L47" s="1"/>
      <c r="M47" s="13"/>
    </row>
    <row r="48" spans="1:13" ht="14.1" customHeight="1" x14ac:dyDescent="0.25">
      <c r="A48" s="3">
        <v>48</v>
      </c>
      <c r="B48" s="11"/>
      <c r="C48" s="632">
        <f>Fluoro!C312</f>
        <v>0</v>
      </c>
      <c r="D48" s="274" t="str">
        <f>Fluoro!D312</f>
        <v/>
      </c>
      <c r="E48" s="275" t="str">
        <f>Fluoro!E312</f>
        <v/>
      </c>
      <c r="F48" s="275" t="str">
        <f>Fluoro!F312</f>
        <v/>
      </c>
      <c r="G48" s="276" t="str">
        <f>IF(Fluoro!G312="","",Fluoro!G312*0.1145)</f>
        <v/>
      </c>
      <c r="H48" s="276" t="str">
        <f>Fluoro!H312</f>
        <v/>
      </c>
      <c r="I48" s="1"/>
      <c r="J48" s="1"/>
      <c r="K48" s="1"/>
      <c r="L48" s="1"/>
      <c r="M48" s="13"/>
    </row>
    <row r="49" spans="1:13" ht="14.1" customHeight="1" x14ac:dyDescent="0.25">
      <c r="A49" s="3">
        <v>49</v>
      </c>
      <c r="B49" s="11"/>
      <c r="C49" s="632" t="str">
        <f>Fluoro!C313</f>
        <v>High Level</v>
      </c>
      <c r="D49" s="255" t="str">
        <f>Fluoro!D313</f>
        <v/>
      </c>
      <c r="E49" s="256" t="str">
        <f>Fluoro!E313</f>
        <v/>
      </c>
      <c r="F49" s="256" t="str">
        <f>Fluoro!F313</f>
        <v/>
      </c>
      <c r="G49" s="257" t="str">
        <f>IF(Fluoro!G313="","",Fluoro!G313*0.1145)</f>
        <v/>
      </c>
      <c r="H49" s="257" t="str">
        <f>Fluoro!H313</f>
        <v/>
      </c>
      <c r="I49" s="1"/>
      <c r="J49" s="1"/>
      <c r="K49" s="1"/>
      <c r="L49" s="1"/>
      <c r="M49" s="13"/>
    </row>
    <row r="50" spans="1:13" ht="14.1" customHeight="1" x14ac:dyDescent="0.25">
      <c r="A50" s="3">
        <v>50</v>
      </c>
      <c r="B50" s="11"/>
      <c r="C50" s="632">
        <f>Fluoro!C314</f>
        <v>0</v>
      </c>
      <c r="D50" s="258" t="str">
        <f>Fluoro!D314</f>
        <v/>
      </c>
      <c r="E50" s="259" t="str">
        <f>Fluoro!E314</f>
        <v/>
      </c>
      <c r="F50" s="259" t="str">
        <f>Fluoro!F314</f>
        <v/>
      </c>
      <c r="G50" s="260" t="str">
        <f>IF(Fluoro!G314="","",Fluoro!G314*0.1145)</f>
        <v/>
      </c>
      <c r="H50" s="260" t="str">
        <f>Fluoro!H314</f>
        <v/>
      </c>
      <c r="I50" s="1"/>
      <c r="J50" s="1"/>
      <c r="K50" s="1"/>
      <c r="L50" s="1"/>
      <c r="M50" s="13"/>
    </row>
    <row r="51" spans="1:13" ht="14.1" customHeight="1" x14ac:dyDescent="0.25">
      <c r="A51" s="3">
        <v>51</v>
      </c>
      <c r="B51" s="11"/>
      <c r="C51" s="632">
        <f>Fluoro!C315</f>
        <v>0</v>
      </c>
      <c r="D51" s="258" t="str">
        <f>Fluoro!D315</f>
        <v/>
      </c>
      <c r="E51" s="259" t="str">
        <f>Fluoro!E315</f>
        <v/>
      </c>
      <c r="F51" s="259" t="str">
        <f>Fluoro!F315</f>
        <v/>
      </c>
      <c r="G51" s="260" t="str">
        <f>IF(Fluoro!G315="","",Fluoro!G315*0.1145)</f>
        <v/>
      </c>
      <c r="H51" s="260" t="str">
        <f>Fluoro!H315</f>
        <v/>
      </c>
      <c r="M51" s="13"/>
    </row>
    <row r="52" spans="1:13" ht="14.1" customHeight="1" x14ac:dyDescent="0.25">
      <c r="A52" s="3">
        <v>52</v>
      </c>
      <c r="B52" s="11"/>
      <c r="C52" s="632">
        <f>Fluoro!C316</f>
        <v>0</v>
      </c>
      <c r="D52" s="258" t="str">
        <f>Fluoro!D316</f>
        <v/>
      </c>
      <c r="E52" s="259" t="str">
        <f>Fluoro!E316</f>
        <v/>
      </c>
      <c r="F52" s="259" t="str">
        <f>Fluoro!F316</f>
        <v/>
      </c>
      <c r="G52" s="260" t="str">
        <f>IF(Fluoro!G316="","",Fluoro!G316*0.1145)</f>
        <v/>
      </c>
      <c r="H52" s="260" t="str">
        <f>Fluoro!H316</f>
        <v/>
      </c>
      <c r="M52" s="13"/>
    </row>
    <row r="53" spans="1:13" ht="14.1" customHeight="1" x14ac:dyDescent="0.25">
      <c r="A53" s="3">
        <v>53</v>
      </c>
      <c r="B53" s="11"/>
      <c r="C53" s="632">
        <f>Fluoro!C317</f>
        <v>0</v>
      </c>
      <c r="D53" s="274" t="str">
        <f>Fluoro!D317</f>
        <v/>
      </c>
      <c r="E53" s="275" t="str">
        <f>Fluoro!E317</f>
        <v/>
      </c>
      <c r="F53" s="275" t="str">
        <f>Fluoro!F317</f>
        <v/>
      </c>
      <c r="G53" s="276" t="str">
        <f>IF(Fluoro!G317="","",Fluoro!G317*0.1145)</f>
        <v/>
      </c>
      <c r="H53" s="276" t="str">
        <f>Fluoro!H317</f>
        <v/>
      </c>
      <c r="M53" s="13"/>
    </row>
    <row r="54" spans="1:13" ht="14.1" customHeight="1" x14ac:dyDescent="0.25">
      <c r="A54" s="3">
        <v>54</v>
      </c>
      <c r="B54" s="11"/>
      <c r="C54" s="117"/>
      <c r="D54" s="1" t="str">
        <f>Fluoro!C318</f>
        <v>Comments:</v>
      </c>
      <c r="E54" s="70" t="str">
        <f>Fluoro!D318</f>
        <v/>
      </c>
      <c r="F54" s="69"/>
      <c r="G54" s="69"/>
      <c r="H54" s="69"/>
      <c r="I54" s="69"/>
      <c r="J54" s="69"/>
      <c r="K54" s="69"/>
      <c r="L54" s="69"/>
      <c r="M54" s="245"/>
    </row>
    <row r="55" spans="1:13" ht="14.1" customHeight="1" x14ac:dyDescent="0.25">
      <c r="A55" s="3">
        <v>55</v>
      </c>
      <c r="B55" s="11"/>
      <c r="C55" s="315"/>
      <c r="D55" s="1"/>
      <c r="E55" s="111" t="str">
        <f>Fluoro!D319</f>
        <v/>
      </c>
      <c r="F55" s="113"/>
      <c r="G55" s="113"/>
      <c r="H55" s="113"/>
      <c r="I55" s="113"/>
      <c r="J55" s="113"/>
      <c r="K55" s="113"/>
      <c r="L55" s="113"/>
      <c r="M55" s="248"/>
    </row>
    <row r="56" spans="1:13" ht="14.1" customHeight="1" x14ac:dyDescent="0.25">
      <c r="A56" s="3">
        <v>56</v>
      </c>
      <c r="B56" s="11"/>
      <c r="C56" s="1"/>
      <c r="D56" s="1"/>
      <c r="E56" s="111" t="str">
        <f>Fluoro!E320</f>
        <v/>
      </c>
      <c r="F56" s="113"/>
      <c r="G56" s="113"/>
      <c r="H56" s="113"/>
      <c r="I56" s="113"/>
      <c r="J56" s="113"/>
      <c r="K56" s="113"/>
      <c r="L56" s="113"/>
      <c r="M56" s="248"/>
    </row>
    <row r="57" spans="1:13" ht="14.1" customHeight="1" x14ac:dyDescent="0.25">
      <c r="A57" s="3">
        <v>57</v>
      </c>
      <c r="B57" s="163"/>
      <c r="C57" s="253" t="str">
        <f>Fluoro!C321</f>
        <v>Scatter and Transmission – Fluoroscopy</v>
      </c>
      <c r="D57" s="80"/>
      <c r="E57" s="8"/>
      <c r="F57" s="8"/>
      <c r="G57" s="287" t="str">
        <f>Fluoro!G321</f>
        <v>Pt Entrance</v>
      </c>
      <c r="H57" s="287" t="s">
        <v>292</v>
      </c>
      <c r="I57" s="287" t="s">
        <v>293</v>
      </c>
      <c r="J57" s="8"/>
      <c r="K57" s="8"/>
      <c r="L57" s="8"/>
      <c r="M57" s="164"/>
    </row>
    <row r="58" spans="1:13" ht="14.1" customHeight="1" x14ac:dyDescent="0.25">
      <c r="A58" s="3">
        <v>58</v>
      </c>
      <c r="B58" s="11"/>
      <c r="C58" s="1"/>
      <c r="D58" s="242"/>
      <c r="E58" s="45" t="str">
        <f>Fluoro!E322</f>
        <v>kVp</v>
      </c>
      <c r="F58" s="45" t="str">
        <f>Fluoro!F322</f>
        <v>mA</v>
      </c>
      <c r="G58" s="45" t="str">
        <f>Fluoro!G322</f>
        <v>mGy/min</v>
      </c>
      <c r="H58" s="45" t="str">
        <f>Fluoro!I323</f>
        <v>uGy/hr</v>
      </c>
      <c r="I58" s="45" t="str">
        <f>Fluoro!J323</f>
        <v>uGy/hr</v>
      </c>
      <c r="K58" s="85" t="str">
        <f>Fluoro!L322</f>
        <v>Acceptable</v>
      </c>
      <c r="L58" s="1"/>
      <c r="M58" s="13"/>
    </row>
    <row r="59" spans="1:13" ht="14.1" customHeight="1" x14ac:dyDescent="0.25">
      <c r="A59" s="3">
        <v>59</v>
      </c>
      <c r="B59" s="11"/>
      <c r="C59" s="46"/>
      <c r="D59" s="288" t="str">
        <f>Fluoro!D323</f>
        <v>Transmission* @ 10cm</v>
      </c>
      <c r="E59" s="325">
        <f>Fluoro!E323</f>
        <v>0</v>
      </c>
      <c r="F59" s="325">
        <f>Fluoro!F323</f>
        <v>0</v>
      </c>
      <c r="G59" s="289">
        <f>Fluoro!G323</f>
        <v>0</v>
      </c>
      <c r="H59" s="326"/>
      <c r="I59" s="326"/>
      <c r="K59" s="94" t="str">
        <f>Fluoro!L323</f>
        <v>YES</v>
      </c>
      <c r="L59" s="1"/>
      <c r="M59" s="13"/>
    </row>
    <row r="60" spans="1:13" ht="14.1" customHeight="1" x14ac:dyDescent="0.25">
      <c r="A60" s="3">
        <v>60</v>
      </c>
      <c r="B60" s="11"/>
      <c r="C60" s="633" t="str">
        <f>Fluoro!C324</f>
        <v>Scatter – Fluoro</v>
      </c>
      <c r="D60" s="294" t="str">
        <f>Fluoro!D324</f>
        <v>Eye level</v>
      </c>
      <c r="E60" s="316">
        <f>Fluoro!E324</f>
        <v>0</v>
      </c>
      <c r="F60" s="316">
        <f>Fluoro!F324</f>
        <v>0</v>
      </c>
      <c r="G60" s="295"/>
      <c r="H60" s="316" t="str">
        <f>Fluoro!I324</f>
        <v/>
      </c>
      <c r="I60" s="296" t="str">
        <f>Fluoro!J324</f>
        <v/>
      </c>
      <c r="J60" s="18"/>
      <c r="K60" s="1"/>
      <c r="L60" s="1"/>
      <c r="M60" s="13"/>
    </row>
    <row r="61" spans="1:13" ht="14.1" customHeight="1" x14ac:dyDescent="0.25">
      <c r="A61" s="3">
        <v>61</v>
      </c>
      <c r="B61" s="11"/>
      <c r="C61" s="633">
        <f>Fluoro!C325</f>
        <v>0</v>
      </c>
      <c r="D61" s="297" t="str">
        <f>Fluoro!D325</f>
        <v>Waist level</v>
      </c>
      <c r="E61" s="317">
        <f>Fluoro!E325</f>
        <v>0</v>
      </c>
      <c r="F61" s="317">
        <f>Fluoro!F325</f>
        <v>0</v>
      </c>
      <c r="G61" s="298"/>
      <c r="H61" s="317" t="str">
        <f>Fluoro!I325</f>
        <v/>
      </c>
      <c r="I61" s="327" t="str">
        <f>Fluoro!J325</f>
        <v/>
      </c>
      <c r="J61" s="1"/>
      <c r="K61" s="1"/>
      <c r="L61" s="1"/>
      <c r="M61" s="13"/>
    </row>
    <row r="62" spans="1:13" ht="14.1" customHeight="1" x14ac:dyDescent="0.25">
      <c r="A62" s="3">
        <v>62</v>
      </c>
      <c r="B62" s="11"/>
      <c r="C62" s="1"/>
      <c r="D62" s="1" t="str">
        <f>Fluoro!C326</f>
        <v>Comments:</v>
      </c>
      <c r="E62" s="70" t="str">
        <f>Fluoro!D326</f>
        <v/>
      </c>
      <c r="F62" s="69"/>
      <c r="G62" s="69"/>
      <c r="H62" s="69"/>
      <c r="I62" s="69"/>
      <c r="J62" s="69"/>
      <c r="K62" s="69"/>
      <c r="L62" s="69"/>
      <c r="M62" s="245"/>
    </row>
    <row r="63" spans="1:13" ht="14.1" customHeight="1" x14ac:dyDescent="0.25">
      <c r="A63" s="3">
        <v>63</v>
      </c>
      <c r="B63" s="11"/>
      <c r="C63" s="1"/>
      <c r="D63" s="1"/>
      <c r="E63" s="111" t="str">
        <f>Fluoro!D327</f>
        <v/>
      </c>
      <c r="F63" s="113"/>
      <c r="G63" s="113"/>
      <c r="H63" s="113"/>
      <c r="I63" s="113"/>
      <c r="J63" s="113"/>
      <c r="K63" s="113"/>
      <c r="L63" s="113"/>
      <c r="M63" s="248"/>
    </row>
    <row r="64" spans="1:13" ht="14.1" customHeight="1" x14ac:dyDescent="0.25">
      <c r="A64" s="3">
        <v>64</v>
      </c>
      <c r="B64" s="19"/>
      <c r="C64" s="20"/>
      <c r="D64" s="20"/>
      <c r="E64" s="299" t="str">
        <f>Fluoro!E328</f>
        <v/>
      </c>
      <c r="F64" s="20"/>
      <c r="G64" s="20"/>
      <c r="H64" s="20"/>
      <c r="I64" s="20"/>
      <c r="J64" s="20"/>
      <c r="K64" s="20"/>
      <c r="L64" s="20"/>
      <c r="M64" s="21"/>
    </row>
    <row r="65" spans="1:13" ht="14.1" customHeight="1" x14ac:dyDescent="0.25">
      <c r="A65" s="3">
        <v>65</v>
      </c>
      <c r="B65" s="1"/>
      <c r="C65" s="2" t="s">
        <v>10</v>
      </c>
      <c r="D65" s="68" t="str">
        <f>Fluoro!D329</f>
        <v/>
      </c>
      <c r="E65" s="1"/>
      <c r="F65" s="1"/>
      <c r="G65" s="1"/>
      <c r="H65" s="1"/>
      <c r="I65" s="1"/>
      <c r="J65" s="1"/>
      <c r="K65" s="1"/>
      <c r="L65" s="2" t="s">
        <v>11</v>
      </c>
      <c r="M65" s="69" t="str">
        <f>Fluoro!M329</f>
        <v>Eugene Mah</v>
      </c>
    </row>
    <row r="66" spans="1:13" ht="14.1" customHeight="1" x14ac:dyDescent="0.25">
      <c r="A66" s="3">
        <v>66</v>
      </c>
      <c r="B66" s="1"/>
      <c r="C66" s="2" t="s">
        <v>79</v>
      </c>
      <c r="D66" s="70" t="str">
        <f>Fluoro!D330</f>
        <v/>
      </c>
      <c r="E66" s="1"/>
      <c r="F66" s="1"/>
      <c r="G66" s="1"/>
      <c r="H66" s="1"/>
      <c r="I66" s="1"/>
      <c r="J66" s="1"/>
      <c r="K66" s="1"/>
      <c r="L66" s="2" t="s">
        <v>25</v>
      </c>
      <c r="M66" s="71" t="str">
        <f>Fluoro!M330</f>
        <v/>
      </c>
    </row>
    <row r="67" spans="1:13" ht="14.1" customHeight="1" x14ac:dyDescent="0.25">
      <c r="A67" s="3">
        <v>1</v>
      </c>
      <c r="B67" s="1"/>
      <c r="C67" s="1"/>
      <c r="D67" s="1"/>
      <c r="E67" s="1"/>
      <c r="F67" s="1"/>
      <c r="G67" s="1"/>
      <c r="H67" s="1"/>
      <c r="I67" s="1"/>
      <c r="J67" s="1"/>
      <c r="K67" s="1"/>
      <c r="L67" s="1"/>
      <c r="M67" s="72" t="str">
        <f>Fluoro!M331</f>
        <v>Medical University of South Carolina</v>
      </c>
    </row>
    <row r="68" spans="1:13" ht="14.1" customHeight="1" x14ac:dyDescent="0.25">
      <c r="A68" s="3">
        <v>2</v>
      </c>
      <c r="B68" s="1"/>
      <c r="C68" s="1"/>
      <c r="D68" s="1"/>
      <c r="E68" s="1"/>
      <c r="F68" s="1"/>
      <c r="G68" s="1"/>
      <c r="H68" s="33" t="str">
        <f>Fluoro!H332</f>
        <v>Inspection Results</v>
      </c>
      <c r="I68" s="1"/>
      <c r="J68" s="1"/>
      <c r="K68" s="1"/>
      <c r="L68" s="1"/>
      <c r="M68" s="25" t="str">
        <f>Fluoro!M332</f>
        <v>Fluoroscopy System Compliance Inspection</v>
      </c>
    </row>
    <row r="69" spans="1:13" ht="14.1" customHeight="1" x14ac:dyDescent="0.25">
      <c r="A69" s="3">
        <v>3</v>
      </c>
      <c r="B69" s="4"/>
      <c r="C69" s="114" t="str">
        <f>Fluoro!C333</f>
        <v>Patient Entrance Exposure Rate – Digital Acquisition</v>
      </c>
      <c r="D69" s="5"/>
      <c r="E69" s="5"/>
      <c r="F69" s="5"/>
      <c r="G69" s="5"/>
      <c r="H69" s="5"/>
      <c r="I69" s="5"/>
      <c r="J69" s="5"/>
      <c r="K69" s="5"/>
      <c r="L69" s="5"/>
      <c r="M69" s="6"/>
    </row>
    <row r="70" spans="1:13" ht="14.1" customHeight="1" x14ac:dyDescent="0.25">
      <c r="A70" s="3">
        <v>4</v>
      </c>
      <c r="B70" s="11"/>
      <c r="C70" s="193" t="str">
        <f>Fluoro!C334</f>
        <v>Image</v>
      </c>
      <c r="D70" s="193" t="str">
        <f>Fluoro!D334</f>
        <v>Acrylic</v>
      </c>
      <c r="E70" s="46"/>
      <c r="F70" s="46"/>
      <c r="G70" s="46"/>
      <c r="H70" s="46"/>
      <c r="I70" s="46"/>
      <c r="J70" s="46"/>
      <c r="K70" s="46"/>
      <c r="L70" s="46"/>
      <c r="M70" s="47"/>
    </row>
    <row r="71" spans="1:13" ht="14.1" customHeight="1" x14ac:dyDescent="0.25">
      <c r="A71" s="3">
        <v>5</v>
      </c>
      <c r="B71" s="11"/>
      <c r="C71" s="193" t="str">
        <f>Fluoro!C335</f>
        <v>Mode</v>
      </c>
      <c r="D71" s="193" t="str">
        <f>Fluoro!D335</f>
        <v>Attenuator</v>
      </c>
      <c r="E71" s="606" t="str">
        <f>Fluoro!E335</f>
        <v>Auto 1</v>
      </c>
      <c r="F71" s="606">
        <f>Fluoro!F335</f>
        <v>0</v>
      </c>
      <c r="G71" s="606">
        <f>Fluoro!G335</f>
        <v>0</v>
      </c>
      <c r="H71" s="606" t="str">
        <f>Fluoro!H335</f>
        <v>Auto 2</v>
      </c>
      <c r="I71" s="606">
        <f>Fluoro!I335</f>
        <v>0</v>
      </c>
      <c r="J71" s="606">
        <f>Fluoro!J335</f>
        <v>0</v>
      </c>
      <c r="K71" s="607" t="str">
        <f>Fluoro!K335</f>
        <v>High Level</v>
      </c>
      <c r="L71" s="607">
        <f>Fluoro!L335</f>
        <v>0</v>
      </c>
      <c r="M71" s="607">
        <f>Fluoro!M335</f>
        <v>0</v>
      </c>
    </row>
    <row r="72" spans="1:13" ht="14.1" customHeight="1" x14ac:dyDescent="0.25">
      <c r="A72" s="3">
        <v>6</v>
      </c>
      <c r="B72" s="11"/>
      <c r="C72" s="193" t="str">
        <f>Fluoro!C336</f>
        <v>(cm)</v>
      </c>
      <c r="D72" s="193" t="str">
        <f>Fluoro!D336</f>
        <v>(cm)</v>
      </c>
      <c r="E72" s="198" t="str">
        <f>Fluoro!E336</f>
        <v>kVp</v>
      </c>
      <c r="F72" s="199" t="str">
        <f>Fluoro!F336</f>
        <v>mA</v>
      </c>
      <c r="G72" s="200" t="s">
        <v>408</v>
      </c>
      <c r="H72" s="198" t="str">
        <f>Fluoro!H336</f>
        <v>kVp</v>
      </c>
      <c r="I72" s="199" t="str">
        <f>Fluoro!I336</f>
        <v>mA</v>
      </c>
      <c r="J72" s="200" t="s">
        <v>408</v>
      </c>
      <c r="K72" s="198" t="str">
        <f>Fluoro!K336</f>
        <v>kVp</v>
      </c>
      <c r="L72" s="199" t="str">
        <f>Fluoro!L336</f>
        <v>mA</v>
      </c>
      <c r="M72" s="47" t="s">
        <v>408</v>
      </c>
    </row>
    <row r="73" spans="1:13" ht="14.1" customHeight="1" x14ac:dyDescent="0.25">
      <c r="A73" s="3">
        <v>7</v>
      </c>
      <c r="B73" s="11"/>
      <c r="C73" s="634" t="str">
        <f>Fluoro!C337</f>
        <v xml:space="preserve"> cm</v>
      </c>
      <c r="D73" s="201">
        <f>Fluoro!D337</f>
        <v>10</v>
      </c>
      <c r="E73" s="153">
        <f>Fluoro!E337</f>
        <v>0</v>
      </c>
      <c r="F73" s="155">
        <f>Fluoro!F337</f>
        <v>0</v>
      </c>
      <c r="G73" s="154">
        <f>IF(Fluoro!G337="","",Fluoro!G337*0.1145)</f>
        <v>0</v>
      </c>
      <c r="H73" s="153">
        <f>Fluoro!H337</f>
        <v>0</v>
      </c>
      <c r="I73" s="155">
        <f>Fluoro!I337</f>
        <v>0</v>
      </c>
      <c r="J73" s="154">
        <f>IF(Fluoro!J337="","",Fluoro!J337*0.1145)</f>
        <v>0</v>
      </c>
      <c r="K73" s="153">
        <f>Fluoro!K337</f>
        <v>0</v>
      </c>
      <c r="L73" s="155">
        <f>Fluoro!L337</f>
        <v>0</v>
      </c>
      <c r="M73" s="202">
        <f>IF(Fluoro!M337="","",Fluoro!M337*0.1145)</f>
        <v>0</v>
      </c>
    </row>
    <row r="74" spans="1:13" ht="14.1" customHeight="1" x14ac:dyDescent="0.25">
      <c r="A74" s="3">
        <v>8</v>
      </c>
      <c r="B74" s="11"/>
      <c r="C74" s="634">
        <f>Fluoro!C338</f>
        <v>0</v>
      </c>
      <c r="D74" s="193">
        <f>Fluoro!D338</f>
        <v>20</v>
      </c>
      <c r="E74" s="156">
        <f>Fluoro!E338</f>
        <v>0</v>
      </c>
      <c r="F74" s="158">
        <f>Fluoro!F338</f>
        <v>0</v>
      </c>
      <c r="G74" s="157">
        <f>IF(Fluoro!G338="","",Fluoro!G338*0.1145)</f>
        <v>0</v>
      </c>
      <c r="H74" s="156">
        <f>Fluoro!H338</f>
        <v>0</v>
      </c>
      <c r="I74" s="158">
        <f>Fluoro!I338</f>
        <v>0</v>
      </c>
      <c r="J74" s="157">
        <f>IF(Fluoro!J338="","",Fluoro!J338*0.1145)</f>
        <v>0</v>
      </c>
      <c r="K74" s="156">
        <f>Fluoro!K338</f>
        <v>0</v>
      </c>
      <c r="L74" s="158">
        <f>Fluoro!L338</f>
        <v>0</v>
      </c>
      <c r="M74" s="203">
        <f>IF(Fluoro!M338="","",Fluoro!M338*0.1145)</f>
        <v>0</v>
      </c>
    </row>
    <row r="75" spans="1:13" ht="14.1" customHeight="1" x14ac:dyDescent="0.25">
      <c r="A75" s="3">
        <v>9</v>
      </c>
      <c r="B75" s="11"/>
      <c r="C75" s="634">
        <f>Fluoro!C339</f>
        <v>0</v>
      </c>
      <c r="D75" s="197">
        <f>Fluoro!D339</f>
        <v>30</v>
      </c>
      <c r="E75" s="159">
        <f>Fluoro!E339</f>
        <v>0</v>
      </c>
      <c r="F75" s="161">
        <f>Fluoro!F339</f>
        <v>0</v>
      </c>
      <c r="G75" s="160">
        <f>IF(Fluoro!G339="","",Fluoro!G339*0.1145)</f>
        <v>0</v>
      </c>
      <c r="H75" s="159">
        <f>Fluoro!H339</f>
        <v>0</v>
      </c>
      <c r="I75" s="161">
        <f>Fluoro!I339</f>
        <v>0</v>
      </c>
      <c r="J75" s="160">
        <f>IF(Fluoro!J339="","",Fluoro!J339*0.1145)</f>
        <v>0</v>
      </c>
      <c r="K75" s="159">
        <f>Fluoro!K339</f>
        <v>0</v>
      </c>
      <c r="L75" s="161">
        <f>Fluoro!L339</f>
        <v>0</v>
      </c>
      <c r="M75" s="204">
        <f>IF(Fluoro!M339="","",Fluoro!M339*0.1145)</f>
        <v>0</v>
      </c>
    </row>
    <row r="76" spans="1:13" ht="14.1" customHeight="1" x14ac:dyDescent="0.25">
      <c r="A76" s="3">
        <v>10</v>
      </c>
      <c r="B76" s="11"/>
      <c r="C76" s="634" t="str">
        <f>Fluoro!C340</f>
        <v xml:space="preserve"> cm</v>
      </c>
      <c r="D76" s="201">
        <f>Fluoro!D340</f>
        <v>10</v>
      </c>
      <c r="E76" s="153">
        <f>Fluoro!E340</f>
        <v>0</v>
      </c>
      <c r="F76" s="155">
        <f>Fluoro!F340</f>
        <v>0</v>
      </c>
      <c r="G76" s="154">
        <f>IF(Fluoro!G340="","",Fluoro!G340*0.1145)</f>
        <v>0</v>
      </c>
      <c r="H76" s="153">
        <f>Fluoro!H340</f>
        <v>0</v>
      </c>
      <c r="I76" s="155">
        <f>Fluoro!I340</f>
        <v>0</v>
      </c>
      <c r="J76" s="154">
        <f>IF(Fluoro!J340="","",Fluoro!J340*0.1145)</f>
        <v>0</v>
      </c>
      <c r="K76" s="153">
        <f>Fluoro!K340</f>
        <v>0</v>
      </c>
      <c r="L76" s="155">
        <f>Fluoro!L340</f>
        <v>0</v>
      </c>
      <c r="M76" s="202">
        <f>IF(Fluoro!M340="","",Fluoro!M340*0.1145)</f>
        <v>0</v>
      </c>
    </row>
    <row r="77" spans="1:13" ht="14.1" customHeight="1" x14ac:dyDescent="0.25">
      <c r="A77" s="3">
        <v>11</v>
      </c>
      <c r="B77" s="11"/>
      <c r="C77" s="634">
        <f>Fluoro!C341</f>
        <v>0</v>
      </c>
      <c r="D77" s="193">
        <f>Fluoro!D341</f>
        <v>20</v>
      </c>
      <c r="E77" s="156">
        <f>Fluoro!E341</f>
        <v>0</v>
      </c>
      <c r="F77" s="158">
        <f>Fluoro!F341</f>
        <v>0</v>
      </c>
      <c r="G77" s="157">
        <f>IF(Fluoro!G341="","",Fluoro!G341*0.1145)</f>
        <v>0</v>
      </c>
      <c r="H77" s="156">
        <f>Fluoro!H341</f>
        <v>0</v>
      </c>
      <c r="I77" s="158">
        <f>Fluoro!I341</f>
        <v>0</v>
      </c>
      <c r="J77" s="157">
        <f>IF(Fluoro!J341="","",Fluoro!J341*0.1145)</f>
        <v>0</v>
      </c>
      <c r="K77" s="156">
        <f>Fluoro!K341</f>
        <v>0</v>
      </c>
      <c r="L77" s="158">
        <f>Fluoro!L341</f>
        <v>0</v>
      </c>
      <c r="M77" s="203">
        <f>IF(Fluoro!M341="","",Fluoro!M341*0.1145)</f>
        <v>0</v>
      </c>
    </row>
    <row r="78" spans="1:13" ht="14.1" customHeight="1" x14ac:dyDescent="0.25">
      <c r="A78" s="3">
        <v>12</v>
      </c>
      <c r="B78" s="11"/>
      <c r="C78" s="634">
        <f>Fluoro!C342</f>
        <v>0</v>
      </c>
      <c r="D78" s="197">
        <f>Fluoro!D342</f>
        <v>30</v>
      </c>
      <c r="E78" s="159">
        <f>Fluoro!E342</f>
        <v>0</v>
      </c>
      <c r="F78" s="161">
        <f>Fluoro!F342</f>
        <v>0</v>
      </c>
      <c r="G78" s="160">
        <f>IF(Fluoro!G342="","",Fluoro!G342*0.1145)</f>
        <v>0</v>
      </c>
      <c r="H78" s="159">
        <f>Fluoro!H342</f>
        <v>0</v>
      </c>
      <c r="I78" s="161">
        <f>Fluoro!I342</f>
        <v>0</v>
      </c>
      <c r="J78" s="160">
        <f>IF(Fluoro!J342="","",Fluoro!J342*0.1145)</f>
        <v>0</v>
      </c>
      <c r="K78" s="159">
        <f>Fluoro!K342</f>
        <v>0</v>
      </c>
      <c r="L78" s="161">
        <f>Fluoro!L342</f>
        <v>0</v>
      </c>
      <c r="M78" s="204">
        <f>IF(Fluoro!M342="","",Fluoro!M342*0.1145)</f>
        <v>0</v>
      </c>
    </row>
    <row r="79" spans="1:13" ht="14.1" customHeight="1" x14ac:dyDescent="0.25">
      <c r="A79" s="3">
        <v>13</v>
      </c>
      <c r="B79" s="11"/>
      <c r="C79" s="634" t="str">
        <f>Fluoro!C343</f>
        <v xml:space="preserve"> cm</v>
      </c>
      <c r="D79" s="201">
        <f>Fluoro!D343</f>
        <v>10</v>
      </c>
      <c r="E79" s="153">
        <f>Fluoro!E343</f>
        <v>0</v>
      </c>
      <c r="F79" s="155">
        <f>Fluoro!F343</f>
        <v>0</v>
      </c>
      <c r="G79" s="154">
        <f>IF(Fluoro!G343="","",Fluoro!G343*0.1145)</f>
        <v>0</v>
      </c>
      <c r="H79" s="153">
        <f>Fluoro!H343</f>
        <v>0</v>
      </c>
      <c r="I79" s="155">
        <f>Fluoro!I343</f>
        <v>0</v>
      </c>
      <c r="J79" s="154">
        <f>IF(Fluoro!J343="","",Fluoro!J343*0.1145)</f>
        <v>0</v>
      </c>
      <c r="K79" s="153">
        <f>Fluoro!K343</f>
        <v>0</v>
      </c>
      <c r="L79" s="155">
        <f>Fluoro!L343</f>
        <v>0</v>
      </c>
      <c r="M79" s="202">
        <f>IF(Fluoro!M343="","",Fluoro!M343*0.1145)</f>
        <v>0</v>
      </c>
    </row>
    <row r="80" spans="1:13" ht="14.1" customHeight="1" x14ac:dyDescent="0.25">
      <c r="A80" s="3">
        <v>14</v>
      </c>
      <c r="B80" s="11"/>
      <c r="C80" s="634">
        <f>Fluoro!C344</f>
        <v>0</v>
      </c>
      <c r="D80" s="193">
        <f>Fluoro!D344</f>
        <v>20</v>
      </c>
      <c r="E80" s="156">
        <f>Fluoro!E344</f>
        <v>0</v>
      </c>
      <c r="F80" s="158">
        <f>Fluoro!F344</f>
        <v>0</v>
      </c>
      <c r="G80" s="157">
        <f>IF(Fluoro!G344="","",Fluoro!G344*0.1145)</f>
        <v>0</v>
      </c>
      <c r="H80" s="156">
        <f>Fluoro!H344</f>
        <v>0</v>
      </c>
      <c r="I80" s="158">
        <f>Fluoro!I344</f>
        <v>0</v>
      </c>
      <c r="J80" s="157">
        <f>IF(Fluoro!J344="","",Fluoro!J344*0.1145)</f>
        <v>0</v>
      </c>
      <c r="K80" s="156">
        <f>Fluoro!K344</f>
        <v>0</v>
      </c>
      <c r="L80" s="158">
        <f>Fluoro!L344</f>
        <v>0</v>
      </c>
      <c r="M80" s="203">
        <f>IF(Fluoro!M344="","",Fluoro!M344*0.1145)</f>
        <v>0</v>
      </c>
    </row>
    <row r="81" spans="1:13" ht="14.1" customHeight="1" x14ac:dyDescent="0.25">
      <c r="A81" s="3">
        <v>15</v>
      </c>
      <c r="B81" s="11"/>
      <c r="C81" s="634">
        <f>Fluoro!C345</f>
        <v>0</v>
      </c>
      <c r="D81" s="197">
        <f>Fluoro!D345</f>
        <v>30</v>
      </c>
      <c r="E81" s="159">
        <f>Fluoro!E345</f>
        <v>0</v>
      </c>
      <c r="F81" s="161">
        <f>Fluoro!F345</f>
        <v>0</v>
      </c>
      <c r="G81" s="160">
        <f>IF(Fluoro!G345="","",Fluoro!G345*0.1145)</f>
        <v>0</v>
      </c>
      <c r="H81" s="159">
        <f>Fluoro!H345</f>
        <v>0</v>
      </c>
      <c r="I81" s="161">
        <f>Fluoro!I345</f>
        <v>0</v>
      </c>
      <c r="J81" s="160">
        <f>IF(Fluoro!J345="","",Fluoro!J345*0.1145)</f>
        <v>0</v>
      </c>
      <c r="K81" s="159">
        <f>Fluoro!K345</f>
        <v>0</v>
      </c>
      <c r="L81" s="161">
        <f>Fluoro!L345</f>
        <v>0</v>
      </c>
      <c r="M81" s="204">
        <f>IF(Fluoro!M345="","",Fluoro!M345*0.1145)</f>
        <v>0</v>
      </c>
    </row>
    <row r="82" spans="1:13" ht="14.1" customHeight="1" x14ac:dyDescent="0.25">
      <c r="A82" s="3">
        <v>16</v>
      </c>
      <c r="B82" s="11"/>
      <c r="C82" s="634" t="str">
        <f>Fluoro!C346</f>
        <v xml:space="preserve"> cm</v>
      </c>
      <c r="D82" s="201">
        <f>Fluoro!D346</f>
        <v>10</v>
      </c>
      <c r="E82" s="153">
        <f>Fluoro!E346</f>
        <v>0</v>
      </c>
      <c r="F82" s="155">
        <f>Fluoro!F346</f>
        <v>0</v>
      </c>
      <c r="G82" s="154">
        <f>IF(Fluoro!G346="","",Fluoro!G346*0.1145)</f>
        <v>0</v>
      </c>
      <c r="H82" s="153">
        <f>Fluoro!H346</f>
        <v>0</v>
      </c>
      <c r="I82" s="155">
        <f>Fluoro!I346</f>
        <v>0</v>
      </c>
      <c r="J82" s="154">
        <f>IF(Fluoro!J346="","",Fluoro!J346*0.1145)</f>
        <v>0</v>
      </c>
      <c r="K82" s="153">
        <f>Fluoro!K346</f>
        <v>0</v>
      </c>
      <c r="L82" s="155">
        <f>Fluoro!L346</f>
        <v>0</v>
      </c>
      <c r="M82" s="202">
        <f>IF(Fluoro!M346="","",Fluoro!M346*0.1145)</f>
        <v>0</v>
      </c>
    </row>
    <row r="83" spans="1:13" ht="14.1" customHeight="1" x14ac:dyDescent="0.25">
      <c r="A83" s="3">
        <v>17</v>
      </c>
      <c r="B83" s="11"/>
      <c r="C83" s="634">
        <f>Fluoro!C347</f>
        <v>0</v>
      </c>
      <c r="D83" s="193">
        <f>Fluoro!D347</f>
        <v>20</v>
      </c>
      <c r="E83" s="156">
        <f>Fluoro!E347</f>
        <v>0</v>
      </c>
      <c r="F83" s="158">
        <f>Fluoro!F347</f>
        <v>0</v>
      </c>
      <c r="G83" s="157">
        <f>IF(Fluoro!G347="","",Fluoro!G347*0.1145)</f>
        <v>0</v>
      </c>
      <c r="H83" s="156">
        <f>Fluoro!H347</f>
        <v>0</v>
      </c>
      <c r="I83" s="158">
        <f>Fluoro!I347</f>
        <v>0</v>
      </c>
      <c r="J83" s="157">
        <f>IF(Fluoro!J347="","",Fluoro!J347*0.1145)</f>
        <v>0</v>
      </c>
      <c r="K83" s="156">
        <f>Fluoro!K347</f>
        <v>0</v>
      </c>
      <c r="L83" s="158">
        <f>Fluoro!L347</f>
        <v>0</v>
      </c>
      <c r="M83" s="203">
        <f>IF(Fluoro!M347="","",Fluoro!M347*0.1145)</f>
        <v>0</v>
      </c>
    </row>
    <row r="84" spans="1:13" ht="14.1" customHeight="1" x14ac:dyDescent="0.25">
      <c r="A84" s="3">
        <v>18</v>
      </c>
      <c r="B84" s="11"/>
      <c r="C84" s="634">
        <f>Fluoro!C348</f>
        <v>0</v>
      </c>
      <c r="D84" s="197">
        <f>Fluoro!D348</f>
        <v>30</v>
      </c>
      <c r="E84" s="159">
        <f>Fluoro!E348</f>
        <v>0</v>
      </c>
      <c r="F84" s="161">
        <f>Fluoro!F348</f>
        <v>0</v>
      </c>
      <c r="G84" s="160">
        <f>IF(Fluoro!G348="","",Fluoro!G348*0.1145)</f>
        <v>0</v>
      </c>
      <c r="H84" s="159">
        <f>Fluoro!H348</f>
        <v>0</v>
      </c>
      <c r="I84" s="161">
        <f>Fluoro!I348</f>
        <v>0</v>
      </c>
      <c r="J84" s="160">
        <f>IF(Fluoro!J348="","",Fluoro!J348*0.1145)</f>
        <v>0</v>
      </c>
      <c r="K84" s="159">
        <f>Fluoro!K348</f>
        <v>0</v>
      </c>
      <c r="L84" s="161">
        <f>Fluoro!L348</f>
        <v>0</v>
      </c>
      <c r="M84" s="204">
        <f>IF(Fluoro!M348="","",Fluoro!M348*0.1145)</f>
        <v>0</v>
      </c>
    </row>
    <row r="85" spans="1:13" ht="14.1" customHeight="1" x14ac:dyDescent="0.25">
      <c r="A85" s="3">
        <v>19</v>
      </c>
      <c r="B85" s="11"/>
      <c r="C85" s="634" t="str">
        <f>Fluoro!C349</f>
        <v xml:space="preserve"> cm</v>
      </c>
      <c r="D85" s="201">
        <f>Fluoro!D349</f>
        <v>10</v>
      </c>
      <c r="E85" s="153">
        <f>Fluoro!E349</f>
        <v>0</v>
      </c>
      <c r="F85" s="155">
        <f>Fluoro!F349</f>
        <v>0</v>
      </c>
      <c r="G85" s="154">
        <f>IF(Fluoro!G349="","",Fluoro!G349*0.1145)</f>
        <v>0</v>
      </c>
      <c r="H85" s="153">
        <f>Fluoro!H349</f>
        <v>0</v>
      </c>
      <c r="I85" s="155">
        <f>Fluoro!I349</f>
        <v>0</v>
      </c>
      <c r="J85" s="154">
        <f>IF(Fluoro!J349="","",Fluoro!J349*0.1145)</f>
        <v>0</v>
      </c>
      <c r="K85" s="153">
        <f>Fluoro!K349</f>
        <v>0</v>
      </c>
      <c r="L85" s="155">
        <f>Fluoro!L349</f>
        <v>0</v>
      </c>
      <c r="M85" s="202">
        <f>IF(Fluoro!M349="","",Fluoro!M349*0.1145)</f>
        <v>0</v>
      </c>
    </row>
    <row r="86" spans="1:13" ht="14.1" customHeight="1" x14ac:dyDescent="0.25">
      <c r="A86" s="3">
        <v>20</v>
      </c>
      <c r="B86" s="11"/>
      <c r="C86" s="634">
        <f>Fluoro!C350</f>
        <v>0</v>
      </c>
      <c r="D86" s="193">
        <f>Fluoro!D350</f>
        <v>20</v>
      </c>
      <c r="E86" s="156">
        <f>Fluoro!E350</f>
        <v>0</v>
      </c>
      <c r="F86" s="158">
        <f>Fluoro!F350</f>
        <v>0</v>
      </c>
      <c r="G86" s="157">
        <f>IF(Fluoro!G350="","",Fluoro!G350*0.1145)</f>
        <v>0</v>
      </c>
      <c r="H86" s="156">
        <f>Fluoro!H350</f>
        <v>0</v>
      </c>
      <c r="I86" s="158">
        <f>Fluoro!I350</f>
        <v>0</v>
      </c>
      <c r="J86" s="157">
        <f>IF(Fluoro!J350="","",Fluoro!J350*0.1145)</f>
        <v>0</v>
      </c>
      <c r="K86" s="156">
        <f>Fluoro!K350</f>
        <v>0</v>
      </c>
      <c r="L86" s="158">
        <f>Fluoro!L350</f>
        <v>0</v>
      </c>
      <c r="M86" s="203">
        <f>IF(Fluoro!M350="","",Fluoro!M350*0.1145)</f>
        <v>0</v>
      </c>
    </row>
    <row r="87" spans="1:13" ht="14.1" customHeight="1" x14ac:dyDescent="0.25">
      <c r="A87" s="3">
        <v>21</v>
      </c>
      <c r="B87" s="11"/>
      <c r="C87" s="634">
        <f>Fluoro!C351</f>
        <v>0</v>
      </c>
      <c r="D87" s="197">
        <f>Fluoro!D351</f>
        <v>30</v>
      </c>
      <c r="E87" s="159">
        <f>Fluoro!E351</f>
        <v>0</v>
      </c>
      <c r="F87" s="161">
        <f>Fluoro!F351</f>
        <v>0</v>
      </c>
      <c r="G87" s="160">
        <f>IF(Fluoro!G351="","",Fluoro!G351*0.1145)</f>
        <v>0</v>
      </c>
      <c r="H87" s="159">
        <f>Fluoro!H351</f>
        <v>0</v>
      </c>
      <c r="I87" s="161">
        <f>Fluoro!I351</f>
        <v>0</v>
      </c>
      <c r="J87" s="160">
        <f>IF(Fluoro!J351="","",Fluoro!J351*0.1145)</f>
        <v>0</v>
      </c>
      <c r="K87" s="159">
        <f>Fluoro!K351</f>
        <v>0</v>
      </c>
      <c r="L87" s="161">
        <f>Fluoro!L351</f>
        <v>0</v>
      </c>
      <c r="M87" s="204">
        <f>IF(Fluoro!M351="","",Fluoro!M351*0.1145)</f>
        <v>0</v>
      </c>
    </row>
    <row r="88" spans="1:13" ht="14.1" customHeight="1" x14ac:dyDescent="0.25">
      <c r="A88" s="3">
        <v>22</v>
      </c>
      <c r="B88" s="11"/>
      <c r="C88" s="46"/>
      <c r="D88" s="162" t="str">
        <f>Fluoro!D352</f>
        <v>max</v>
      </c>
      <c r="E88" s="224">
        <f>Fluoro!E352</f>
        <v>0</v>
      </c>
      <c r="F88" s="225">
        <f>Fluoro!F352</f>
        <v>0</v>
      </c>
      <c r="G88" s="226">
        <f>IF(Fluoro!G352="","",Fluoro!G352*0.1145)</f>
        <v>0</v>
      </c>
      <c r="H88" s="224">
        <f>Fluoro!H352</f>
        <v>0</v>
      </c>
      <c r="I88" s="225">
        <f>Fluoro!I352</f>
        <v>0</v>
      </c>
      <c r="J88" s="226">
        <f>IF(Fluoro!J352="","",Fluoro!J352*0.1145)</f>
        <v>0</v>
      </c>
      <c r="K88" s="224">
        <f>Fluoro!K352</f>
        <v>0</v>
      </c>
      <c r="L88" s="225">
        <f>Fluoro!L352</f>
        <v>0</v>
      </c>
      <c r="M88" s="303">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70" t="str">
        <f>Fluoro!D354</f>
        <v/>
      </c>
      <c r="F90" s="69"/>
      <c r="G90" s="69"/>
      <c r="H90" s="69"/>
      <c r="I90" s="69"/>
      <c r="J90" s="69"/>
      <c r="K90" s="69"/>
      <c r="L90" s="69"/>
      <c r="M90" s="245"/>
    </row>
    <row r="91" spans="1:13" ht="14.1" customHeight="1" x14ac:dyDescent="0.25">
      <c r="A91" s="3">
        <v>25</v>
      </c>
      <c r="B91" s="11"/>
      <c r="C91" s="1"/>
      <c r="D91" s="1"/>
      <c r="E91" s="111" t="str">
        <f>Fluoro!D355</f>
        <v/>
      </c>
      <c r="F91" s="113"/>
      <c r="G91" s="113"/>
      <c r="H91" s="113"/>
      <c r="I91" s="113"/>
      <c r="J91" s="113"/>
      <c r="K91" s="113"/>
      <c r="L91" s="113"/>
      <c r="M91" s="248"/>
    </row>
    <row r="92" spans="1:13" ht="14.1" customHeight="1" x14ac:dyDescent="0.25">
      <c r="A92" s="3">
        <v>26</v>
      </c>
      <c r="B92" s="11"/>
      <c r="C92" s="1"/>
      <c r="D92" s="1"/>
      <c r="E92" s="111" t="str">
        <f>Fluoro!D356</f>
        <v/>
      </c>
      <c r="F92" s="113"/>
      <c r="G92" s="113"/>
      <c r="H92" s="113"/>
      <c r="I92" s="113"/>
      <c r="J92" s="113"/>
      <c r="K92" s="113"/>
      <c r="L92" s="113"/>
      <c r="M92" s="248"/>
    </row>
    <row r="93" spans="1:13" ht="14.1" customHeight="1" x14ac:dyDescent="0.25">
      <c r="A93" s="3">
        <v>27</v>
      </c>
      <c r="B93" s="11"/>
      <c r="C93" s="1"/>
      <c r="D93" s="108"/>
      <c r="E93" s="1"/>
      <c r="F93" s="1"/>
      <c r="G93" s="1"/>
      <c r="H93" s="1"/>
      <c r="I93" s="1"/>
      <c r="J93" s="1"/>
      <c r="K93" s="1"/>
      <c r="L93" s="1"/>
      <c r="M93" s="13"/>
    </row>
    <row r="94" spans="1:13" ht="14.1" customHeight="1" x14ac:dyDescent="0.25">
      <c r="A94" s="3">
        <v>28</v>
      </c>
      <c r="B94" s="11"/>
      <c r="C94" s="1"/>
      <c r="D94" s="108"/>
      <c r="E94" s="1"/>
      <c r="F94" s="1"/>
      <c r="G94" s="1"/>
      <c r="H94" s="1"/>
      <c r="I94" s="1"/>
      <c r="J94" s="1"/>
      <c r="K94" s="1"/>
      <c r="L94" s="1"/>
      <c r="M94" s="13"/>
    </row>
    <row r="95" spans="1:13" ht="14.1" customHeight="1" x14ac:dyDescent="0.25">
      <c r="A95" s="3">
        <v>29</v>
      </c>
      <c r="B95" s="11"/>
      <c r="C95" s="1"/>
      <c r="D95" s="25"/>
      <c r="E95" s="57"/>
      <c r="F95" s="1"/>
      <c r="G95" s="1"/>
      <c r="H95" s="1"/>
      <c r="I95" s="1"/>
      <c r="J95" s="1"/>
      <c r="K95" s="1"/>
      <c r="L95" s="1"/>
      <c r="M95" s="13"/>
    </row>
    <row r="96" spans="1:13" ht="14.1" customHeight="1" x14ac:dyDescent="0.25">
      <c r="A96" s="3">
        <v>30</v>
      </c>
      <c r="B96" s="11"/>
      <c r="C96" s="1"/>
      <c r="D96" s="18"/>
      <c r="E96" s="57"/>
      <c r="F96" s="1"/>
      <c r="G96" s="1"/>
      <c r="H96" s="1"/>
      <c r="I96" s="1"/>
      <c r="J96" s="1"/>
      <c r="K96" s="1"/>
      <c r="L96" s="1"/>
      <c r="M96" s="13"/>
    </row>
    <row r="97" spans="1:13" ht="14.1" customHeight="1" x14ac:dyDescent="0.25">
      <c r="A97" s="3">
        <v>31</v>
      </c>
      <c r="B97" s="251"/>
      <c r="C97" s="1"/>
      <c r="M97" s="13"/>
    </row>
    <row r="98" spans="1:13" ht="14.1" customHeight="1" x14ac:dyDescent="0.25">
      <c r="A98" s="3">
        <v>32</v>
      </c>
      <c r="B98" s="11"/>
      <c r="C98" s="253" t="str">
        <f>Fluoro!C362</f>
        <v>Image Receptor Entrance Exposure Rate – Digital Acquisition</v>
      </c>
      <c r="D98" s="8"/>
      <c r="E98" s="8"/>
      <c r="F98" s="8"/>
      <c r="G98" s="8"/>
      <c r="H98" s="8"/>
      <c r="I98" s="8"/>
      <c r="J98" s="8"/>
      <c r="K98" s="8"/>
      <c r="L98" s="8"/>
      <c r="M98" s="164"/>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6" t="str">
        <f>Fluoro!C364</f>
        <v>Dose</v>
      </c>
      <c r="D100" s="46" t="str">
        <f>Fluoro!D364</f>
        <v>Receptor</v>
      </c>
      <c r="E100" s="46"/>
      <c r="F100" s="46"/>
      <c r="G100" s="46"/>
      <c r="H100" s="46"/>
      <c r="I100" s="1"/>
      <c r="J100" s="1"/>
      <c r="K100" s="1"/>
      <c r="L100" s="1"/>
      <c r="M100" s="13"/>
    </row>
    <row r="101" spans="1:13" ht="14.1" customHeight="1" x14ac:dyDescent="0.25">
      <c r="A101" s="3">
        <v>35</v>
      </c>
      <c r="B101" s="11"/>
      <c r="C101" s="46" t="str">
        <f>Fluoro!C365</f>
        <v>Level</v>
      </c>
      <c r="D101" s="46" t="str">
        <f>Fluoro!D365</f>
        <v>Size (cm)</v>
      </c>
      <c r="E101" s="46" t="str">
        <f>Fluoro!E365</f>
        <v>kVp</v>
      </c>
      <c r="F101" s="46" t="str">
        <f>Fluoro!F365</f>
        <v>mA</v>
      </c>
      <c r="G101" s="46" t="s">
        <v>409</v>
      </c>
      <c r="H101" s="46" t="str">
        <f>Fluoro!H365</f>
        <v>nGy/frame</v>
      </c>
      <c r="I101" s="1"/>
      <c r="J101" s="1"/>
      <c r="K101" s="1"/>
      <c r="L101" s="1"/>
      <c r="M101" s="13"/>
    </row>
    <row r="102" spans="1:13" ht="14.1" customHeight="1" x14ac:dyDescent="0.25">
      <c r="A102" s="3">
        <v>36</v>
      </c>
      <c r="B102" s="11"/>
      <c r="C102" s="631" t="str">
        <f>Fluoro!C366</f>
        <v>Auto 1</v>
      </c>
      <c r="D102" s="255" t="str">
        <f>Fluoro!D366</f>
        <v/>
      </c>
      <c r="E102" s="256" t="str">
        <f>Fluoro!E366</f>
        <v/>
      </c>
      <c r="F102" s="256" t="str">
        <f>Fluoro!F366</f>
        <v/>
      </c>
      <c r="G102" s="257" t="str">
        <f>IF(Fluoro!G366="","",Fluoro!G366*0.1145)</f>
        <v/>
      </c>
      <c r="H102" s="256" t="str">
        <f>Fluoro!H366</f>
        <v/>
      </c>
      <c r="I102" s="1"/>
      <c r="J102" s="18" t="str">
        <f>Fluoro!J366</f>
        <v>Measure using pancake probe placed against</v>
      </c>
      <c r="K102" s="1"/>
      <c r="L102" s="1"/>
      <c r="M102" s="13"/>
    </row>
    <row r="103" spans="1:13" ht="14.1" customHeight="1" x14ac:dyDescent="0.25">
      <c r="A103" s="3">
        <v>37</v>
      </c>
      <c r="B103" s="11"/>
      <c r="C103" s="631">
        <f>Fluoro!C367</f>
        <v>0</v>
      </c>
      <c r="D103" s="258" t="str">
        <f>Fluoro!D367</f>
        <v/>
      </c>
      <c r="E103" s="259" t="str">
        <f>Fluoro!E367</f>
        <v/>
      </c>
      <c r="F103" s="259" t="str">
        <f>Fluoro!F367</f>
        <v/>
      </c>
      <c r="G103" s="260" t="str">
        <f>IF(Fluoro!G367="","",Fluoro!G367*0.1145)</f>
        <v/>
      </c>
      <c r="H103" s="259" t="str">
        <f>Fluoro!H367</f>
        <v/>
      </c>
      <c r="I103" s="1"/>
      <c r="J103" s="18" t="str">
        <f>Fluoro!J367</f>
        <v>image receptor input window</v>
      </c>
      <c r="K103" s="1"/>
      <c r="L103" s="1"/>
      <c r="M103" s="13"/>
    </row>
    <row r="104" spans="1:13" ht="14.1" customHeight="1" x14ac:dyDescent="0.25">
      <c r="A104" s="3">
        <v>38</v>
      </c>
      <c r="B104" s="11"/>
      <c r="C104" s="631">
        <f>Fluoro!C368</f>
        <v>0</v>
      </c>
      <c r="D104" s="258" t="str">
        <f>Fluoro!D368</f>
        <v/>
      </c>
      <c r="E104" s="259" t="str">
        <f>Fluoro!E368</f>
        <v/>
      </c>
      <c r="F104" s="259" t="str">
        <f>Fluoro!F368</f>
        <v/>
      </c>
      <c r="G104" s="260" t="str">
        <f>IF(Fluoro!G368="","",Fluoro!G368*0.1145)</f>
        <v/>
      </c>
      <c r="H104" s="259" t="str">
        <f>Fluoro!H368</f>
        <v/>
      </c>
      <c r="I104" s="1"/>
      <c r="J104" s="18" t="str">
        <f>Fluoro!J368</f>
        <v>Use 1.5mm Cu filtration</v>
      </c>
      <c r="K104" s="1"/>
      <c r="L104" s="1"/>
      <c r="M104" s="13"/>
    </row>
    <row r="105" spans="1:13" ht="14.1" customHeight="1" x14ac:dyDescent="0.25">
      <c r="A105" s="3">
        <v>39</v>
      </c>
      <c r="B105" s="11"/>
      <c r="C105" s="631">
        <f>Fluoro!C369</f>
        <v>0</v>
      </c>
      <c r="D105" s="264" t="str">
        <f>Fluoro!D369</f>
        <v/>
      </c>
      <c r="E105" s="265" t="str">
        <f>Fluoro!E369</f>
        <v/>
      </c>
      <c r="F105" s="265" t="str">
        <f>Fluoro!F369</f>
        <v/>
      </c>
      <c r="G105" s="266" t="str">
        <f>IF(Fluoro!G369="","",Fluoro!G369*0.1145)</f>
        <v/>
      </c>
      <c r="H105" s="265" t="str">
        <f>Fluoro!H369</f>
        <v/>
      </c>
      <c r="I105" s="1"/>
      <c r="J105" s="1"/>
      <c r="K105" s="1"/>
      <c r="L105" s="1"/>
      <c r="M105" s="13"/>
    </row>
    <row r="106" spans="1:13" ht="14.1" customHeight="1" x14ac:dyDescent="0.25">
      <c r="A106" s="3">
        <v>40</v>
      </c>
      <c r="B106" s="11"/>
      <c r="C106" s="631">
        <f>Fluoro!C370</f>
        <v>0</v>
      </c>
      <c r="D106" s="264" t="str">
        <f>Fluoro!D370</f>
        <v/>
      </c>
      <c r="E106" s="265" t="str">
        <f>Fluoro!E370</f>
        <v/>
      </c>
      <c r="F106" s="265" t="str">
        <f>Fluoro!F370</f>
        <v/>
      </c>
      <c r="G106" s="266" t="str">
        <f>IF(Fluoro!G370="","",Fluoro!G370*0.1145)</f>
        <v/>
      </c>
      <c r="H106" s="265" t="str">
        <f>Fluoro!H370</f>
        <v/>
      </c>
      <c r="I106" s="1"/>
      <c r="J106" s="1"/>
      <c r="K106" s="1"/>
      <c r="L106" s="1"/>
      <c r="M106" s="13"/>
    </row>
    <row r="107" spans="1:13" ht="14.1" customHeight="1" x14ac:dyDescent="0.25">
      <c r="A107" s="3">
        <v>41</v>
      </c>
      <c r="B107" s="11"/>
      <c r="C107" s="632" t="str">
        <f>Fluoro!C371</f>
        <v>Auto 2</v>
      </c>
      <c r="D107" s="255" t="str">
        <f>Fluoro!D371</f>
        <v/>
      </c>
      <c r="E107" s="256" t="str">
        <f>Fluoro!E371</f>
        <v/>
      </c>
      <c r="F107" s="256" t="str">
        <f>Fluoro!F371</f>
        <v/>
      </c>
      <c r="G107" s="257" t="str">
        <f>IF(Fluoro!G371="","",Fluoro!G371*0.1145)</f>
        <v/>
      </c>
      <c r="H107" s="256" t="str">
        <f>Fluoro!H371</f>
        <v/>
      </c>
      <c r="I107" s="1"/>
      <c r="J107" s="1"/>
      <c r="K107" s="1"/>
      <c r="L107" s="1"/>
      <c r="M107" s="13"/>
    </row>
    <row r="108" spans="1:13" ht="14.1" customHeight="1" x14ac:dyDescent="0.25">
      <c r="A108" s="3">
        <v>42</v>
      </c>
      <c r="B108" s="11"/>
      <c r="C108" s="632">
        <f>Fluoro!C372</f>
        <v>0</v>
      </c>
      <c r="D108" s="258" t="str">
        <f>Fluoro!D372</f>
        <v/>
      </c>
      <c r="E108" s="259" t="str">
        <f>Fluoro!E372</f>
        <v/>
      </c>
      <c r="F108" s="259" t="str">
        <f>Fluoro!F372</f>
        <v/>
      </c>
      <c r="G108" s="260" t="str">
        <f>IF(Fluoro!G372="","",Fluoro!G372*0.1145)</f>
        <v/>
      </c>
      <c r="H108" s="259" t="str">
        <f>Fluoro!H372</f>
        <v/>
      </c>
      <c r="I108" s="1"/>
      <c r="J108" s="1"/>
      <c r="K108" s="1"/>
      <c r="L108" s="1"/>
      <c r="M108" s="13"/>
    </row>
    <row r="109" spans="1:13" ht="14.1" customHeight="1" x14ac:dyDescent="0.25">
      <c r="A109" s="3">
        <v>43</v>
      </c>
      <c r="B109" s="11"/>
      <c r="C109" s="632">
        <f>Fluoro!C373</f>
        <v>0</v>
      </c>
      <c r="D109" s="258" t="str">
        <f>Fluoro!D373</f>
        <v/>
      </c>
      <c r="E109" s="259" t="str">
        <f>Fluoro!E373</f>
        <v/>
      </c>
      <c r="F109" s="259" t="str">
        <f>Fluoro!F373</f>
        <v/>
      </c>
      <c r="G109" s="260" t="str">
        <f>IF(Fluoro!G373="","",Fluoro!G373*0.1145)</f>
        <v/>
      </c>
      <c r="H109" s="259" t="str">
        <f>Fluoro!H373</f>
        <v/>
      </c>
      <c r="I109" s="1"/>
      <c r="J109" s="1"/>
      <c r="K109" s="1"/>
      <c r="L109" s="1"/>
      <c r="M109" s="13"/>
    </row>
    <row r="110" spans="1:13" ht="14.1" customHeight="1" x14ac:dyDescent="0.25">
      <c r="A110" s="3">
        <v>44</v>
      </c>
      <c r="B110" s="11"/>
      <c r="C110" s="632">
        <f>Fluoro!C374</f>
        <v>0</v>
      </c>
      <c r="D110" s="258" t="str">
        <f>Fluoro!D374</f>
        <v/>
      </c>
      <c r="E110" s="259" t="str">
        <f>Fluoro!E374</f>
        <v/>
      </c>
      <c r="F110" s="259" t="str">
        <f>Fluoro!F374</f>
        <v/>
      </c>
      <c r="G110" s="260" t="str">
        <f>IF(Fluoro!G374="","",Fluoro!G374*0.1145)</f>
        <v/>
      </c>
      <c r="H110" s="259" t="str">
        <f>Fluoro!H374</f>
        <v/>
      </c>
      <c r="I110" s="1"/>
      <c r="J110" s="1"/>
      <c r="K110" s="1"/>
      <c r="L110" s="1"/>
      <c r="M110" s="13"/>
    </row>
    <row r="111" spans="1:13" ht="14.1" customHeight="1" x14ac:dyDescent="0.25">
      <c r="A111" s="3">
        <v>45</v>
      </c>
      <c r="B111" s="11"/>
      <c r="C111" s="632">
        <f>Fluoro!C375</f>
        <v>0</v>
      </c>
      <c r="D111" s="274" t="str">
        <f>Fluoro!D375</f>
        <v/>
      </c>
      <c r="E111" s="275" t="str">
        <f>Fluoro!E375</f>
        <v/>
      </c>
      <c r="F111" s="275" t="str">
        <f>Fluoro!F375</f>
        <v/>
      </c>
      <c r="G111" s="276" t="str">
        <f>IF(Fluoro!G375="","",Fluoro!G375*0.1145)</f>
        <v/>
      </c>
      <c r="H111" s="275" t="str">
        <f>Fluoro!H375</f>
        <v/>
      </c>
      <c r="I111" s="1"/>
      <c r="J111" s="1"/>
      <c r="K111" s="1"/>
      <c r="L111" s="1"/>
      <c r="M111" s="13"/>
    </row>
    <row r="112" spans="1:13" ht="14.1" customHeight="1" x14ac:dyDescent="0.25">
      <c r="A112" s="3">
        <v>46</v>
      </c>
      <c r="B112" s="11"/>
      <c r="C112" s="632" t="str">
        <f>Fluoro!C376</f>
        <v>High Level</v>
      </c>
      <c r="D112" s="255" t="str">
        <f>Fluoro!D376</f>
        <v/>
      </c>
      <c r="E112" s="256" t="str">
        <f>Fluoro!E376</f>
        <v/>
      </c>
      <c r="F112" s="256" t="str">
        <f>Fluoro!F376</f>
        <v/>
      </c>
      <c r="G112" s="257" t="str">
        <f>IF(Fluoro!G376="","",Fluoro!G376*0.1145)</f>
        <v/>
      </c>
      <c r="H112" s="256" t="str">
        <f>Fluoro!H376</f>
        <v/>
      </c>
      <c r="I112" s="1"/>
      <c r="J112" s="1"/>
      <c r="K112" s="1"/>
      <c r="L112" s="1"/>
      <c r="M112" s="13"/>
    </row>
    <row r="113" spans="1:13" ht="14.1" customHeight="1" x14ac:dyDescent="0.25">
      <c r="A113" s="3">
        <v>47</v>
      </c>
      <c r="B113" s="11"/>
      <c r="C113" s="632">
        <f>Fluoro!C377</f>
        <v>0</v>
      </c>
      <c r="D113" s="258" t="str">
        <f>Fluoro!D377</f>
        <v/>
      </c>
      <c r="E113" s="259" t="str">
        <f>Fluoro!E377</f>
        <v/>
      </c>
      <c r="F113" s="259" t="str">
        <f>Fluoro!F377</f>
        <v/>
      </c>
      <c r="G113" s="260" t="str">
        <f>IF(Fluoro!G377="","",Fluoro!G377*0.1145)</f>
        <v/>
      </c>
      <c r="H113" s="259" t="str">
        <f>Fluoro!H377</f>
        <v/>
      </c>
      <c r="I113" s="1"/>
      <c r="J113" s="1"/>
      <c r="K113" s="1"/>
      <c r="L113" s="1"/>
      <c r="M113" s="13"/>
    </row>
    <row r="114" spans="1:13" ht="14.1" customHeight="1" x14ac:dyDescent="0.25">
      <c r="A114" s="3">
        <v>48</v>
      </c>
      <c r="B114" s="11"/>
      <c r="C114" s="632">
        <f>Fluoro!C378</f>
        <v>0</v>
      </c>
      <c r="D114" s="258" t="str">
        <f>Fluoro!D378</f>
        <v/>
      </c>
      <c r="E114" s="259" t="str">
        <f>Fluoro!E378</f>
        <v/>
      </c>
      <c r="F114" s="259" t="str">
        <f>Fluoro!F378</f>
        <v/>
      </c>
      <c r="G114" s="260" t="str">
        <f>IF(Fluoro!G378="","",Fluoro!G378*0.1145)</f>
        <v/>
      </c>
      <c r="H114" s="259" t="str">
        <f>Fluoro!H378</f>
        <v/>
      </c>
      <c r="M114" s="13"/>
    </row>
    <row r="115" spans="1:13" ht="14.1" customHeight="1" x14ac:dyDescent="0.25">
      <c r="A115" s="3">
        <v>49</v>
      </c>
      <c r="B115" s="11"/>
      <c r="C115" s="632">
        <f>Fluoro!C379</f>
        <v>0</v>
      </c>
      <c r="D115" s="258" t="str">
        <f>Fluoro!D379</f>
        <v/>
      </c>
      <c r="E115" s="259" t="str">
        <f>Fluoro!E379</f>
        <v/>
      </c>
      <c r="F115" s="259" t="str">
        <f>Fluoro!F379</f>
        <v/>
      </c>
      <c r="G115" s="260" t="str">
        <f>IF(Fluoro!G379="","",Fluoro!G379*0.1145)</f>
        <v/>
      </c>
      <c r="H115" s="259" t="str">
        <f>Fluoro!H379</f>
        <v/>
      </c>
      <c r="M115" s="13"/>
    </row>
    <row r="116" spans="1:13" ht="14.1" customHeight="1" x14ac:dyDescent="0.25">
      <c r="A116" s="3">
        <v>50</v>
      </c>
      <c r="B116" s="11"/>
      <c r="C116" s="632">
        <f>Fluoro!C380</f>
        <v>0</v>
      </c>
      <c r="D116" s="274" t="str">
        <f>Fluoro!D380</f>
        <v/>
      </c>
      <c r="E116" s="275" t="str">
        <f>Fluoro!E380</f>
        <v/>
      </c>
      <c r="F116" s="275" t="str">
        <f>Fluoro!F380</f>
        <v/>
      </c>
      <c r="G116" s="276" t="str">
        <f>IF(Fluoro!G380="","",Fluoro!G380*0.1145)</f>
        <v/>
      </c>
      <c r="H116" s="275" t="str">
        <f>Fluoro!H380</f>
        <v/>
      </c>
      <c r="M116" s="13"/>
    </row>
    <row r="117" spans="1:13" ht="14.1" customHeight="1" x14ac:dyDescent="0.25">
      <c r="A117" s="3">
        <v>51</v>
      </c>
      <c r="B117" s="11"/>
      <c r="D117" s="1" t="str">
        <f>Fluoro!C381</f>
        <v>Comments:</v>
      </c>
      <c r="E117" s="70" t="str">
        <f>Fluoro!D381</f>
        <v/>
      </c>
      <c r="F117" s="69"/>
      <c r="G117" s="69"/>
      <c r="H117" s="69"/>
      <c r="I117" s="69"/>
      <c r="J117" s="69"/>
      <c r="K117" s="69"/>
      <c r="L117" s="69"/>
      <c r="M117" s="245"/>
    </row>
    <row r="118" spans="1:13" ht="14.1" customHeight="1" x14ac:dyDescent="0.25">
      <c r="A118" s="3">
        <v>52</v>
      </c>
      <c r="B118" s="11"/>
      <c r="D118" s="1"/>
      <c r="E118" s="111" t="str">
        <f>Fluoro!D382</f>
        <v/>
      </c>
      <c r="F118" s="113"/>
      <c r="G118" s="113"/>
      <c r="H118" s="113"/>
      <c r="I118" s="113"/>
      <c r="J118" s="113"/>
      <c r="K118" s="113"/>
      <c r="L118" s="113"/>
      <c r="M118" s="248"/>
    </row>
    <row r="119" spans="1:13" ht="14.1" customHeight="1" x14ac:dyDescent="0.25">
      <c r="A119" s="3">
        <v>53</v>
      </c>
      <c r="B119" s="11"/>
      <c r="D119" s="1"/>
      <c r="E119" s="111" t="str">
        <f>Fluoro!D383</f>
        <v/>
      </c>
      <c r="F119" s="113"/>
      <c r="G119" s="113"/>
      <c r="H119" s="113"/>
      <c r="I119" s="113"/>
      <c r="J119" s="113"/>
      <c r="K119" s="113"/>
      <c r="L119" s="113"/>
      <c r="M119" s="248"/>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5"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6" t="s">
        <v>292</v>
      </c>
      <c r="H122" s="46" t="s">
        <v>293</v>
      </c>
      <c r="I122" s="1"/>
      <c r="J122" s="1"/>
      <c r="K122" s="1"/>
      <c r="L122" s="1"/>
      <c r="M122" s="13"/>
    </row>
    <row r="123" spans="1:13" ht="14.1" customHeight="1" x14ac:dyDescent="0.25">
      <c r="A123" s="3">
        <v>57</v>
      </c>
      <c r="B123" s="11"/>
      <c r="C123" s="1"/>
      <c r="E123" s="46" t="str">
        <f>Fluoro!E387</f>
        <v>kVp</v>
      </c>
      <c r="F123" s="46" t="str">
        <f>Fluoro!F387</f>
        <v>mA</v>
      </c>
      <c r="G123" s="46" t="str">
        <f>Fluoro!G387</f>
        <v>uGy/hr</v>
      </c>
      <c r="H123" s="46" t="str">
        <f>Fluoro!H387</f>
        <v>uGy/hr</v>
      </c>
      <c r="I123" s="1"/>
      <c r="J123" s="117"/>
      <c r="K123" s="1"/>
      <c r="L123" s="1"/>
      <c r="M123" s="13"/>
    </row>
    <row r="124" spans="1:13" ht="14.1" customHeight="1" x14ac:dyDescent="0.25">
      <c r="A124" s="3">
        <v>58</v>
      </c>
      <c r="B124" s="11"/>
      <c r="C124" s="633" t="str">
        <f>Fluoro!C388</f>
        <v>Scatter – Digital acq</v>
      </c>
      <c r="D124" s="294" t="str">
        <f>Fluoro!D388</f>
        <v>Eye level</v>
      </c>
      <c r="E124" s="316">
        <f>Fluoro!E388</f>
        <v>0</v>
      </c>
      <c r="F124" s="316">
        <f>Fluoro!F388</f>
        <v>0</v>
      </c>
      <c r="G124" s="316" t="str">
        <f>Fluoro!G388</f>
        <v/>
      </c>
      <c r="H124" s="296" t="str">
        <f>Fluoro!H388</f>
        <v/>
      </c>
      <c r="I124" s="1"/>
      <c r="J124" s="117"/>
      <c r="K124" s="1"/>
      <c r="L124" s="1"/>
      <c r="M124" s="13"/>
    </row>
    <row r="125" spans="1:13" ht="14.1" customHeight="1" x14ac:dyDescent="0.25">
      <c r="A125" s="3">
        <v>59</v>
      </c>
      <c r="B125" s="11"/>
      <c r="C125" s="633">
        <f>Fluoro!C389</f>
        <v>0</v>
      </c>
      <c r="D125" s="297" t="str">
        <f>Fluoro!D389</f>
        <v>Waist level</v>
      </c>
      <c r="E125" s="317">
        <f>Fluoro!E389</f>
        <v>0</v>
      </c>
      <c r="F125" s="317">
        <f>Fluoro!F389</f>
        <v>0</v>
      </c>
      <c r="G125" s="317" t="str">
        <f>Fluoro!G389</f>
        <v/>
      </c>
      <c r="H125" s="327" t="str">
        <f>Fluoro!H389</f>
        <v/>
      </c>
      <c r="I125" s="1"/>
      <c r="J125" s="18"/>
      <c r="K125" s="1"/>
      <c r="L125" s="1"/>
      <c r="M125" s="13"/>
    </row>
    <row r="126" spans="1:13" ht="14.1" customHeight="1" x14ac:dyDescent="0.25">
      <c r="A126" s="3">
        <v>60</v>
      </c>
      <c r="B126" s="11"/>
      <c r="I126" s="108"/>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70" t="str">
        <f>Fluoro!D392</f>
        <v/>
      </c>
      <c r="F128" s="69"/>
      <c r="G128" s="69"/>
      <c r="H128" s="69"/>
      <c r="I128" s="69"/>
      <c r="J128" s="69"/>
      <c r="K128" s="69"/>
      <c r="L128" s="69"/>
      <c r="M128" s="245"/>
    </row>
    <row r="129" spans="1:13" ht="14.1" customHeight="1" x14ac:dyDescent="0.25">
      <c r="A129" s="3">
        <v>63</v>
      </c>
      <c r="B129" s="11"/>
      <c r="C129" s="1"/>
      <c r="D129" s="1"/>
      <c r="E129" s="111" t="str">
        <f>Fluoro!D393</f>
        <v/>
      </c>
      <c r="F129" s="113"/>
      <c r="G129" s="113"/>
      <c r="H129" s="113"/>
      <c r="I129" s="113"/>
      <c r="J129" s="113"/>
      <c r="K129" s="113"/>
      <c r="L129" s="113"/>
      <c r="M129" s="248"/>
    </row>
    <row r="130" spans="1:13" ht="14.1" customHeight="1" x14ac:dyDescent="0.25">
      <c r="A130" s="3">
        <v>64</v>
      </c>
      <c r="B130" s="19"/>
      <c r="C130" s="20"/>
      <c r="D130" s="20"/>
      <c r="E130" s="318" t="str">
        <f>Fluoro!E394</f>
        <v/>
      </c>
      <c r="F130" s="319"/>
      <c r="G130" s="319"/>
      <c r="H130" s="319"/>
      <c r="I130" s="319"/>
      <c r="J130" s="319"/>
      <c r="K130" s="319"/>
      <c r="L130" s="319"/>
      <c r="M130" s="320"/>
    </row>
    <row r="131" spans="1:13" ht="14.1" customHeight="1" x14ac:dyDescent="0.25">
      <c r="A131" s="3">
        <v>65</v>
      </c>
      <c r="B131" s="1"/>
      <c r="C131" s="2" t="s">
        <v>10</v>
      </c>
      <c r="D131" s="68" t="str">
        <f>Fluoro!D395</f>
        <v/>
      </c>
      <c r="E131" s="1"/>
      <c r="F131" s="1"/>
      <c r="G131" s="1"/>
      <c r="H131" s="1"/>
      <c r="I131" s="1"/>
      <c r="J131" s="1"/>
      <c r="K131" s="1"/>
      <c r="L131" s="2" t="s">
        <v>11</v>
      </c>
      <c r="M131" s="69" t="str">
        <f>Fluoro!M395</f>
        <v>Eugene Mah</v>
      </c>
    </row>
    <row r="132" spans="1:13" ht="14.1" customHeight="1" x14ac:dyDescent="0.25">
      <c r="A132" s="3">
        <v>66</v>
      </c>
      <c r="B132" s="1"/>
      <c r="C132" s="2" t="s">
        <v>79</v>
      </c>
      <c r="D132" s="70" t="str">
        <f>Fluoro!D396</f>
        <v/>
      </c>
      <c r="E132" s="1"/>
      <c r="F132" s="1"/>
      <c r="G132" s="1"/>
      <c r="H132" s="1"/>
      <c r="I132" s="1"/>
      <c r="J132" s="1"/>
      <c r="K132" s="1"/>
      <c r="L132" s="2" t="s">
        <v>25</v>
      </c>
      <c r="M132" s="71" t="str">
        <f>Fluoro!M396</f>
        <v/>
      </c>
    </row>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5" t="s">
        <v>410</v>
      </c>
      <c r="B1" s="635"/>
      <c r="N1" s="328"/>
      <c r="O1" s="600" t="str">
        <f>Fluoro!O105</f>
        <v>Patient Entrance Exposure Rate (Fluoroscopy)*</v>
      </c>
      <c r="P1" s="600"/>
      <c r="Q1" s="600"/>
      <c r="R1" s="600" t="s">
        <v>411</v>
      </c>
      <c r="S1" s="600"/>
      <c r="T1" s="600"/>
      <c r="V1" s="328"/>
      <c r="W1" s="600" t="str">
        <f>Fluoro!O137</f>
        <v>Patient Entrance Exposure Rate – Digital Acquisition</v>
      </c>
      <c r="X1" s="600"/>
      <c r="Y1" s="600"/>
      <c r="Z1" s="600" t="s">
        <v>411</v>
      </c>
      <c r="AA1" s="600"/>
      <c r="AB1" s="600"/>
    </row>
    <row r="2" spans="1:28" ht="12.75" customHeight="1" x14ac:dyDescent="0.2">
      <c r="A2" s="329">
        <v>1</v>
      </c>
      <c r="B2" s="213" t="s">
        <v>344</v>
      </c>
      <c r="N2" s="328"/>
      <c r="O2" s="330" t="s">
        <v>230</v>
      </c>
      <c r="P2" s="330" t="s">
        <v>412</v>
      </c>
      <c r="Q2" s="331" t="s">
        <v>413</v>
      </c>
      <c r="R2" s="330" t="s">
        <v>230</v>
      </c>
      <c r="S2" s="330" t="s">
        <v>412</v>
      </c>
      <c r="T2" s="330" t="s">
        <v>413</v>
      </c>
      <c r="V2" s="328"/>
      <c r="W2" s="330" t="s">
        <v>230</v>
      </c>
      <c r="X2" s="330" t="s">
        <v>412</v>
      </c>
      <c r="Y2" s="331" t="s">
        <v>413</v>
      </c>
      <c r="Z2" s="330" t="s">
        <v>230</v>
      </c>
      <c r="AA2" s="330" t="s">
        <v>412</v>
      </c>
      <c r="AB2" s="330" t="s">
        <v>413</v>
      </c>
    </row>
    <row r="3" spans="1:28" ht="12.75" customHeight="1" x14ac:dyDescent="0.2">
      <c r="A3" s="329">
        <v>2</v>
      </c>
      <c r="B3" s="213" t="s">
        <v>347</v>
      </c>
      <c r="N3" s="328"/>
      <c r="O3" s="328">
        <f>IF(Fluoro!Q109="",NA(),Fluoro!Q109)</f>
        <v>0</v>
      </c>
      <c r="P3" s="328" t="e">
        <f>IF(OR(Fluoro!R109="",Fluoro!S109=""),NA(),Fluoro!S109/Fluoro!R109)</f>
        <v>#DIV/0!</v>
      </c>
      <c r="Q3" s="332" t="e">
        <f>NA()</f>
        <v>#N/A</v>
      </c>
      <c r="R3" s="328"/>
      <c r="S3" s="328"/>
      <c r="T3" s="328"/>
      <c r="V3" s="328"/>
      <c r="W3" s="328">
        <f>IF(Fluoro!Q141="",NA(),Fluoro!Q141)</f>
        <v>0</v>
      </c>
      <c r="X3" s="328" t="e">
        <f>IF(OR(Fluoro!R141="",Fluoro!S141=""),NA(),Fluoro!S141/Fluoro!R141)</f>
        <v>#DIV/0!</v>
      </c>
      <c r="Y3" s="332" t="e">
        <f>NA()</f>
        <v>#N/A</v>
      </c>
      <c r="Z3" s="328"/>
      <c r="AA3" s="328"/>
      <c r="AB3" s="328"/>
    </row>
    <row r="4" spans="1:28" ht="12.75" customHeight="1" x14ac:dyDescent="0.2">
      <c r="A4" s="329">
        <v>3</v>
      </c>
      <c r="B4" s="213" t="s">
        <v>348</v>
      </c>
      <c r="N4" s="328"/>
      <c r="O4" s="328">
        <f>IF(Fluoro!Q110="",NA(),Fluoro!Q110)</f>
        <v>0</v>
      </c>
      <c r="P4" s="328" t="e">
        <f>IF(OR(Fluoro!R110="",Fluoro!S110=""),NA(),Fluoro!S110/Fluoro!R110)</f>
        <v>#DIV/0!</v>
      </c>
      <c r="Q4" s="332" t="e">
        <f>NA()</f>
        <v>#N/A</v>
      </c>
      <c r="R4" s="328"/>
      <c r="S4" s="328"/>
      <c r="T4" s="328"/>
      <c r="V4" s="328"/>
      <c r="W4" s="328">
        <f>IF(Fluoro!Q142="",NA(),Fluoro!Q142)</f>
        <v>0</v>
      </c>
      <c r="X4" s="328" t="e">
        <f>IF(OR(Fluoro!R142="",Fluoro!S142=""),NA(),Fluoro!S142/Fluoro!R142)</f>
        <v>#DIV/0!</v>
      </c>
      <c r="Y4" s="332" t="e">
        <f>NA()</f>
        <v>#N/A</v>
      </c>
      <c r="Z4" s="328"/>
      <c r="AA4" s="328"/>
      <c r="AB4" s="328"/>
    </row>
    <row r="5" spans="1:28" ht="12.75" customHeight="1" x14ac:dyDescent="0.2">
      <c r="A5" s="329">
        <v>4</v>
      </c>
      <c r="B5" s="213" t="s">
        <v>349</v>
      </c>
      <c r="N5" s="328"/>
      <c r="O5" s="328">
        <f>IF(Fluoro!Q111="",NA(),Fluoro!Q111)</f>
        <v>0</v>
      </c>
      <c r="P5" s="328" t="e">
        <f>IF(OR(Fluoro!R111="",Fluoro!S111=""),NA(),Fluoro!S111/Fluoro!R111)</f>
        <v>#DIV/0!</v>
      </c>
      <c r="Q5" s="332" t="e">
        <f>NA()</f>
        <v>#N/A</v>
      </c>
      <c r="R5" s="328"/>
      <c r="S5" s="328"/>
      <c r="T5" s="328"/>
      <c r="V5" s="328"/>
      <c r="W5" s="328">
        <f>IF(Fluoro!Q143="",NA(),Fluoro!Q143)</f>
        <v>0</v>
      </c>
      <c r="X5" s="328" t="e">
        <f>IF(OR(Fluoro!R143="",Fluoro!S143=""),NA(),Fluoro!S143/Fluoro!R143)</f>
        <v>#DIV/0!</v>
      </c>
      <c r="Y5" s="332" t="e">
        <f>NA()</f>
        <v>#N/A</v>
      </c>
      <c r="Z5" s="328"/>
      <c r="AA5" s="328"/>
      <c r="AB5" s="328"/>
    </row>
    <row r="6" spans="1:28" ht="12.75" customHeight="1" x14ac:dyDescent="0.2">
      <c r="N6" s="328"/>
      <c r="O6" s="328">
        <f>IF(Fluoro!Q112="",NA(),Fluoro!Q112)</f>
        <v>0</v>
      </c>
      <c r="P6" s="328" t="e">
        <f>IF(OR(Fluoro!R112="",Fluoro!S112=""),NA(),Fluoro!S112/Fluoro!R112)</f>
        <v>#DIV/0!</v>
      </c>
      <c r="Q6" s="332" t="e">
        <f>NA()</f>
        <v>#N/A</v>
      </c>
      <c r="R6" s="328"/>
      <c r="S6" s="328"/>
      <c r="T6" s="328"/>
      <c r="V6" s="328"/>
      <c r="W6" s="328">
        <f>IF(Fluoro!Q144="",NA(),Fluoro!Q144)</f>
        <v>0</v>
      </c>
      <c r="X6" s="328" t="e">
        <f>IF(OR(Fluoro!R144="",Fluoro!S144=""),NA(),Fluoro!S144/Fluoro!R144)</f>
        <v>#DIV/0!</v>
      </c>
      <c r="Y6" s="332" t="e">
        <f>NA()</f>
        <v>#N/A</v>
      </c>
      <c r="Z6" s="328"/>
      <c r="AA6" s="328"/>
      <c r="AB6" s="328"/>
    </row>
    <row r="7" spans="1:28" ht="12.75" customHeight="1" x14ac:dyDescent="0.2">
      <c r="A7" s="635" t="s">
        <v>414</v>
      </c>
      <c r="B7" s="635"/>
      <c r="D7" s="213" t="s">
        <v>415</v>
      </c>
      <c r="E7" s="213"/>
      <c r="F7" s="213">
        <v>65</v>
      </c>
      <c r="G7" s="213">
        <v>70</v>
      </c>
      <c r="H7" s="213">
        <v>75</v>
      </c>
      <c r="I7" s="213">
        <v>80</v>
      </c>
      <c r="J7" s="213" t="s">
        <v>416</v>
      </c>
      <c r="N7" s="328"/>
      <c r="O7" s="328">
        <f>IF(Fluoro!Q113="",NA(),Fluoro!Q113)</f>
        <v>0</v>
      </c>
      <c r="P7" s="328" t="e">
        <f>IF(OR(Fluoro!R113="",Fluoro!S113=""),NA(),Fluoro!S113/Fluoro!R113)</f>
        <v>#DIV/0!</v>
      </c>
      <c r="Q7" s="332" t="e">
        <f>NA()</f>
        <v>#N/A</v>
      </c>
      <c r="R7" s="328"/>
      <c r="S7" s="328"/>
      <c r="T7" s="328"/>
      <c r="V7" s="328"/>
      <c r="W7" s="328">
        <f>IF(Fluoro!Q145="",NA(),Fluoro!Q145)</f>
        <v>0</v>
      </c>
      <c r="X7" s="328" t="e">
        <f>IF(OR(Fluoro!R145="",Fluoro!S145=""),NA(),Fluoro!S145/Fluoro!R145)</f>
        <v>#DIV/0!</v>
      </c>
      <c r="Y7" s="332" t="e">
        <f>NA()</f>
        <v>#N/A</v>
      </c>
      <c r="Z7" s="328"/>
      <c r="AA7" s="328"/>
      <c r="AB7" s="328"/>
    </row>
    <row r="8" spans="1:28" ht="12.75" customHeight="1" x14ac:dyDescent="0.2">
      <c r="A8" s="329">
        <v>1.1000000000000001</v>
      </c>
      <c r="B8" s="333">
        <v>0.5</v>
      </c>
      <c r="D8" s="329">
        <v>1</v>
      </c>
      <c r="E8" s="334">
        <f>HLOOKUP(Fluoro!$V$318,$F$7:$I$26,D8+1)</f>
        <v>0.16700000000000001</v>
      </c>
      <c r="F8" s="334">
        <v>0.188</v>
      </c>
      <c r="G8" s="334">
        <v>0.16700000000000001</v>
      </c>
      <c r="H8" s="334">
        <v>0.14899999999999999</v>
      </c>
      <c r="I8" s="334">
        <v>0.13500000000000001</v>
      </c>
      <c r="J8" s="334">
        <v>0.16</v>
      </c>
      <c r="N8" s="328"/>
      <c r="O8" s="328">
        <f>IF(Fluoro!Q114="",NA(),Fluoro!Q114)</f>
        <v>0</v>
      </c>
      <c r="P8" s="328" t="e">
        <f>IF(OR(Fluoro!R114="",Fluoro!S114=""),NA(),Fluoro!S114/Fluoro!R114)</f>
        <v>#DIV/0!</v>
      </c>
      <c r="Q8" s="332" t="e">
        <f>NA()</f>
        <v>#N/A</v>
      </c>
      <c r="R8" s="328"/>
      <c r="S8" s="328"/>
      <c r="T8" s="328"/>
      <c r="V8" s="328"/>
      <c r="W8" s="328">
        <f>IF(Fluoro!Q146="",NA(),Fluoro!Q146)</f>
        <v>0</v>
      </c>
      <c r="X8" s="328" t="e">
        <f>IF(OR(Fluoro!R146="",Fluoro!S146=""),NA(),Fluoro!S146/Fluoro!R146)</f>
        <v>#DIV/0!</v>
      </c>
      <c r="Y8" s="332" t="e">
        <f>NA()</f>
        <v>#N/A</v>
      </c>
      <c r="Z8" s="328"/>
      <c r="AA8" s="328"/>
      <c r="AB8" s="328"/>
    </row>
    <row r="9" spans="1:28" ht="12.75" customHeight="1" x14ac:dyDescent="0.2">
      <c r="A9" s="329">
        <v>1.2</v>
      </c>
      <c r="B9" s="333">
        <v>0.56000000000000005</v>
      </c>
      <c r="D9" s="329">
        <v>2</v>
      </c>
      <c r="E9" s="334">
        <f>HLOOKUP(Fluoro!$V$318,$F$7:$I$26,D9+1)</f>
        <v>0.14799999999999999</v>
      </c>
      <c r="F9" s="334">
        <v>0.16700000000000001</v>
      </c>
      <c r="G9" s="334">
        <v>0.14799999999999999</v>
      </c>
      <c r="H9" s="334">
        <v>0.13200000000000001</v>
      </c>
      <c r="I9" s="334">
        <v>0.12</v>
      </c>
      <c r="J9" s="334">
        <v>0.14499999999999999</v>
      </c>
      <c r="N9" s="328"/>
      <c r="O9" s="328">
        <f>IF(Fluoro!Q115="",NA(),Fluoro!Q115)</f>
        <v>0</v>
      </c>
      <c r="P9" s="328" t="e">
        <f>IF(OR(Fluoro!R115="",Fluoro!S115=""),NA(),Fluoro!S115/Fluoro!R115)</f>
        <v>#DIV/0!</v>
      </c>
      <c r="Q9" s="332" t="e">
        <f>NA()</f>
        <v>#N/A</v>
      </c>
      <c r="R9" s="328"/>
      <c r="S9" s="328"/>
      <c r="T9" s="328"/>
      <c r="V9" s="328"/>
      <c r="W9" s="328">
        <f>IF(Fluoro!Q147="",NA(),Fluoro!Q147)</f>
        <v>0</v>
      </c>
      <c r="X9" s="328" t="e">
        <f>IF(OR(Fluoro!R147="",Fluoro!S147=""),NA(),Fluoro!S147/Fluoro!R147)</f>
        <v>#DIV/0!</v>
      </c>
      <c r="Y9" s="332" t="e">
        <f>NA()</f>
        <v>#N/A</v>
      </c>
      <c r="Z9" s="328"/>
      <c r="AA9" s="328"/>
      <c r="AB9" s="328"/>
    </row>
    <row r="10" spans="1:28" ht="12.75" customHeight="1" x14ac:dyDescent="0.2">
      <c r="A10" s="329">
        <v>1.3</v>
      </c>
      <c r="B10" s="333">
        <v>0.63</v>
      </c>
      <c r="D10" s="329">
        <v>3</v>
      </c>
      <c r="E10" s="334">
        <f>HLOOKUP(Fluoro!$V$318,$F$7:$I$26,D10+1)</f>
        <v>0.128</v>
      </c>
      <c r="F10" s="334">
        <v>0.14499999999999999</v>
      </c>
      <c r="G10" s="334">
        <v>0.128</v>
      </c>
      <c r="H10" s="334">
        <v>0.114</v>
      </c>
      <c r="I10" s="334">
        <v>0.104</v>
      </c>
      <c r="J10" s="334">
        <v>0.123</v>
      </c>
      <c r="N10" s="328"/>
      <c r="O10" s="328">
        <f>IF(Fluoro!Q116="",NA(),Fluoro!Q116)</f>
        <v>0</v>
      </c>
      <c r="P10" s="328" t="e">
        <f>IF(OR(Fluoro!R116="",Fluoro!S116=""),NA(),Fluoro!S116/Fluoro!R116)</f>
        <v>#DIV/0!</v>
      </c>
      <c r="Q10" s="332" t="e">
        <f>NA()</f>
        <v>#N/A</v>
      </c>
      <c r="R10" s="328"/>
      <c r="S10" s="328"/>
      <c r="T10" s="328"/>
      <c r="V10" s="328"/>
      <c r="W10" s="328">
        <f>IF(Fluoro!Q148="",NA(),Fluoro!Q148)</f>
        <v>0</v>
      </c>
      <c r="X10" s="328" t="e">
        <f>IF(OR(Fluoro!R148="",Fluoro!S148=""),NA(),Fluoro!S148/Fluoro!R148)</f>
        <v>#DIV/0!</v>
      </c>
      <c r="Y10" s="332" t="e">
        <f>NA()</f>
        <v>#N/A</v>
      </c>
      <c r="Z10" s="328"/>
      <c r="AA10" s="328"/>
      <c r="AB10" s="328"/>
    </row>
    <row r="11" spans="1:28" ht="12.75" customHeight="1" x14ac:dyDescent="0.2">
      <c r="A11" s="329">
        <v>2.1</v>
      </c>
      <c r="B11" s="333">
        <v>0.71</v>
      </c>
      <c r="D11" s="329">
        <v>4</v>
      </c>
      <c r="E11" s="334">
        <f>HLOOKUP(Fluoro!$V$318,$F$7:$I$26,D11+1)</f>
        <v>0.109</v>
      </c>
      <c r="F11" s="334">
        <v>0.124</v>
      </c>
      <c r="G11" s="334">
        <v>0.109</v>
      </c>
      <c r="H11" s="334">
        <v>9.7000000000000003E-2</v>
      </c>
      <c r="I11" s="334">
        <v>8.7999999999999995E-2</v>
      </c>
      <c r="J11" s="334">
        <v>0.108</v>
      </c>
      <c r="N11" s="328"/>
      <c r="O11" s="328">
        <f>IF(Fluoro!Q117="",NA(),Fluoro!Q117)</f>
        <v>0</v>
      </c>
      <c r="P11" s="328" t="e">
        <f>IF(OR(Fluoro!R117="",Fluoro!S117=""),NA(),Fluoro!S117/Fluoro!R117)</f>
        <v>#DIV/0!</v>
      </c>
      <c r="Q11" s="332" t="e">
        <f>NA()</f>
        <v>#N/A</v>
      </c>
      <c r="R11" s="328"/>
      <c r="S11" s="328"/>
      <c r="T11" s="328"/>
      <c r="V11" s="328"/>
      <c r="W11" s="328">
        <f>IF(Fluoro!Q149="",NA(),Fluoro!Q149)</f>
        <v>0</v>
      </c>
      <c r="X11" s="328" t="e">
        <f>IF(OR(Fluoro!R149="",Fluoro!S149=""),NA(),Fluoro!S149/Fluoro!R149)</f>
        <v>#DIV/0!</v>
      </c>
      <c r="Y11" s="332" t="e">
        <f>NA()</f>
        <v>#N/A</v>
      </c>
      <c r="Z11" s="328"/>
      <c r="AA11" s="328"/>
      <c r="AB11" s="328"/>
    </row>
    <row r="12" spans="1:28" ht="12.75" customHeight="1" x14ac:dyDescent="0.2">
      <c r="A12" s="329">
        <v>2.2000000000000002</v>
      </c>
      <c r="B12" s="333">
        <v>0.8</v>
      </c>
      <c r="D12" s="329">
        <v>5</v>
      </c>
      <c r="E12" s="334">
        <f>HLOOKUP(Fluoro!$V$318,$F$7:$I$26,D12+1)</f>
        <v>8.7599999999999997E-2</v>
      </c>
      <c r="F12" s="334">
        <v>9.9299999999999999E-2</v>
      </c>
      <c r="G12" s="334">
        <v>8.7599999999999997E-2</v>
      </c>
      <c r="H12" s="334">
        <v>7.8E-2</v>
      </c>
      <c r="I12" s="334">
        <v>7.0499999999999993E-2</v>
      </c>
      <c r="J12" s="334">
        <v>8.5999999999999993E-2</v>
      </c>
      <c r="N12" s="328"/>
      <c r="O12" s="328">
        <f>IF(Fluoro!Q118="",NA(),Fluoro!Q118)</f>
        <v>0</v>
      </c>
      <c r="P12" s="328" t="e">
        <f>IF(OR(Fluoro!R118="",Fluoro!S118=""),NA(),Fluoro!S118/Fluoro!R118)</f>
        <v>#DIV/0!</v>
      </c>
      <c r="Q12" s="332" t="e">
        <f>NA()</f>
        <v>#N/A</v>
      </c>
      <c r="R12" s="328"/>
      <c r="S12" s="328"/>
      <c r="T12" s="328"/>
      <c r="V12" s="328"/>
      <c r="W12" s="328">
        <f>IF(Fluoro!Q150="",NA(),Fluoro!Q150)</f>
        <v>0</v>
      </c>
      <c r="X12" s="328" t="e">
        <f>IF(OR(Fluoro!R150="",Fluoro!S150=""),NA(),Fluoro!S150/Fluoro!R150)</f>
        <v>#DIV/0!</v>
      </c>
      <c r="Y12" s="332" t="e">
        <f>NA()</f>
        <v>#N/A</v>
      </c>
      <c r="Z12" s="328"/>
      <c r="AA12" s="328"/>
      <c r="AB12" s="328"/>
    </row>
    <row r="13" spans="1:28" ht="12.75" customHeight="1" x14ac:dyDescent="0.2">
      <c r="A13" s="329">
        <v>2.2999999999999998</v>
      </c>
      <c r="B13" s="333">
        <v>0.9</v>
      </c>
      <c r="D13" s="329">
        <v>6</v>
      </c>
      <c r="E13" s="334">
        <f>HLOOKUP(Fluoro!$V$318,$F$7:$I$26,D13+1)</f>
        <v>7.4899999999999994E-2</v>
      </c>
      <c r="F13" s="334">
        <v>8.4699999999999998E-2</v>
      </c>
      <c r="G13" s="334">
        <v>7.4899999999999994E-2</v>
      </c>
      <c r="H13" s="334">
        <v>6.7000000000000004E-2</v>
      </c>
      <c r="I13" s="334">
        <v>6.0900000000000003E-2</v>
      </c>
      <c r="J13" s="334">
        <v>7.5999999999999998E-2</v>
      </c>
      <c r="N13" s="328"/>
      <c r="O13" s="328">
        <f>IF(Fluoro!Q119="",NA(),Fluoro!Q119)</f>
        <v>0</v>
      </c>
      <c r="P13" s="328" t="e">
        <f>IF(OR(Fluoro!R119="",Fluoro!S119=""),NA(),Fluoro!S119/Fluoro!R119)</f>
        <v>#DIV/0!</v>
      </c>
      <c r="Q13" s="332" t="e">
        <f>NA()</f>
        <v>#N/A</v>
      </c>
      <c r="R13" s="328"/>
      <c r="S13" s="328"/>
      <c r="T13" s="328"/>
      <c r="V13" s="328"/>
      <c r="W13" s="328">
        <f>IF(Fluoro!Q151="",NA(),Fluoro!Q151)</f>
        <v>0</v>
      </c>
      <c r="X13" s="328" t="e">
        <f>IF(OR(Fluoro!R151="",Fluoro!S151=""),NA(),Fluoro!S151/Fluoro!R151)</f>
        <v>#DIV/0!</v>
      </c>
      <c r="Y13" s="332" t="e">
        <f>NA()</f>
        <v>#N/A</v>
      </c>
      <c r="Z13" s="328"/>
      <c r="AA13" s="328"/>
      <c r="AB13" s="328"/>
    </row>
    <row r="14" spans="1:28" ht="12.75" customHeight="1" x14ac:dyDescent="0.2">
      <c r="A14" s="329">
        <v>3.1</v>
      </c>
      <c r="B14" s="333">
        <v>1</v>
      </c>
      <c r="D14" s="329">
        <v>7</v>
      </c>
      <c r="E14" s="334">
        <f>HLOOKUP(Fluoro!$V$318,$F$7:$I$26,D14+1)</f>
        <v>6.7400000000000002E-2</v>
      </c>
      <c r="F14" s="334">
        <v>7.6600000000000001E-2</v>
      </c>
      <c r="G14" s="334">
        <v>6.7400000000000002E-2</v>
      </c>
      <c r="H14" s="334">
        <v>5.9900000000000002E-2</v>
      </c>
      <c r="I14" s="334">
        <v>5.4199999999999998E-2</v>
      </c>
      <c r="J14" s="334">
        <v>6.6000000000000003E-2</v>
      </c>
      <c r="N14" s="328"/>
      <c r="O14" s="328">
        <f>IF(Fluoro!Q120="",NA(),Fluoro!Q120)</f>
        <v>0</v>
      </c>
      <c r="P14" s="328" t="e">
        <f>IF(OR(Fluoro!R120="",Fluoro!S120=""),NA(),Fluoro!S120/Fluoro!R120)</f>
        <v>#DIV/0!</v>
      </c>
      <c r="Q14" s="332" t="e">
        <f>NA()</f>
        <v>#N/A</v>
      </c>
      <c r="R14" s="328"/>
      <c r="S14" s="328"/>
      <c r="T14" s="328"/>
      <c r="V14" s="328"/>
      <c r="W14" s="328">
        <f>IF(Fluoro!Q152="",NA(),Fluoro!Q152)</f>
        <v>0</v>
      </c>
      <c r="X14" s="328" t="e">
        <f>IF(OR(Fluoro!R152="",Fluoro!S152=""),NA(),Fluoro!S152/Fluoro!R152)</f>
        <v>#DIV/0!</v>
      </c>
      <c r="Y14" s="332" t="e">
        <f>NA()</f>
        <v>#N/A</v>
      </c>
      <c r="Z14" s="328"/>
      <c r="AA14" s="328"/>
      <c r="AB14" s="328"/>
    </row>
    <row r="15" spans="1:28" ht="12.75" customHeight="1" x14ac:dyDescent="0.2">
      <c r="A15" s="329">
        <v>3.2</v>
      </c>
      <c r="B15" s="333">
        <v>1.1200000000000001</v>
      </c>
      <c r="D15" s="329">
        <v>8</v>
      </c>
      <c r="E15" s="334">
        <f>HLOOKUP(Fluoro!$V$318,$F$7:$I$26,D15+1)</f>
        <v>5.2499999999999998E-2</v>
      </c>
      <c r="F15" s="334">
        <v>5.9299999999999999E-2</v>
      </c>
      <c r="G15" s="334">
        <v>5.2499999999999998E-2</v>
      </c>
      <c r="H15" s="334">
        <v>4.7E-2</v>
      </c>
      <c r="I15" s="334">
        <v>4.2700000000000002E-2</v>
      </c>
      <c r="J15" s="334">
        <v>5.5E-2</v>
      </c>
      <c r="N15" s="328"/>
      <c r="O15" s="328">
        <f>IF(Fluoro!Q121="",NA(),Fluoro!Q121)</f>
        <v>0</v>
      </c>
      <c r="P15" s="328" t="e">
        <f>IF(OR(Fluoro!R121="",Fluoro!S121=""),NA(),Fluoro!S121/Fluoro!R121)</f>
        <v>#DIV/0!</v>
      </c>
      <c r="Q15" s="332" t="e">
        <f>NA()</f>
        <v>#N/A</v>
      </c>
      <c r="R15" s="328"/>
      <c r="S15" s="328"/>
      <c r="T15" s="328"/>
      <c r="V15" s="328"/>
      <c r="W15" s="328">
        <f>IF(Fluoro!Q153="",NA(),Fluoro!Q153)</f>
        <v>0</v>
      </c>
      <c r="X15" s="328" t="e">
        <f>IF(OR(Fluoro!R153="",Fluoro!S153=""),NA(),Fluoro!S153/Fluoro!R153)</f>
        <v>#DIV/0!</v>
      </c>
      <c r="Y15" s="332" t="e">
        <f>NA()</f>
        <v>#N/A</v>
      </c>
      <c r="Z15" s="328"/>
      <c r="AA15" s="328"/>
      <c r="AB15" s="328"/>
    </row>
    <row r="16" spans="1:28" ht="12.75" customHeight="1" x14ac:dyDescent="0.2">
      <c r="A16" s="329">
        <v>3.3</v>
      </c>
      <c r="B16" s="333">
        <v>1.25</v>
      </c>
      <c r="D16" s="329">
        <v>9</v>
      </c>
      <c r="E16" s="334">
        <f>HLOOKUP(Fluoro!$V$318,$F$7:$I$26,D16+1)</f>
        <v>4.4999999999999998E-2</v>
      </c>
      <c r="F16" s="334">
        <v>5.1200000000000002E-2</v>
      </c>
      <c r="G16" s="334">
        <v>4.4999999999999998E-2</v>
      </c>
      <c r="H16" s="334">
        <v>3.9899999999999998E-2</v>
      </c>
      <c r="I16" s="334">
        <v>3.5999999999999997E-2</v>
      </c>
      <c r="J16" s="334">
        <v>4.4999999999999998E-2</v>
      </c>
      <c r="N16" s="328"/>
      <c r="O16" s="328">
        <f>IF(Fluoro!Q122="",NA(),Fluoro!Q122)</f>
        <v>0</v>
      </c>
      <c r="P16" s="328" t="e">
        <f>IF(OR(Fluoro!R122="",Fluoro!S122=""),NA(),Fluoro!S122/Fluoro!R122)</f>
        <v>#DIV/0!</v>
      </c>
      <c r="Q16" s="332" t="e">
        <f>NA()</f>
        <v>#N/A</v>
      </c>
      <c r="R16" s="328"/>
      <c r="S16" s="328"/>
      <c r="T16" s="328"/>
      <c r="V16" s="328"/>
      <c r="W16" s="328">
        <f>IF(Fluoro!Q154="",NA(),Fluoro!Q154)</f>
        <v>0</v>
      </c>
      <c r="X16" s="328" t="e">
        <f>IF(OR(Fluoro!R154="",Fluoro!S154=""),NA(),Fluoro!S154/Fluoro!R154)</f>
        <v>#DIV/0!</v>
      </c>
      <c r="Y16" s="332" t="e">
        <f>NA()</f>
        <v>#N/A</v>
      </c>
      <c r="Z16" s="328"/>
      <c r="AA16" s="328"/>
      <c r="AB16" s="328"/>
    </row>
    <row r="17" spans="1:28" ht="12.75" customHeight="1" x14ac:dyDescent="0.2">
      <c r="A17" s="329">
        <v>4.0999999999999996</v>
      </c>
      <c r="B17" s="333">
        <v>1.4</v>
      </c>
      <c r="D17" s="329">
        <v>10</v>
      </c>
      <c r="E17" s="334">
        <f>HLOOKUP(Fluoro!$V$318,$F$7:$I$26,D17+1)</f>
        <v>3.7100000000000001E-2</v>
      </c>
      <c r="F17" s="334">
        <v>0.04</v>
      </c>
      <c r="G17" s="334">
        <v>3.7100000000000001E-2</v>
      </c>
      <c r="H17" s="334">
        <v>3.4700000000000002E-2</v>
      </c>
      <c r="I17" s="334">
        <v>3.2899999999999999E-2</v>
      </c>
      <c r="J17" s="334">
        <v>3.9E-2</v>
      </c>
      <c r="N17" s="328"/>
      <c r="O17" s="328">
        <f>IF(Fluoro!Q123="",NA(),Fluoro!Q123)</f>
        <v>0</v>
      </c>
      <c r="P17" s="328" t="e">
        <f>IF(OR(Fluoro!R123="",Fluoro!S123=""),NA(),Fluoro!S123/Fluoro!R123)</f>
        <v>#DIV/0!</v>
      </c>
      <c r="Q17" s="332" t="e">
        <f>NA()</f>
        <v>#N/A</v>
      </c>
      <c r="R17" s="328"/>
      <c r="S17" s="328"/>
      <c r="T17" s="328"/>
      <c r="V17" s="328"/>
      <c r="W17" s="328">
        <f>IF(Fluoro!Q155="",NA(),Fluoro!Q155)</f>
        <v>0</v>
      </c>
      <c r="X17" s="328" t="e">
        <f>IF(OR(Fluoro!R155="",Fluoro!S155=""),NA(),Fluoro!S155/Fluoro!R155)</f>
        <v>#DIV/0!</v>
      </c>
      <c r="Y17" s="332" t="e">
        <f>NA()</f>
        <v>#N/A</v>
      </c>
      <c r="Z17" s="328"/>
      <c r="AA17" s="328"/>
      <c r="AB17" s="328"/>
    </row>
    <row r="18" spans="1:28" ht="12.75" customHeight="1" x14ac:dyDescent="0.2">
      <c r="A18" s="329">
        <v>4.2</v>
      </c>
      <c r="B18" s="333">
        <v>1.6</v>
      </c>
      <c r="D18" s="329">
        <v>11</v>
      </c>
      <c r="E18" s="334">
        <f>HLOOKUP(Fluoro!$V$318,$F$7:$I$26,D18+1)</f>
        <v>3.2199999999999999E-2</v>
      </c>
      <c r="F18" s="334">
        <v>3.4700000000000002E-2</v>
      </c>
      <c r="G18" s="334">
        <v>3.2199999999999999E-2</v>
      </c>
      <c r="H18" s="334">
        <v>3.0099999999999998E-2</v>
      </c>
      <c r="I18" s="334">
        <v>2.8500000000000001E-2</v>
      </c>
      <c r="J18" s="334">
        <v>3.3000000000000002E-2</v>
      </c>
      <c r="N18" s="335" t="s">
        <v>417</v>
      </c>
      <c r="O18" s="336">
        <f>IF(Fluoro!Q124="",NA(),Fluoro!Q124)</f>
        <v>0</v>
      </c>
      <c r="P18" s="336" t="e">
        <f>IF(OR(Fluoro!R124="",Fluoro!S124=""),NA(),Fluoro!S124/Fluoro!R124)</f>
        <v>#DIV/0!</v>
      </c>
      <c r="Q18" s="337" t="e">
        <f>NA()</f>
        <v>#N/A</v>
      </c>
      <c r="R18" s="328"/>
      <c r="S18" s="328"/>
      <c r="T18" s="328"/>
      <c r="V18" s="335" t="s">
        <v>417</v>
      </c>
      <c r="W18" s="336">
        <f>IF(Fluoro!Q156="",NA(),Fluoro!Q156)</f>
        <v>0</v>
      </c>
      <c r="X18" s="336" t="e">
        <f>IF(OR(Fluoro!R156="",Fluoro!S156=""),NA(),Fluoro!S156/Fluoro!R156)</f>
        <v>#DIV/0!</v>
      </c>
      <c r="Y18" s="337" t="e">
        <f>NA()</f>
        <v>#N/A</v>
      </c>
      <c r="Z18" s="328"/>
      <c r="AA18" s="328"/>
      <c r="AB18" s="328"/>
    </row>
    <row r="19" spans="1:28" ht="12.75" customHeight="1" x14ac:dyDescent="0.2">
      <c r="A19" s="329">
        <v>4.3</v>
      </c>
      <c r="B19" s="333">
        <v>1.8</v>
      </c>
      <c r="D19" s="329">
        <v>12</v>
      </c>
      <c r="E19" s="334">
        <f>HLOOKUP(Fluoro!$V$318,$F$7:$I$26,D19+1)</f>
        <v>2.46E-2</v>
      </c>
      <c r="F19" s="334">
        <v>2.69E-2</v>
      </c>
      <c r="G19" s="334">
        <v>2.46E-2</v>
      </c>
      <c r="H19" s="334">
        <v>2.3300000000000001E-2</v>
      </c>
      <c r="I19" s="334">
        <v>2.1999999999999999E-2</v>
      </c>
      <c r="J19" s="334">
        <v>2.7E-2</v>
      </c>
      <c r="N19" s="239"/>
      <c r="O19" s="328">
        <f>IF(Fluoro!T109="",NA(),Fluoro!T109)</f>
        <v>0</v>
      </c>
      <c r="P19" s="328" t="e">
        <f>IF(OR(Fluoro!U109="",Fluoro!V109=""),NA(),Fluoro!V109/Fluoro!U109)</f>
        <v>#DIV/0!</v>
      </c>
      <c r="Q19" s="332" t="e">
        <f>NA()</f>
        <v>#N/A</v>
      </c>
      <c r="R19" s="328"/>
      <c r="S19" s="328"/>
      <c r="T19" s="328"/>
      <c r="V19" s="239"/>
      <c r="W19" s="328">
        <f>IF(Fluoro!T141="",NA(),Fluoro!T141)</f>
        <v>0</v>
      </c>
      <c r="X19" s="328" t="e">
        <f>IF(OR(Fluoro!U141="",Fluoro!V141=""),NA(),Fluoro!V141/Fluoro!U141)</f>
        <v>#DIV/0!</v>
      </c>
      <c r="Y19" s="332" t="e">
        <f>NA()</f>
        <v>#N/A</v>
      </c>
      <c r="Z19" s="328"/>
      <c r="AA19" s="328"/>
      <c r="AB19" s="328"/>
    </row>
    <row r="20" spans="1:28" ht="12.75" customHeight="1" x14ac:dyDescent="0.2">
      <c r="A20" s="329">
        <v>5.0999999999999996</v>
      </c>
      <c r="B20" s="333">
        <v>2</v>
      </c>
      <c r="D20" s="329">
        <v>13</v>
      </c>
      <c r="E20" s="334">
        <f>HLOOKUP(Fluoro!$V$318,$F$7:$I$26,D20+1)</f>
        <v>2.1499999999999998E-2</v>
      </c>
      <c r="F20" s="334">
        <v>2.3199999999999998E-2</v>
      </c>
      <c r="G20" s="334">
        <v>2.1499999999999998E-2</v>
      </c>
      <c r="H20" s="334">
        <v>2.01E-2</v>
      </c>
      <c r="I20" s="334">
        <v>1.9E-2</v>
      </c>
      <c r="J20" s="334">
        <v>2.3E-2</v>
      </c>
      <c r="N20" s="239"/>
      <c r="O20" s="328">
        <f>IF(Fluoro!T110="",NA(),Fluoro!T110)</f>
        <v>0</v>
      </c>
      <c r="P20" s="328" t="e">
        <f>IF(OR(Fluoro!U110="",Fluoro!V110=""),NA(),Fluoro!V110/Fluoro!U110)</f>
        <v>#DIV/0!</v>
      </c>
      <c r="Q20" s="332" t="e">
        <f>NA()</f>
        <v>#N/A</v>
      </c>
      <c r="R20" s="328"/>
      <c r="S20" s="328"/>
      <c r="T20" s="328"/>
      <c r="V20" s="239"/>
      <c r="W20" s="328">
        <f>IF(Fluoro!T142="",NA(),Fluoro!T142)</f>
        <v>0</v>
      </c>
      <c r="X20" s="328" t="e">
        <f>IF(OR(Fluoro!U142="",Fluoro!V142=""),NA(),Fluoro!V142/Fluoro!U142)</f>
        <v>#DIV/0!</v>
      </c>
      <c r="Y20" s="332" t="e">
        <f>NA()</f>
        <v>#N/A</v>
      </c>
      <c r="Z20" s="328"/>
      <c r="AA20" s="328"/>
      <c r="AB20" s="328"/>
    </row>
    <row r="21" spans="1:28" ht="12.75" customHeight="1" x14ac:dyDescent="0.2">
      <c r="A21" s="329">
        <v>5.2</v>
      </c>
      <c r="B21" s="333">
        <v>2.2400000000000002</v>
      </c>
      <c r="D21" s="329">
        <v>14</v>
      </c>
      <c r="E21" s="334">
        <f>HLOOKUP(Fluoro!$V$318,$F$7:$I$26,D21+1)</f>
        <v>1.72E-2</v>
      </c>
      <c r="F21" s="334">
        <v>1.8599999999999998E-2</v>
      </c>
      <c r="G21" s="334">
        <v>1.72E-2</v>
      </c>
      <c r="H21" s="334">
        <v>1.61E-2</v>
      </c>
      <c r="I21" s="334">
        <v>1.5299999999999999E-2</v>
      </c>
      <c r="J21" s="334">
        <v>1.7999999999999999E-2</v>
      </c>
      <c r="N21" s="239"/>
      <c r="O21" s="328">
        <f>IF(Fluoro!T111="",NA(),Fluoro!T111)</f>
        <v>0</v>
      </c>
      <c r="P21" s="328" t="e">
        <f>IF(OR(Fluoro!U111="",Fluoro!V111=""),NA(),Fluoro!V111/Fluoro!U111)</f>
        <v>#DIV/0!</v>
      </c>
      <c r="Q21" s="332" t="e">
        <f>NA()</f>
        <v>#N/A</v>
      </c>
      <c r="R21" s="328"/>
      <c r="S21" s="328"/>
      <c r="T21" s="328"/>
      <c r="V21" s="239"/>
      <c r="W21" s="328">
        <f>IF(Fluoro!T143="",NA(),Fluoro!T143)</f>
        <v>0</v>
      </c>
      <c r="X21" s="328" t="e">
        <f>IF(OR(Fluoro!U143="",Fluoro!V143=""),NA(),Fluoro!V143/Fluoro!U143)</f>
        <v>#DIV/0!</v>
      </c>
      <c r="Y21" s="332" t="e">
        <f>NA()</f>
        <v>#N/A</v>
      </c>
      <c r="Z21" s="328"/>
      <c r="AA21" s="328"/>
      <c r="AB21" s="328"/>
    </row>
    <row r="22" spans="1:28" ht="12.75" customHeight="1" x14ac:dyDescent="0.2">
      <c r="A22" s="329">
        <v>5.3</v>
      </c>
      <c r="B22" s="333">
        <v>2.5</v>
      </c>
      <c r="D22" s="329">
        <v>15</v>
      </c>
      <c r="E22" s="334">
        <f>HLOOKUP(Fluoro!$V$318,$F$7:$I$26,D22+1)</f>
        <v>1.55E-2</v>
      </c>
      <c r="F22" s="334">
        <v>1.6799999999999999E-2</v>
      </c>
      <c r="G22" s="334">
        <v>1.55E-2</v>
      </c>
      <c r="H22" s="334">
        <v>1.4500000000000001E-2</v>
      </c>
      <c r="I22" s="334">
        <v>1.38E-2</v>
      </c>
      <c r="J22" s="334">
        <v>1.6E-2</v>
      </c>
      <c r="N22" s="239"/>
      <c r="O22" s="328">
        <f>IF(Fluoro!T112="",NA(),Fluoro!T112)</f>
        <v>0</v>
      </c>
      <c r="P22" s="328" t="e">
        <f>IF(OR(Fluoro!U112="",Fluoro!V112=""),NA(),Fluoro!V112/Fluoro!U112)</f>
        <v>#DIV/0!</v>
      </c>
      <c r="Q22" s="332" t="e">
        <f>NA()</f>
        <v>#N/A</v>
      </c>
      <c r="R22" s="328"/>
      <c r="S22" s="328"/>
      <c r="T22" s="328"/>
      <c r="V22" s="239"/>
      <c r="W22" s="328">
        <f>IF(Fluoro!T144="",NA(),Fluoro!T144)</f>
        <v>0</v>
      </c>
      <c r="X22" s="328" t="e">
        <f>IF(OR(Fluoro!U144="",Fluoro!V144=""),NA(),Fluoro!V144/Fluoro!U144)</f>
        <v>#DIV/0!</v>
      </c>
      <c r="Y22" s="332" t="e">
        <f>NA()</f>
        <v>#N/A</v>
      </c>
      <c r="Z22" s="328"/>
      <c r="AA22" s="328"/>
      <c r="AB22" s="328"/>
    </row>
    <row r="23" spans="1:28" ht="12.75" customHeight="1" x14ac:dyDescent="0.2">
      <c r="A23" s="329">
        <v>6.1</v>
      </c>
      <c r="B23" s="333">
        <v>2.8</v>
      </c>
      <c r="D23" s="329">
        <v>16</v>
      </c>
      <c r="E23" s="334">
        <f>HLOOKUP(Fluoro!$V$318,$F$7:$I$26,D23+1)</f>
        <v>1.2999999999999999E-2</v>
      </c>
      <c r="F23" s="334">
        <v>1.4E-2</v>
      </c>
      <c r="G23" s="334">
        <v>1.2999999999999999E-2</v>
      </c>
      <c r="H23" s="334">
        <v>1.2200000000000001E-2</v>
      </c>
      <c r="I23" s="334">
        <v>1.15E-2</v>
      </c>
      <c r="J23" s="334">
        <v>1.2999999999999999E-2</v>
      </c>
      <c r="N23" s="239"/>
      <c r="O23" s="328">
        <f>IF(Fluoro!T113="",NA(),Fluoro!T113)</f>
        <v>0</v>
      </c>
      <c r="P23" s="328" t="e">
        <f>IF(OR(Fluoro!U113="",Fluoro!V113=""),NA(),Fluoro!V113/Fluoro!U113)</f>
        <v>#DIV/0!</v>
      </c>
      <c r="Q23" s="332" t="e">
        <f>NA()</f>
        <v>#N/A</v>
      </c>
      <c r="R23" s="328"/>
      <c r="S23" s="328"/>
      <c r="T23" s="328"/>
      <c r="V23" s="239"/>
      <c r="W23" s="328">
        <f>IF(Fluoro!T145="",NA(),Fluoro!T145)</f>
        <v>0</v>
      </c>
      <c r="X23" s="328" t="e">
        <f>IF(OR(Fluoro!U145="",Fluoro!V145=""),NA(),Fluoro!V145/Fluoro!U145)</f>
        <v>#DIV/0!</v>
      </c>
      <c r="Y23" s="332" t="e">
        <f>NA()</f>
        <v>#N/A</v>
      </c>
      <c r="Z23" s="328"/>
      <c r="AA23" s="328"/>
      <c r="AB23" s="328"/>
    </row>
    <row r="24" spans="1:28" ht="12.75" customHeight="1" x14ac:dyDescent="0.2">
      <c r="A24" s="329">
        <v>6.2</v>
      </c>
      <c r="B24" s="333">
        <v>3.15</v>
      </c>
      <c r="D24" s="329">
        <v>17</v>
      </c>
      <c r="E24" s="334">
        <f>HLOOKUP(Fluoro!$V$318,$F$7:$I$26,D24+1)</f>
        <v>1.0999999999999999E-2</v>
      </c>
      <c r="F24" s="334">
        <v>1.1900000000000001E-2</v>
      </c>
      <c r="G24" s="334">
        <v>1.0999999999999999E-2</v>
      </c>
      <c r="H24" s="334">
        <v>1.03E-2</v>
      </c>
      <c r="I24" s="334">
        <v>9.7000000000000003E-3</v>
      </c>
      <c r="J24" s="334">
        <v>1.0999999999999999E-2</v>
      </c>
      <c r="N24" s="239"/>
      <c r="O24" s="328">
        <f>IF(Fluoro!T114="",NA(),Fluoro!T114)</f>
        <v>0</v>
      </c>
      <c r="P24" s="328" t="e">
        <f>IF(OR(Fluoro!U114="",Fluoro!V114=""),NA(),Fluoro!V114/Fluoro!U114)</f>
        <v>#DIV/0!</v>
      </c>
      <c r="Q24" s="332" t="e">
        <f>NA()</f>
        <v>#N/A</v>
      </c>
      <c r="R24" s="328"/>
      <c r="S24" s="328"/>
      <c r="T24" s="328"/>
      <c r="V24" s="239"/>
      <c r="W24" s="328">
        <f>IF(Fluoro!T146="",NA(),Fluoro!T146)</f>
        <v>0</v>
      </c>
      <c r="X24" s="328" t="e">
        <f>IF(OR(Fluoro!U146="",Fluoro!V146=""),NA(),Fluoro!V146/Fluoro!U146)</f>
        <v>#DIV/0!</v>
      </c>
      <c r="Y24" s="332" t="e">
        <f>NA()</f>
        <v>#N/A</v>
      </c>
      <c r="Z24" s="328"/>
      <c r="AA24" s="328"/>
      <c r="AB24" s="328"/>
    </row>
    <row r="25" spans="1:28" ht="12.75" customHeight="1" x14ac:dyDescent="0.2">
      <c r="A25" s="329">
        <v>6.3</v>
      </c>
      <c r="B25" s="333">
        <v>3.55</v>
      </c>
      <c r="D25" s="329">
        <v>18</v>
      </c>
      <c r="E25" s="334">
        <f>HLOOKUP(Fluoro!$V$318,$F$7:$I$26,D25+1)</f>
        <v>8.6E-3</v>
      </c>
      <c r="F25" s="334">
        <v>9.2999999999999992E-3</v>
      </c>
      <c r="G25" s="334">
        <v>8.6E-3</v>
      </c>
      <c r="H25" s="334">
        <v>8.0999999999999996E-3</v>
      </c>
      <c r="I25" s="334">
        <v>7.7000000000000002E-3</v>
      </c>
      <c r="J25" s="334">
        <v>8.9999999999999993E-3</v>
      </c>
      <c r="N25" s="239"/>
      <c r="O25" s="328">
        <f>IF(Fluoro!T115="",NA(),Fluoro!T115)</f>
        <v>0</v>
      </c>
      <c r="P25" s="328" t="e">
        <f>IF(OR(Fluoro!U115="",Fluoro!V115=""),NA(),Fluoro!V115/Fluoro!U115)</f>
        <v>#DIV/0!</v>
      </c>
      <c r="Q25" s="332" t="e">
        <f>NA()</f>
        <v>#N/A</v>
      </c>
      <c r="R25" s="328"/>
      <c r="S25" s="328"/>
      <c r="T25" s="328"/>
      <c r="V25" s="239"/>
      <c r="W25" s="328">
        <f>IF(Fluoro!T147="",NA(),Fluoro!T147)</f>
        <v>0</v>
      </c>
      <c r="X25" s="328" t="e">
        <f>IF(OR(Fluoro!U147="",Fluoro!V147=""),NA(),Fluoro!V147/Fluoro!U147)</f>
        <v>#DIV/0!</v>
      </c>
      <c r="Y25" s="332" t="e">
        <f>NA()</f>
        <v>#N/A</v>
      </c>
      <c r="Z25" s="328"/>
      <c r="AA25" s="328"/>
      <c r="AB25" s="328"/>
    </row>
    <row r="26" spans="1:28" ht="12.75" customHeight="1" x14ac:dyDescent="0.2">
      <c r="A26" s="329">
        <v>7.1</v>
      </c>
      <c r="B26" s="333">
        <v>4</v>
      </c>
      <c r="D26" s="329">
        <v>19</v>
      </c>
      <c r="E26" s="334">
        <f>HLOOKUP(Fluoro!$V$318,$F$7:$I$26,D26+1)</f>
        <v>6.6E-3</v>
      </c>
      <c r="F26" s="334">
        <v>7.1000000000000004E-3</v>
      </c>
      <c r="G26" s="334">
        <v>6.6E-3</v>
      </c>
      <c r="H26" s="334">
        <v>6.1999999999999998E-3</v>
      </c>
      <c r="I26" s="334">
        <v>5.8999999999999999E-3</v>
      </c>
      <c r="J26" s="334">
        <v>7.0000000000000001E-3</v>
      </c>
      <c r="N26" s="239"/>
      <c r="O26" s="328">
        <f>IF(Fluoro!T116="",NA(),Fluoro!T116)</f>
        <v>0</v>
      </c>
      <c r="P26" s="328" t="e">
        <f>IF(OR(Fluoro!U116="",Fluoro!V116=""),NA(),Fluoro!V116/Fluoro!U116)</f>
        <v>#DIV/0!</v>
      </c>
      <c r="Q26" s="332" t="e">
        <f>NA()</f>
        <v>#N/A</v>
      </c>
      <c r="R26" s="328"/>
      <c r="S26" s="328"/>
      <c r="T26" s="328"/>
      <c r="V26" s="239"/>
      <c r="W26" s="328">
        <f>IF(Fluoro!T148="",NA(),Fluoro!T148)</f>
        <v>0</v>
      </c>
      <c r="X26" s="328" t="e">
        <f>IF(OR(Fluoro!U148="",Fluoro!V148=""),NA(),Fluoro!V148/Fluoro!U148)</f>
        <v>#DIV/0!</v>
      </c>
      <c r="Y26" s="332" t="e">
        <f>NA()</f>
        <v>#N/A</v>
      </c>
      <c r="Z26" s="328"/>
      <c r="AA26" s="328"/>
      <c r="AB26" s="328"/>
    </row>
    <row r="27" spans="1:28" ht="12.75" customHeight="1" x14ac:dyDescent="0.2">
      <c r="A27" s="329">
        <v>7.2</v>
      </c>
      <c r="B27" s="333">
        <v>4.5</v>
      </c>
      <c r="N27" s="328"/>
      <c r="O27" s="328">
        <f>IF(Fluoro!T117="",NA(),Fluoro!T117)</f>
        <v>0</v>
      </c>
      <c r="P27" s="328" t="e">
        <f>IF(OR(Fluoro!U117="",Fluoro!V117=""),NA(),Fluoro!V117/Fluoro!U117)</f>
        <v>#DIV/0!</v>
      </c>
      <c r="Q27" s="332" t="e">
        <f>NA()</f>
        <v>#N/A</v>
      </c>
      <c r="R27" s="328"/>
      <c r="S27" s="328"/>
      <c r="T27" s="328"/>
      <c r="V27" s="328"/>
      <c r="W27" s="328">
        <f>IF(Fluoro!T149="",NA(),Fluoro!T149)</f>
        <v>0</v>
      </c>
      <c r="X27" s="328" t="e">
        <f>IF(OR(Fluoro!U149="",Fluoro!V149=""),NA(),Fluoro!V149/Fluoro!U149)</f>
        <v>#DIV/0!</v>
      </c>
      <c r="Y27" s="332" t="e">
        <f>NA()</f>
        <v>#N/A</v>
      </c>
      <c r="Z27" s="328"/>
      <c r="AA27" s="328"/>
      <c r="AB27" s="328"/>
    </row>
    <row r="28" spans="1:28" ht="12.75" customHeight="1" x14ac:dyDescent="0.2">
      <c r="A28" s="329">
        <v>7.3</v>
      </c>
      <c r="B28" s="333">
        <v>5</v>
      </c>
      <c r="N28" s="328"/>
      <c r="O28" s="328">
        <f>IF(Fluoro!T118="",NA(),Fluoro!T118)</f>
        <v>0</v>
      </c>
      <c r="P28" s="328" t="e">
        <f>IF(OR(Fluoro!U118="",Fluoro!V118=""),NA(),Fluoro!V118/Fluoro!U118)</f>
        <v>#DIV/0!</v>
      </c>
      <c r="Q28" s="332" t="e">
        <f>NA()</f>
        <v>#N/A</v>
      </c>
      <c r="R28" s="328"/>
      <c r="S28" s="328"/>
      <c r="T28" s="328"/>
      <c r="V28" s="328"/>
      <c r="W28" s="328">
        <f>IF(Fluoro!T150="",NA(),Fluoro!T150)</f>
        <v>0</v>
      </c>
      <c r="X28" s="328" t="e">
        <f>IF(OR(Fluoro!U150="",Fluoro!V150=""),NA(),Fluoro!V150/Fluoro!U150)</f>
        <v>#DIV/0!</v>
      </c>
      <c r="Y28" s="332" t="e">
        <f>NA()</f>
        <v>#N/A</v>
      </c>
      <c r="Z28" s="328"/>
      <c r="AA28" s="328"/>
      <c r="AB28" s="328"/>
    </row>
    <row r="29" spans="1:28" ht="12.75" customHeight="1" x14ac:dyDescent="0.2">
      <c r="N29" s="328"/>
      <c r="O29" s="328">
        <f>IF(Fluoro!T119="",NA(),Fluoro!T119)</f>
        <v>0</v>
      </c>
      <c r="P29" s="328" t="e">
        <f>IF(OR(Fluoro!U119="",Fluoro!V119=""),NA(),Fluoro!V119/Fluoro!U119)</f>
        <v>#DIV/0!</v>
      </c>
      <c r="Q29" s="332" t="e">
        <f>NA()</f>
        <v>#N/A</v>
      </c>
      <c r="R29" s="328"/>
      <c r="S29" s="328"/>
      <c r="T29" s="328"/>
      <c r="V29" s="328"/>
      <c r="W29" s="328">
        <f>IF(Fluoro!T151="",NA(),Fluoro!T151)</f>
        <v>0</v>
      </c>
      <c r="X29" s="328" t="e">
        <f>IF(OR(Fluoro!U151="",Fluoro!V151=""),NA(),Fluoro!V151/Fluoro!U151)</f>
        <v>#DIV/0!</v>
      </c>
      <c r="Y29" s="332" t="e">
        <f>NA()</f>
        <v>#N/A</v>
      </c>
      <c r="Z29" s="328"/>
      <c r="AA29" s="328"/>
      <c r="AB29" s="328"/>
    </row>
    <row r="30" spans="1:28" ht="12.75" customHeight="1" x14ac:dyDescent="0.2">
      <c r="A30" s="213" t="s">
        <v>418</v>
      </c>
      <c r="B30" s="213">
        <v>65</v>
      </c>
      <c r="C30" s="213">
        <v>70</v>
      </c>
      <c r="D30" s="213">
        <v>75</v>
      </c>
      <c r="E30" s="213">
        <v>80</v>
      </c>
      <c r="N30" s="328"/>
      <c r="O30" s="328">
        <f>IF(Fluoro!T120="",NA(),Fluoro!T120)</f>
        <v>0</v>
      </c>
      <c r="P30" s="328" t="e">
        <f>IF(OR(Fluoro!U120="",Fluoro!V120=""),NA(),Fluoro!V120/Fluoro!U120)</f>
        <v>#DIV/0!</v>
      </c>
      <c r="Q30" s="332" t="e">
        <f>NA()</f>
        <v>#N/A</v>
      </c>
      <c r="R30" s="328"/>
      <c r="S30" s="328"/>
      <c r="T30" s="328"/>
      <c r="V30" s="328"/>
      <c r="W30" s="328">
        <f>IF(Fluoro!T152="",NA(),Fluoro!T152)</f>
        <v>0</v>
      </c>
      <c r="X30" s="328" t="e">
        <f>IF(OR(Fluoro!U152="",Fluoro!V152=""),NA(),Fluoro!V152/Fluoro!U152)</f>
        <v>#DIV/0!</v>
      </c>
      <c r="Y30" s="332" t="e">
        <f>NA()</f>
        <v>#N/A</v>
      </c>
      <c r="Z30" s="328"/>
      <c r="AA30" s="328"/>
      <c r="AB30" s="328"/>
    </row>
    <row r="31" spans="1:28" ht="12.75" customHeight="1" x14ac:dyDescent="0.2">
      <c r="A31" s="334">
        <v>1.2E-2</v>
      </c>
      <c r="B31" s="334">
        <v>1.1900000000000001E-2</v>
      </c>
      <c r="C31" s="334">
        <v>1.0999999999999999E-2</v>
      </c>
      <c r="D31" s="334">
        <v>1.03E-2</v>
      </c>
      <c r="E31" s="334">
        <v>9.7000000000000003E-3</v>
      </c>
      <c r="J31" s="1" t="s">
        <v>419</v>
      </c>
      <c r="N31" s="328"/>
      <c r="O31" s="328">
        <f>IF(Fluoro!T121="",NA(),Fluoro!T121)</f>
        <v>0</v>
      </c>
      <c r="P31" s="328" t="e">
        <f>IF(OR(Fluoro!U121="",Fluoro!V121=""),NA(),Fluoro!V121/Fluoro!U121)</f>
        <v>#DIV/0!</v>
      </c>
      <c r="Q31" s="332" t="e">
        <f>NA()</f>
        <v>#N/A</v>
      </c>
      <c r="R31" s="328"/>
      <c r="S31" s="328"/>
      <c r="T31" s="328"/>
      <c r="V31" s="328"/>
      <c r="W31" s="328">
        <f>IF(Fluoro!T153="",NA(),Fluoro!T153)</f>
        <v>0</v>
      </c>
      <c r="X31" s="328" t="e">
        <f>IF(OR(Fluoro!U153="",Fluoro!V153=""),NA(),Fluoro!V153/Fluoro!U153)</f>
        <v>#DIV/0!</v>
      </c>
      <c r="Y31" s="332" t="e">
        <f>NA()</f>
        <v>#N/A</v>
      </c>
      <c r="Z31" s="328"/>
      <c r="AA31" s="328"/>
      <c r="AB31" s="328"/>
    </row>
    <row r="32" spans="1:28" ht="12.75" customHeight="1" x14ac:dyDescent="0.2">
      <c r="A32" s="334">
        <v>1.6E-2</v>
      </c>
      <c r="B32" s="334">
        <v>1.6799999999999999E-2</v>
      </c>
      <c r="C32" s="334">
        <v>1.55E-2</v>
      </c>
      <c r="D32" s="334">
        <v>1.4500000000000001E-2</v>
      </c>
      <c r="E32" s="334">
        <v>1.38E-2</v>
      </c>
      <c r="N32" s="328"/>
      <c r="O32" s="328">
        <f>IF(Fluoro!T122="",NA(),Fluoro!T122)</f>
        <v>0</v>
      </c>
      <c r="P32" s="328" t="e">
        <f>IF(OR(Fluoro!U122="",Fluoro!V122=""),NA(),Fluoro!V122/Fluoro!U122)</f>
        <v>#DIV/0!</v>
      </c>
      <c r="Q32" s="332" t="e">
        <f>NA()</f>
        <v>#N/A</v>
      </c>
      <c r="R32" s="328"/>
      <c r="S32" s="328"/>
      <c r="T32" s="328"/>
      <c r="V32" s="328"/>
      <c r="W32" s="328">
        <f>IF(Fluoro!T154="",NA(),Fluoro!T154)</f>
        <v>0</v>
      </c>
      <c r="X32" s="328" t="e">
        <f>IF(OR(Fluoro!U154="",Fluoro!V154=""),NA(),Fluoro!V154/Fluoro!U154)</f>
        <v>#DIV/0!</v>
      </c>
      <c r="Y32" s="332" t="e">
        <f>NA()</f>
        <v>#N/A</v>
      </c>
      <c r="Z32" s="328"/>
      <c r="AA32" s="328"/>
      <c r="AB32" s="328"/>
    </row>
    <row r="33" spans="1:28" ht="12.75" customHeight="1" x14ac:dyDescent="0.2">
      <c r="A33" s="334">
        <v>2.3E-2</v>
      </c>
      <c r="B33" s="334">
        <v>2.3199999999999998E-2</v>
      </c>
      <c r="C33" s="334">
        <v>2.1499999999999998E-2</v>
      </c>
      <c r="D33" s="334">
        <v>2.01E-2</v>
      </c>
      <c r="E33" s="334">
        <v>1.9E-2</v>
      </c>
      <c r="N33" s="328"/>
      <c r="O33" s="328">
        <f>IF(Fluoro!T123="",NA(),Fluoro!T123)</f>
        <v>0</v>
      </c>
      <c r="P33" s="328" t="e">
        <f>IF(OR(Fluoro!U123="",Fluoro!V123=""),NA(),Fluoro!V123/Fluoro!U123)</f>
        <v>#DIV/0!</v>
      </c>
      <c r="Q33" s="332" t="e">
        <f>NA()</f>
        <v>#N/A</v>
      </c>
      <c r="R33" s="328"/>
      <c r="S33" s="328"/>
      <c r="T33" s="328"/>
      <c r="V33" s="328"/>
      <c r="W33" s="328">
        <f>IF(Fluoro!T155="",NA(),Fluoro!T155)</f>
        <v>0</v>
      </c>
      <c r="X33" s="328" t="e">
        <f>IF(OR(Fluoro!U155="",Fluoro!V155=""),NA(),Fluoro!V155/Fluoro!U155)</f>
        <v>#DIV/0!</v>
      </c>
      <c r="Y33" s="332" t="e">
        <f>NA()</f>
        <v>#N/A</v>
      </c>
      <c r="Z33" s="328"/>
      <c r="AA33" s="328"/>
      <c r="AB33" s="328"/>
    </row>
    <row r="34" spans="1:28" ht="12.75" customHeight="1" x14ac:dyDescent="0.2">
      <c r="A34" s="334">
        <v>3.2000000000000001E-2</v>
      </c>
      <c r="B34" s="334">
        <v>3.4700000000000002E-2</v>
      </c>
      <c r="C34" s="334">
        <v>3.2199999999999999E-2</v>
      </c>
      <c r="D34" s="334">
        <v>3.0099999999999998E-2</v>
      </c>
      <c r="E34" s="334">
        <v>2.8500000000000001E-2</v>
      </c>
      <c r="N34" s="335" t="s">
        <v>417</v>
      </c>
      <c r="O34" s="336">
        <f>IF(Fluoro!T124="",NA(),Fluoro!T124)</f>
        <v>0</v>
      </c>
      <c r="P34" s="336" t="e">
        <f>IF(OR(Fluoro!U124="",Fluoro!V124=""),NA(),Fluoro!V124/Fluoro!U124)</f>
        <v>#DIV/0!</v>
      </c>
      <c r="Q34" s="337" t="e">
        <f>NA()</f>
        <v>#N/A</v>
      </c>
      <c r="R34" s="328"/>
      <c r="S34" s="328"/>
      <c r="T34" s="328"/>
      <c r="V34" s="335" t="s">
        <v>417</v>
      </c>
      <c r="W34" s="336">
        <f>IF(Fluoro!T156="",NA(),Fluoro!T156)</f>
        <v>0</v>
      </c>
      <c r="X34" s="336" t="e">
        <f>IF(OR(Fluoro!U156="",Fluoro!V156=""),NA(),Fluoro!V156/Fluoro!U156)</f>
        <v>#DIV/0!</v>
      </c>
      <c r="Y34" s="337" t="e">
        <f>NA()</f>
        <v>#N/A</v>
      </c>
      <c r="Z34" s="328"/>
      <c r="AA34" s="328"/>
      <c r="AB34" s="328"/>
    </row>
    <row r="35" spans="1:28" ht="12.75" customHeight="1" x14ac:dyDescent="0.2">
      <c r="A35" s="334">
        <v>4.4999999999999998E-2</v>
      </c>
      <c r="B35" s="334">
        <v>5.1200000000000002E-2</v>
      </c>
      <c r="C35" s="334">
        <v>4.4999999999999998E-2</v>
      </c>
      <c r="D35" s="334">
        <v>3.9899999999999998E-2</v>
      </c>
      <c r="E35" s="334">
        <v>3.5999999999999997E-2</v>
      </c>
      <c r="N35" s="239"/>
      <c r="O35" s="328">
        <f>IF(Fluoro!W109="",NA(),Fluoro!W109)</f>
        <v>0</v>
      </c>
      <c r="P35" s="328" t="e">
        <f>IF(NOT(Fluoro!$O$102=1),IF(OR(Fluoro!X109="",Fluoro!Y109=""),NA(),Fluoro!Y109/Fluoro!X109),NA())</f>
        <v>#N/A</v>
      </c>
      <c r="Q35" s="332" t="e">
        <f>IF(Fluoro!$O$102=1,IF(OR(Fluoro!X109=0,Fluoro!Y109=0),NA(),Fluoro!Y109/Fluoro!X109),NA())</f>
        <v>#N/A</v>
      </c>
      <c r="R35" s="328"/>
      <c r="S35" s="328"/>
      <c r="T35" s="328"/>
      <c r="V35" s="239"/>
      <c r="W35" s="328">
        <f>IF(Fluoro!W141="",NA(),Fluoro!W141)</f>
        <v>0</v>
      </c>
      <c r="X35" s="328" t="e">
        <f>IF(NOT(Fluoro!$O$102=1),IF(OR(Fluoro!X141="",Fluoro!Y141=""),NA(),Fluoro!Y141/Fluoro!X141),NA())</f>
        <v>#N/A</v>
      </c>
      <c r="Y35" s="332" t="e">
        <f>IF(Fluoro!$O$102=1,IF(OR(Fluoro!X141=0,Fluoro!Y141=0),NA(),Fluoro!Y141/Fluoro!X141),NA())</f>
        <v>#N/A</v>
      </c>
      <c r="Z35" s="328"/>
      <c r="AA35" s="328"/>
      <c r="AB35" s="328"/>
    </row>
    <row r="36" spans="1:28" ht="12.75" customHeight="1" x14ac:dyDescent="0.2">
      <c r="A36" s="334">
        <v>6.6000000000000003E-2</v>
      </c>
      <c r="B36" s="334">
        <v>7.6600000000000001E-2</v>
      </c>
      <c r="C36" s="334">
        <v>6.7400000000000002E-2</v>
      </c>
      <c r="D36" s="334">
        <v>5.9900000000000002E-2</v>
      </c>
      <c r="E36" s="334">
        <v>5.4199999999999998E-2</v>
      </c>
      <c r="N36" s="239"/>
      <c r="O36" s="328">
        <f>IF(Fluoro!W110="",NA(),Fluoro!W110)</f>
        <v>0</v>
      </c>
      <c r="P36" s="328" t="e">
        <f>IF(NOT(Fluoro!$O$102=1),IF(OR(Fluoro!X110="",Fluoro!Y110=""),NA(),Fluoro!Y110/Fluoro!X110),NA())</f>
        <v>#N/A</v>
      </c>
      <c r="Q36" s="332" t="e">
        <f>IF(Fluoro!$O$102=1,IF(OR(Fluoro!X110=0,Fluoro!Y110=0),NA(),Fluoro!Y110/Fluoro!X110),NA())</f>
        <v>#N/A</v>
      </c>
      <c r="R36" s="328"/>
      <c r="S36" s="328"/>
      <c r="T36" s="328"/>
      <c r="V36" s="239"/>
      <c r="W36" s="328">
        <f>IF(Fluoro!W142="",NA(),Fluoro!W142)</f>
        <v>0</v>
      </c>
      <c r="X36" s="328" t="e">
        <f>IF(NOT(Fluoro!$O$102=1),IF(OR(Fluoro!X142="",Fluoro!Y142=""),NA(),Fluoro!Y142/Fluoro!X142),NA())</f>
        <v>#N/A</v>
      </c>
      <c r="Y36" s="332" t="e">
        <f>IF(Fluoro!$O$102=1,IF(OR(Fluoro!X142=0,Fluoro!Y142=0),NA(),Fluoro!Y142/Fluoro!X142),NA())</f>
        <v>#N/A</v>
      </c>
      <c r="Z36" s="328"/>
      <c r="AA36" s="328"/>
      <c r="AB36" s="328"/>
    </row>
    <row r="37" spans="1:28" ht="12.75" customHeight="1" x14ac:dyDescent="0.2">
      <c r="A37" s="334">
        <v>8.5999999999999993E-2</v>
      </c>
      <c r="B37" s="334">
        <v>9.9299999999999999E-2</v>
      </c>
      <c r="C37" s="334">
        <v>8.7599999999999997E-2</v>
      </c>
      <c r="D37" s="334">
        <v>7.8E-2</v>
      </c>
      <c r="E37" s="334">
        <v>7.0499999999999993E-2</v>
      </c>
      <c r="N37" s="239"/>
      <c r="O37" s="328">
        <f>IF(Fluoro!W111="",NA(),Fluoro!W111)</f>
        <v>0</v>
      </c>
      <c r="P37" s="328" t="e">
        <f>IF(NOT(Fluoro!$O$102=1),IF(OR(Fluoro!X111="",Fluoro!Y111=""),NA(),Fluoro!Y111/Fluoro!X111),NA())</f>
        <v>#N/A</v>
      </c>
      <c r="Q37" s="332" t="e">
        <f>IF(Fluoro!$O$102=1,IF(OR(Fluoro!X111=0,Fluoro!Y111=0),NA(),Fluoro!Y111/Fluoro!X111),NA())</f>
        <v>#N/A</v>
      </c>
      <c r="R37" s="328"/>
      <c r="S37" s="328"/>
      <c r="T37" s="328"/>
      <c r="V37" s="239"/>
      <c r="W37" s="328">
        <f>IF(Fluoro!W143="",NA(),Fluoro!W143)</f>
        <v>0</v>
      </c>
      <c r="X37" s="328" t="e">
        <f>IF(NOT(Fluoro!$O$102=1),IF(OR(Fluoro!X143="",Fluoro!Y143=""),NA(),Fluoro!Y143/Fluoro!X143),NA())</f>
        <v>#N/A</v>
      </c>
      <c r="Y37" s="332" t="e">
        <f>IF(Fluoro!$O$102=1,IF(OR(Fluoro!X143=0,Fluoro!Y143=0),NA(),Fluoro!Y143/Fluoro!X143),NA())</f>
        <v>#N/A</v>
      </c>
      <c r="Z37" s="328"/>
      <c r="AA37" s="328"/>
      <c r="AB37" s="328"/>
    </row>
    <row r="38" spans="1:28" ht="12.75" customHeight="1" x14ac:dyDescent="0.2">
      <c r="A38" s="334">
        <v>0.123</v>
      </c>
      <c r="B38" s="334">
        <v>0.14499999999999999</v>
      </c>
      <c r="C38" s="334">
        <v>0.128</v>
      </c>
      <c r="D38" s="334">
        <v>0.114</v>
      </c>
      <c r="E38" s="334">
        <v>0.104</v>
      </c>
      <c r="N38" s="239"/>
      <c r="O38" s="328">
        <f>IF(Fluoro!W112="",NA(),Fluoro!W112)</f>
        <v>0</v>
      </c>
      <c r="P38" s="328" t="e">
        <f>IF(NOT(Fluoro!$O$102=1),IF(OR(Fluoro!X112="",Fluoro!Y112=""),NA(),Fluoro!Y112/Fluoro!X112),NA())</f>
        <v>#N/A</v>
      </c>
      <c r="Q38" s="332" t="e">
        <f>IF(Fluoro!$O$102=1,IF(OR(Fluoro!X112=0,Fluoro!Y112=0),NA(),Fluoro!Y112/Fluoro!X112),NA())</f>
        <v>#N/A</v>
      </c>
      <c r="R38" s="328"/>
      <c r="S38" s="328"/>
      <c r="T38" s="328"/>
      <c r="V38" s="239"/>
      <c r="W38" s="328">
        <f>IF(Fluoro!W144="",NA(),Fluoro!W144)</f>
        <v>0</v>
      </c>
      <c r="X38" s="328" t="e">
        <f>IF(NOT(Fluoro!$O$102=1),IF(OR(Fluoro!X144="",Fluoro!Y144=""),NA(),Fluoro!Y144/Fluoro!X144),NA())</f>
        <v>#N/A</v>
      </c>
      <c r="Y38" s="332" t="e">
        <f>IF(Fluoro!$O$102=1,IF(OR(Fluoro!X144=0,Fluoro!Y144=0),NA(),Fluoro!Y144/Fluoro!X144),NA())</f>
        <v>#N/A</v>
      </c>
      <c r="Z38" s="328"/>
      <c r="AA38" s="328"/>
      <c r="AB38" s="328"/>
    </row>
    <row r="39" spans="1:28" ht="12.75" customHeight="1" x14ac:dyDescent="0.2">
      <c r="A39" s="334">
        <v>0.16</v>
      </c>
      <c r="B39" s="334">
        <v>0.188</v>
      </c>
      <c r="C39" s="334">
        <v>0.16700000000000001</v>
      </c>
      <c r="D39" s="334">
        <v>0.14899999999999999</v>
      </c>
      <c r="E39" s="334">
        <v>0.13500000000000001</v>
      </c>
      <c r="N39" s="239"/>
      <c r="O39" s="328">
        <f>IF(Fluoro!W113="",NA(),Fluoro!W113)</f>
        <v>0</v>
      </c>
      <c r="P39" s="328" t="e">
        <f>IF(NOT(Fluoro!$O$102=1),IF(OR(Fluoro!X113="",Fluoro!Y113=""),NA(),Fluoro!Y113/Fluoro!X113),NA())</f>
        <v>#N/A</v>
      </c>
      <c r="Q39" s="332" t="e">
        <f>IF(Fluoro!$O$102=1,IF(OR(Fluoro!X113=0,Fluoro!Y113=0),NA(),Fluoro!Y113/Fluoro!X113),NA())</f>
        <v>#N/A</v>
      </c>
      <c r="R39" s="328"/>
      <c r="S39" s="328"/>
      <c r="T39" s="328"/>
      <c r="V39" s="239"/>
      <c r="W39" s="328">
        <f>IF(Fluoro!W145="",NA(),Fluoro!W145)</f>
        <v>0</v>
      </c>
      <c r="X39" s="328" t="e">
        <f>IF(NOT(Fluoro!$O$102=1),IF(OR(Fluoro!X145="",Fluoro!Y145=""),NA(),Fluoro!Y145/Fluoro!X145),NA())</f>
        <v>#N/A</v>
      </c>
      <c r="Y39" s="332" t="e">
        <f>IF(Fluoro!$O$102=1,IF(OR(Fluoro!X145=0,Fluoro!Y145=0),NA(),Fluoro!Y145/Fluoro!X145),NA())</f>
        <v>#N/A</v>
      </c>
      <c r="Z39" s="328"/>
      <c r="AA39" s="328"/>
      <c r="AB39" s="328"/>
    </row>
    <row r="40" spans="1:28" ht="12.75" customHeight="1" x14ac:dyDescent="0.2">
      <c r="A40" s="334">
        <v>0.23</v>
      </c>
      <c r="B40" s="334">
        <v>0.26700000000000002</v>
      </c>
      <c r="C40" s="334">
        <v>0.23799999999999999</v>
      </c>
      <c r="D40" s="334">
        <v>0.214</v>
      </c>
      <c r="E40" s="334">
        <v>0.19400000000000001</v>
      </c>
      <c r="N40" s="239"/>
      <c r="O40" s="328">
        <f>IF(Fluoro!W114="",NA(),Fluoro!W114)</f>
        <v>0</v>
      </c>
      <c r="P40" s="328" t="e">
        <f>IF(NOT(Fluoro!$O$102=1),IF(OR(Fluoro!X114="",Fluoro!Y114=""),NA(),Fluoro!Y114/Fluoro!X114),NA())</f>
        <v>#N/A</v>
      </c>
      <c r="Q40" s="332" t="e">
        <f>IF(Fluoro!$O$102=1,IF(OR(Fluoro!X114=0,Fluoro!Y114=0),NA(),Fluoro!Y114/Fluoro!X114),NA())</f>
        <v>#N/A</v>
      </c>
      <c r="R40" s="328"/>
      <c r="S40" s="328"/>
      <c r="T40" s="328"/>
      <c r="V40" s="239"/>
      <c r="W40" s="328">
        <f>IF(Fluoro!W146="",NA(),Fluoro!W146)</f>
        <v>0</v>
      </c>
      <c r="X40" s="328" t="e">
        <f>IF(NOT(Fluoro!$O$102=1),IF(OR(Fluoro!X146="",Fluoro!Y146=""),NA(),Fluoro!Y146/Fluoro!X146),NA())</f>
        <v>#N/A</v>
      </c>
      <c r="Y40" s="332" t="e">
        <f>IF(Fluoro!$O$102=1,IF(OR(Fluoro!X146=0,Fluoro!Y146=0),NA(),Fluoro!Y146/Fluoro!X146),NA())</f>
        <v>#N/A</v>
      </c>
      <c r="Z40" s="328"/>
      <c r="AA40" s="328"/>
      <c r="AB40" s="328"/>
    </row>
    <row r="41" spans="1:28" ht="12.75" customHeight="1" x14ac:dyDescent="0.2">
      <c r="A41" s="334">
        <v>0.35</v>
      </c>
      <c r="B41" s="334">
        <v>0.39900000000000002</v>
      </c>
      <c r="C41" s="334">
        <v>0.36</v>
      </c>
      <c r="D41" s="334">
        <v>0.32700000000000001</v>
      </c>
      <c r="E41" s="334">
        <v>0.29899999999999999</v>
      </c>
      <c r="N41" s="239"/>
      <c r="O41" s="328">
        <f>IF(Fluoro!W115="",NA(),Fluoro!W115)</f>
        <v>0</v>
      </c>
      <c r="P41" s="328" t="e">
        <f>IF(NOT(Fluoro!$O$102=1),IF(OR(Fluoro!X115="",Fluoro!Y115=""),NA(),Fluoro!Y115/Fluoro!X115),NA())</f>
        <v>#N/A</v>
      </c>
      <c r="Q41" s="332" t="e">
        <f>IF(Fluoro!$O$102=1,IF(OR(Fluoro!X115=0,Fluoro!Y115=0),NA(),Fluoro!Y115/Fluoro!X115),NA())</f>
        <v>#N/A</v>
      </c>
      <c r="R41" s="328"/>
      <c r="S41" s="328"/>
      <c r="T41" s="328"/>
      <c r="V41" s="239"/>
      <c r="W41" s="328">
        <f>IF(Fluoro!W147="",NA(),Fluoro!W147)</f>
        <v>0</v>
      </c>
      <c r="X41" s="328" t="e">
        <f>IF(NOT(Fluoro!$O$102=1),IF(OR(Fluoro!X147="",Fluoro!Y147=""),NA(),Fluoro!Y147/Fluoro!X147),NA())</f>
        <v>#N/A</v>
      </c>
      <c r="Y41" s="332" t="e">
        <f>IF(Fluoro!$O$102=1,IF(OR(Fluoro!X147=0,Fluoro!Y147=0),NA(),Fluoro!Y147/Fluoro!X147),NA())</f>
        <v>#N/A</v>
      </c>
      <c r="Z41" s="328"/>
      <c r="AA41" s="328"/>
      <c r="AB41" s="328"/>
    </row>
    <row r="42" spans="1:28" ht="12.75" customHeight="1" x14ac:dyDescent="0.2">
      <c r="A42" s="334">
        <v>0.5</v>
      </c>
      <c r="B42" s="334">
        <v>0.61799999999999999</v>
      </c>
      <c r="C42" s="334">
        <v>0.57299999999999995</v>
      </c>
      <c r="D42" s="334">
        <v>0.53300000000000003</v>
      </c>
      <c r="E42" s="334">
        <v>0.497</v>
      </c>
      <c r="N42" s="239"/>
      <c r="O42" s="328">
        <f>IF(Fluoro!W116="",NA(),Fluoro!W116)</f>
        <v>0</v>
      </c>
      <c r="P42" s="328" t="e">
        <f>IF(NOT(Fluoro!$O$102=1),IF(OR(Fluoro!X116="",Fluoro!Y116=""),NA(),Fluoro!Y116/Fluoro!X116),NA())</f>
        <v>#N/A</v>
      </c>
      <c r="Q42" s="332" t="e">
        <f>IF(Fluoro!$O$102=1,IF(OR(Fluoro!X116=0,Fluoro!Y116=0),NA(),Fluoro!Y116/Fluoro!X116),NA())</f>
        <v>#N/A</v>
      </c>
      <c r="R42" s="328"/>
      <c r="S42" s="328"/>
      <c r="T42" s="328"/>
      <c r="V42" s="239"/>
      <c r="W42" s="328">
        <f>IF(Fluoro!W148="",NA(),Fluoro!W148)</f>
        <v>0</v>
      </c>
      <c r="X42" s="328" t="e">
        <f>IF(NOT(Fluoro!$O$102=1),IF(OR(Fluoro!X148="",Fluoro!Y148=""),NA(),Fluoro!Y148/Fluoro!X148),NA())</f>
        <v>#N/A</v>
      </c>
      <c r="Y42" s="332" t="e">
        <f>IF(Fluoro!$O$102=1,IF(OR(Fluoro!X148=0,Fluoro!Y148=0),NA(),Fluoro!Y148/Fluoro!X148),NA())</f>
        <v>#N/A</v>
      </c>
      <c r="Z42" s="328"/>
      <c r="AA42" s="328"/>
      <c r="AB42" s="328"/>
    </row>
    <row r="43" spans="1:28" ht="12.75" customHeight="1" x14ac:dyDescent="0.2">
      <c r="A43" s="334">
        <v>0.66</v>
      </c>
      <c r="B43" s="334">
        <v>0.76900000000000002</v>
      </c>
      <c r="C43" s="334">
        <v>0.72599999999999998</v>
      </c>
      <c r="D43" s="334">
        <v>0.68600000000000005</v>
      </c>
      <c r="E43" s="334">
        <v>0.64900000000000002</v>
      </c>
      <c r="N43" s="328"/>
      <c r="O43" s="328">
        <f>IF(Fluoro!W117="",NA(),Fluoro!W117)</f>
        <v>0</v>
      </c>
      <c r="P43" s="328" t="e">
        <f>IF(NOT(Fluoro!$O$102=1),IF(OR(Fluoro!X117="",Fluoro!Y117=""),NA(),Fluoro!Y117/Fluoro!X117),NA())</f>
        <v>#N/A</v>
      </c>
      <c r="Q43" s="332" t="e">
        <f>IF(Fluoro!$O$102=1,IF(OR(Fluoro!X117=0,Fluoro!Y117=0),NA(),Fluoro!Y117/Fluoro!X117),NA())</f>
        <v>#N/A</v>
      </c>
      <c r="R43" s="328"/>
      <c r="S43" s="328"/>
      <c r="T43" s="328"/>
      <c r="V43" s="328"/>
      <c r="W43" s="328">
        <f>IF(Fluoro!W149="",NA(),Fluoro!W149)</f>
        <v>0</v>
      </c>
      <c r="X43" s="328" t="e">
        <f>IF(NOT(Fluoro!$O$102=1),IF(OR(Fluoro!X149="",Fluoro!Y149=""),NA(),Fluoro!Y149/Fluoro!X149),NA())</f>
        <v>#N/A</v>
      </c>
      <c r="Y43" s="332" t="e">
        <f>IF(Fluoro!$O$102=1,IF(OR(Fluoro!X149=0,Fluoro!Y149=0),NA(),Fluoro!Y149/Fluoro!X149),NA())</f>
        <v>#N/A</v>
      </c>
      <c r="Z43" s="328"/>
      <c r="AA43" s="328"/>
      <c r="AB43" s="328"/>
    </row>
    <row r="44" spans="1:28" ht="12.75" customHeight="1" x14ac:dyDescent="0.2">
      <c r="A44" s="334">
        <v>0.93</v>
      </c>
      <c r="B44" s="334">
        <v>0.96899999999999997</v>
      </c>
      <c r="C44" s="334">
        <v>0.95399999999999996</v>
      </c>
      <c r="D44" s="334">
        <v>0.93600000000000005</v>
      </c>
      <c r="E44" s="334">
        <v>0.91500000000000004</v>
      </c>
      <c r="N44" s="328"/>
      <c r="O44" s="328">
        <f>IF(Fluoro!W118="",NA(),Fluoro!W118)</f>
        <v>0</v>
      </c>
      <c r="P44" s="328" t="e">
        <f>IF(NOT(Fluoro!$O$102=1),IF(OR(Fluoro!X118="",Fluoro!Y118=""),NA(),Fluoro!Y118/Fluoro!X118),NA())</f>
        <v>#N/A</v>
      </c>
      <c r="Q44" s="332" t="e">
        <f>IF(Fluoro!$O$102=1,IF(OR(Fluoro!X118=0,Fluoro!Y118=0),NA(),Fluoro!Y118/Fluoro!X118),NA())</f>
        <v>#N/A</v>
      </c>
      <c r="R44" s="328"/>
      <c r="S44" s="328"/>
      <c r="T44" s="328"/>
      <c r="V44" s="328"/>
      <c r="W44" s="328">
        <f>IF(Fluoro!W150="",NA(),Fluoro!W150)</f>
        <v>0</v>
      </c>
      <c r="X44" s="328" t="e">
        <f>IF(NOT(Fluoro!$O$102=1),IF(OR(Fluoro!X150="",Fluoro!Y150=""),NA(),Fluoro!Y150/Fluoro!X150),NA())</f>
        <v>#N/A</v>
      </c>
      <c r="Y44" s="332" t="e">
        <f>IF(Fluoro!$O$102=1,IF(OR(Fluoro!X150=0,Fluoro!Y150=0),NA(),Fluoro!Y150/Fluoro!X150),NA())</f>
        <v>#N/A</v>
      </c>
      <c r="Z44" s="328"/>
      <c r="AA44" s="328"/>
      <c r="AB44" s="328"/>
    </row>
    <row r="45" spans="1:28" ht="12.75" customHeight="1" x14ac:dyDescent="0.2">
      <c r="N45" s="328"/>
      <c r="O45" s="328">
        <f>IF(Fluoro!W119="",NA(),Fluoro!W119)</f>
        <v>0</v>
      </c>
      <c r="P45" s="328" t="e">
        <f>IF(NOT(Fluoro!$O$102=1),IF(OR(Fluoro!X119="",Fluoro!Y119=""),NA(),Fluoro!Y119/Fluoro!X119),NA())</f>
        <v>#N/A</v>
      </c>
      <c r="Q45" s="332" t="e">
        <f>IF(Fluoro!$O$102=1,IF(OR(Fluoro!X119=0,Fluoro!Y119=0),NA(),Fluoro!Y119/Fluoro!X119),NA())</f>
        <v>#N/A</v>
      </c>
      <c r="R45" s="328"/>
      <c r="S45" s="328"/>
      <c r="T45" s="328"/>
      <c r="V45" s="328"/>
      <c r="W45" s="328">
        <f>IF(Fluoro!W151="",NA(),Fluoro!W151)</f>
        <v>0</v>
      </c>
      <c r="X45" s="328" t="e">
        <f>IF(NOT(Fluoro!$O$102=1),IF(OR(Fluoro!X151="",Fluoro!Y151=""),NA(),Fluoro!Y151/Fluoro!X151),NA())</f>
        <v>#N/A</v>
      </c>
      <c r="Y45" s="332" t="e">
        <f>IF(Fluoro!$O$102=1,IF(OR(Fluoro!X151=0,Fluoro!Y151=0),NA(),Fluoro!Y151/Fluoro!X151),NA())</f>
        <v>#N/A</v>
      </c>
      <c r="Z45" s="328"/>
      <c r="AA45" s="328"/>
      <c r="AB45" s="328"/>
    </row>
    <row r="46" spans="1:28" ht="12.75" customHeight="1" x14ac:dyDescent="0.2">
      <c r="A46" s="338" t="s">
        <v>350</v>
      </c>
      <c r="B46" s="339" t="s">
        <v>420</v>
      </c>
      <c r="C46" s="213" t="s">
        <v>421</v>
      </c>
      <c r="D46" s="329">
        <v>1</v>
      </c>
      <c r="E46" s="329">
        <v>2</v>
      </c>
      <c r="F46" s="329">
        <v>3</v>
      </c>
      <c r="G46" s="329">
        <v>4</v>
      </c>
      <c r="H46" s="329">
        <v>5</v>
      </c>
      <c r="I46" s="329">
        <v>6</v>
      </c>
      <c r="J46" s="329">
        <v>7</v>
      </c>
      <c r="K46" s="329">
        <v>8</v>
      </c>
      <c r="L46" s="329">
        <v>9</v>
      </c>
      <c r="N46" s="328"/>
      <c r="O46" s="328">
        <f>IF(Fluoro!W120="",NA(),Fluoro!W120)</f>
        <v>0</v>
      </c>
      <c r="P46" s="328" t="e">
        <f>IF(NOT(Fluoro!$O$102=1),IF(OR(Fluoro!X120="",Fluoro!Y120=""),NA(),Fluoro!Y120/Fluoro!X120),NA())</f>
        <v>#N/A</v>
      </c>
      <c r="Q46" s="332" t="e">
        <f>IF(Fluoro!$O$102=1,IF(OR(Fluoro!X120=0,Fluoro!Y120=0),NA(),Fluoro!Y120/Fluoro!X120),NA())</f>
        <v>#N/A</v>
      </c>
      <c r="R46" s="328"/>
      <c r="S46" s="328"/>
      <c r="T46" s="328"/>
      <c r="V46" s="328"/>
      <c r="W46" s="328">
        <f>IF(Fluoro!W152="",NA(),Fluoro!W152)</f>
        <v>0</v>
      </c>
      <c r="X46" s="328" t="e">
        <f>IF(NOT(Fluoro!$O$102=1),IF(OR(Fluoro!X152="",Fluoro!Y152=""),NA(),Fluoro!Y152/Fluoro!X152),NA())</f>
        <v>#N/A</v>
      </c>
      <c r="Y46" s="332" t="e">
        <f>IF(Fluoro!$O$102=1,IF(OR(Fluoro!X152=0,Fluoro!Y152=0),NA(),Fluoro!Y152/Fluoro!X152),NA())</f>
        <v>#N/A</v>
      </c>
      <c r="Z46" s="328"/>
      <c r="AA46" s="328"/>
      <c r="AB46" s="328"/>
    </row>
    <row r="47" spans="1:28" ht="12.75" customHeight="1" x14ac:dyDescent="0.2">
      <c r="A47" s="213" t="s">
        <v>353</v>
      </c>
      <c r="B47" s="339">
        <v>11.1</v>
      </c>
      <c r="C47" s="340">
        <f t="shared" ref="C47:C58" si="0">SQRT(PI()*(B47/2)^2)</f>
        <v>9.8371188725256129</v>
      </c>
      <c r="D47" s="340">
        <v>0.16</v>
      </c>
      <c r="E47" s="340">
        <v>0.123</v>
      </c>
      <c r="F47" s="340">
        <v>8.5999999999999993E-2</v>
      </c>
      <c r="G47" s="340">
        <v>6.6000000000000003E-2</v>
      </c>
      <c r="H47" s="340">
        <v>4.4999999999999998E-2</v>
      </c>
      <c r="I47" s="340">
        <v>3.2000000000000001E-2</v>
      </c>
      <c r="J47" s="340">
        <v>2.3E-2</v>
      </c>
      <c r="K47" s="340">
        <v>1.6E-2</v>
      </c>
      <c r="L47" s="340">
        <v>1.2E-2</v>
      </c>
      <c r="N47" s="328"/>
      <c r="O47" s="328">
        <f>IF(Fluoro!W121="",NA(),Fluoro!W121)</f>
        <v>0</v>
      </c>
      <c r="P47" s="328" t="e">
        <f>IF(NOT(Fluoro!$O$102=1),IF(OR(Fluoro!X121="",Fluoro!Y121=""),NA(),Fluoro!Y121/Fluoro!X121),NA())</f>
        <v>#N/A</v>
      </c>
      <c r="Q47" s="332" t="e">
        <f>IF(Fluoro!$O$102=1,IF(OR(Fluoro!X121=0,Fluoro!Y121=0),NA(),Fluoro!Y121/Fluoro!X121),NA())</f>
        <v>#N/A</v>
      </c>
      <c r="R47" s="328"/>
      <c r="S47" s="328"/>
      <c r="T47" s="328"/>
      <c r="V47" s="328"/>
      <c r="W47" s="328">
        <f>IF(Fluoro!W153="",NA(),Fluoro!W153)</f>
        <v>0</v>
      </c>
      <c r="X47" s="328" t="e">
        <f>IF(NOT(Fluoro!$O$102=1),IF(OR(Fluoro!X153="",Fluoro!Y153=""),NA(),Fluoro!Y153/Fluoro!X153),NA())</f>
        <v>#N/A</v>
      </c>
      <c r="Y47" s="332" t="e">
        <f>IF(Fluoro!$O$102=1,IF(OR(Fluoro!X153=0,Fluoro!Y153=0),NA(),Fluoro!Y153/Fluoro!X153),NA())</f>
        <v>#N/A</v>
      </c>
      <c r="Z47" s="328"/>
      <c r="AA47" s="328"/>
      <c r="AB47" s="328"/>
    </row>
    <row r="48" spans="1:28" ht="12.75" customHeight="1" x14ac:dyDescent="0.2">
      <c r="A48" s="213" t="s">
        <v>354</v>
      </c>
      <c r="B48" s="339">
        <v>7.9</v>
      </c>
      <c r="C48" s="340">
        <f t="shared" si="0"/>
        <v>7.0011927110767882</v>
      </c>
      <c r="D48" s="340">
        <v>0.16</v>
      </c>
      <c r="E48" s="340">
        <v>0.123</v>
      </c>
      <c r="F48" s="340">
        <v>8.5999999999999993E-2</v>
      </c>
      <c r="G48" s="340">
        <v>6.6000000000000003E-2</v>
      </c>
      <c r="H48" s="340">
        <v>4.4999999999999998E-2</v>
      </c>
      <c r="I48" s="340">
        <v>3.2000000000000001E-2</v>
      </c>
      <c r="J48" s="340">
        <v>2.3E-2</v>
      </c>
      <c r="K48" s="340">
        <v>1.6E-2</v>
      </c>
      <c r="L48" s="340">
        <v>1.2E-2</v>
      </c>
      <c r="N48" s="328"/>
      <c r="O48" s="328">
        <f>IF(Fluoro!W122="",NA(),Fluoro!W122)</f>
        <v>0</v>
      </c>
      <c r="P48" s="328" t="e">
        <f>IF(NOT(Fluoro!$O$102=1),IF(OR(Fluoro!X122="",Fluoro!Y122=""),NA(),Fluoro!Y122/Fluoro!X122),NA())</f>
        <v>#N/A</v>
      </c>
      <c r="Q48" s="332" t="e">
        <f>IF(Fluoro!$O$102=1,IF(OR(Fluoro!X122=0,Fluoro!Y122=0),NA(),Fluoro!Y122/Fluoro!X122),NA())</f>
        <v>#N/A</v>
      </c>
      <c r="R48" s="328"/>
      <c r="S48" s="328"/>
      <c r="T48" s="328"/>
      <c r="V48" s="328"/>
      <c r="W48" s="328">
        <f>IF(Fluoro!W154="",NA(),Fluoro!W154)</f>
        <v>0</v>
      </c>
      <c r="X48" s="328" t="e">
        <f>IF(NOT(Fluoro!$O$102=1),IF(OR(Fluoro!X154="",Fluoro!Y154=""),NA(),Fluoro!Y154/Fluoro!X154),NA())</f>
        <v>#N/A</v>
      </c>
      <c r="Y48" s="332" t="e">
        <f>IF(Fluoro!$O$102=1,IF(OR(Fluoro!X154=0,Fluoro!Y154=0),NA(),Fluoro!Y154/Fluoro!X154),NA())</f>
        <v>#N/A</v>
      </c>
      <c r="Z48" s="328"/>
      <c r="AA48" s="328"/>
      <c r="AB48" s="328"/>
    </row>
    <row r="49" spans="1:28" ht="12.75" customHeight="1" x14ac:dyDescent="0.2">
      <c r="A49" s="213" t="s">
        <v>355</v>
      </c>
      <c r="B49" s="339">
        <v>5.6</v>
      </c>
      <c r="C49" s="340">
        <f t="shared" si="0"/>
        <v>4.9628707825354441</v>
      </c>
      <c r="D49" s="340">
        <v>0.16</v>
      </c>
      <c r="E49" s="340">
        <v>0.123</v>
      </c>
      <c r="F49" s="340">
        <v>8.5999999999999993E-2</v>
      </c>
      <c r="G49" s="340">
        <v>6.6000000000000003E-2</v>
      </c>
      <c r="H49" s="340">
        <v>4.4999999999999998E-2</v>
      </c>
      <c r="I49" s="340">
        <v>3.2000000000000001E-2</v>
      </c>
      <c r="J49" s="340">
        <v>2.3E-2</v>
      </c>
      <c r="K49" s="340">
        <v>1.6E-2</v>
      </c>
      <c r="L49" s="340">
        <v>1.2E-2</v>
      </c>
      <c r="N49" s="328"/>
      <c r="O49" s="328">
        <f>IF(Fluoro!W123="",NA(),Fluoro!W123)</f>
        <v>0</v>
      </c>
      <c r="P49" s="328" t="e">
        <f>IF(NOT(Fluoro!$O$102=1),IF(OR(Fluoro!X123="",Fluoro!Y123=""),NA(),Fluoro!Y123/Fluoro!X123),NA())</f>
        <v>#N/A</v>
      </c>
      <c r="Q49" s="332" t="e">
        <f>IF(Fluoro!$O$102=1,IF(OR(Fluoro!X123=0,Fluoro!Y123=0),NA(),Fluoro!Y123/Fluoro!X123),NA())</f>
        <v>#N/A</v>
      </c>
      <c r="R49" s="328"/>
      <c r="S49" s="328"/>
      <c r="T49" s="328"/>
      <c r="V49" s="328"/>
      <c r="W49" s="328">
        <f>IF(Fluoro!W155="",NA(),Fluoro!W155)</f>
        <v>0</v>
      </c>
      <c r="X49" s="328" t="e">
        <f>IF(NOT(Fluoro!$O$102=1),IF(OR(Fluoro!X155="",Fluoro!Y155=""),NA(),Fluoro!Y155/Fluoro!X155),NA())</f>
        <v>#N/A</v>
      </c>
      <c r="Y49" s="332" t="e">
        <f>IF(Fluoro!$O$102=1,IF(OR(Fluoro!X155=0,Fluoro!Y155=0),NA(),Fluoro!Y155/Fluoro!X155),NA())</f>
        <v>#N/A</v>
      </c>
      <c r="Z49" s="328"/>
      <c r="AA49" s="328"/>
      <c r="AB49" s="328"/>
    </row>
    <row r="50" spans="1:28" ht="12.75" customHeight="1" x14ac:dyDescent="0.2">
      <c r="A50" s="213" t="s">
        <v>356</v>
      </c>
      <c r="B50" s="339">
        <v>4</v>
      </c>
      <c r="C50" s="340">
        <f t="shared" si="0"/>
        <v>3.5449077018110318</v>
      </c>
      <c r="D50" s="340">
        <v>0.23</v>
      </c>
      <c r="E50" s="340">
        <v>0.16</v>
      </c>
      <c r="F50" s="340">
        <v>0.123</v>
      </c>
      <c r="G50" s="340">
        <v>8.5999999999999993E-2</v>
      </c>
      <c r="H50" s="340">
        <v>6.6000000000000003E-2</v>
      </c>
      <c r="I50" s="340">
        <v>4.4999999999999998E-2</v>
      </c>
      <c r="J50" s="340">
        <v>3.2000000000000001E-2</v>
      </c>
      <c r="K50" s="340">
        <v>2.3E-2</v>
      </c>
      <c r="L50" s="340">
        <v>1.6E-2</v>
      </c>
      <c r="N50" s="335" t="s">
        <v>417</v>
      </c>
      <c r="O50" s="336">
        <f>IF(Fluoro!W124="",NA(),Fluoro!W124)</f>
        <v>0</v>
      </c>
      <c r="P50" s="336" t="e">
        <f>IF(NOT(Fluoro!$O$102=1),IF(OR(Fluoro!X124="",Fluoro!Y124=""),NA(),Fluoro!Y124/Fluoro!X124),NA())</f>
        <v>#N/A</v>
      </c>
      <c r="Q50" s="337" t="e">
        <f>IF(Fluoro!$O$102=1,IF(OR(Fluoro!X124=0,Fluoro!Y124=0),NA(),Fluoro!Y124/Fluoro!X124),NA())</f>
        <v>#N/A</v>
      </c>
      <c r="R50" s="328"/>
      <c r="S50" s="328"/>
      <c r="T50" s="328"/>
      <c r="V50" s="335" t="s">
        <v>417</v>
      </c>
      <c r="W50" s="336">
        <f>IF(Fluoro!W156="",NA(),Fluoro!W156)</f>
        <v>0</v>
      </c>
      <c r="X50" s="336" t="e">
        <f>IF(NOT(Fluoro!$O$102=1),IF(OR(Fluoro!X156="",Fluoro!Y156=""),NA(),Fluoro!Y156/Fluoro!X156),NA())</f>
        <v>#N/A</v>
      </c>
      <c r="Y50" s="337" t="e">
        <f>IF(Fluoro!$O$102=1,IF(OR(Fluoro!X156=0,Fluoro!Y156=0),NA(),Fluoro!Y156/Fluoro!X156),NA())</f>
        <v>#N/A</v>
      </c>
      <c r="Z50" s="328"/>
      <c r="AA50" s="328"/>
      <c r="AB50" s="328"/>
    </row>
    <row r="51" spans="1:28" ht="12.75" customHeight="1" x14ac:dyDescent="0.25">
      <c r="A51" s="213" t="s">
        <v>357</v>
      </c>
      <c r="B51" s="339">
        <v>2.8</v>
      </c>
      <c r="C51" s="340">
        <f t="shared" si="0"/>
        <v>2.4814353912677221</v>
      </c>
      <c r="D51" s="340">
        <v>0.23</v>
      </c>
      <c r="E51" s="340">
        <v>0.16</v>
      </c>
      <c r="F51" s="340">
        <v>0.123</v>
      </c>
      <c r="G51" s="340">
        <v>8.5999999999999993E-2</v>
      </c>
      <c r="H51" s="340">
        <v>6.6000000000000003E-2</v>
      </c>
      <c r="I51" s="340">
        <v>4.4999999999999998E-2</v>
      </c>
      <c r="J51" s="340">
        <v>3.2000000000000001E-2</v>
      </c>
      <c r="K51" s="340">
        <v>2.3E-2</v>
      </c>
      <c r="L51" s="340">
        <v>1.6E-2</v>
      </c>
    </row>
    <row r="52" spans="1:28" ht="12.75" customHeight="1" x14ac:dyDescent="0.25">
      <c r="A52" s="213" t="s">
        <v>358</v>
      </c>
      <c r="B52" s="339">
        <v>2</v>
      </c>
      <c r="C52" s="340">
        <f t="shared" si="0"/>
        <v>1.7724538509055159</v>
      </c>
      <c r="D52" s="340">
        <v>0.23</v>
      </c>
      <c r="E52" s="340">
        <v>0.16</v>
      </c>
      <c r="F52" s="340">
        <v>0.123</v>
      </c>
      <c r="G52" s="340">
        <v>8.5999999999999993E-2</v>
      </c>
      <c r="H52" s="340">
        <v>6.6000000000000003E-2</v>
      </c>
      <c r="I52" s="340">
        <v>4.4999999999999998E-2</v>
      </c>
      <c r="J52" s="340">
        <v>3.2000000000000001E-2</v>
      </c>
      <c r="K52" s="340">
        <v>2.3E-2</v>
      </c>
      <c r="L52" s="340">
        <v>1.6E-2</v>
      </c>
    </row>
    <row r="53" spans="1:28" ht="12.75" customHeight="1" x14ac:dyDescent="0.25">
      <c r="A53" s="213" t="s">
        <v>359</v>
      </c>
      <c r="B53" s="339">
        <v>1.4</v>
      </c>
      <c r="C53" s="340">
        <f t="shared" si="0"/>
        <v>1.240717695633861</v>
      </c>
      <c r="D53" s="340">
        <v>0.5</v>
      </c>
      <c r="E53" s="340">
        <v>0.35</v>
      </c>
      <c r="F53" s="340">
        <v>0.23</v>
      </c>
      <c r="G53" s="340">
        <v>0.16</v>
      </c>
      <c r="H53" s="340">
        <v>0.123</v>
      </c>
      <c r="I53" s="340">
        <v>8.5999999999999993E-2</v>
      </c>
      <c r="J53" s="340">
        <v>6.6000000000000003E-2</v>
      </c>
      <c r="K53" s="340">
        <v>4.4999999999999998E-2</v>
      </c>
      <c r="L53" s="340">
        <v>3.2000000000000001E-2</v>
      </c>
    </row>
    <row r="54" spans="1:28" ht="12.75" customHeight="1" x14ac:dyDescent="0.25">
      <c r="A54" s="213" t="s">
        <v>360</v>
      </c>
      <c r="B54" s="339">
        <v>1</v>
      </c>
      <c r="C54" s="340">
        <f t="shared" si="0"/>
        <v>0.88622692545275794</v>
      </c>
      <c r="D54" s="340">
        <v>0.5</v>
      </c>
      <c r="E54" s="340">
        <v>0.35</v>
      </c>
      <c r="F54" s="340">
        <v>0.23</v>
      </c>
      <c r="G54" s="340">
        <v>0.16</v>
      </c>
      <c r="H54" s="340">
        <v>0.123</v>
      </c>
      <c r="I54" s="340">
        <v>8.5999999999999993E-2</v>
      </c>
      <c r="J54" s="340">
        <v>6.6000000000000003E-2</v>
      </c>
      <c r="K54" s="340">
        <v>4.4999999999999998E-2</v>
      </c>
      <c r="L54" s="340">
        <v>3.2000000000000001E-2</v>
      </c>
    </row>
    <row r="55" spans="1:28" ht="12.75" customHeight="1" x14ac:dyDescent="0.25">
      <c r="A55" s="213" t="s">
        <v>361</v>
      </c>
      <c r="B55" s="339">
        <v>0.7</v>
      </c>
      <c r="C55" s="340">
        <f t="shared" si="0"/>
        <v>0.62035884781693051</v>
      </c>
      <c r="D55" s="340">
        <v>0.5</v>
      </c>
      <c r="E55" s="340">
        <v>0.35</v>
      </c>
      <c r="F55" s="340">
        <v>0.23</v>
      </c>
      <c r="G55" s="340">
        <v>0.16</v>
      </c>
      <c r="H55" s="340">
        <v>0.123</v>
      </c>
      <c r="I55" s="340">
        <v>8.5999999999999993E-2</v>
      </c>
      <c r="J55" s="340">
        <v>6.6000000000000003E-2</v>
      </c>
      <c r="K55" s="340">
        <v>4.4999999999999998E-2</v>
      </c>
      <c r="L55" s="340">
        <v>3.2000000000000001E-2</v>
      </c>
    </row>
    <row r="56" spans="1:28" ht="12.75" customHeight="1" x14ac:dyDescent="0.25">
      <c r="A56" s="213" t="s">
        <v>362</v>
      </c>
      <c r="B56" s="339">
        <v>0.5</v>
      </c>
      <c r="C56" s="340">
        <f t="shared" si="0"/>
        <v>0.44311346272637897</v>
      </c>
      <c r="D56" s="340">
        <v>0.93</v>
      </c>
      <c r="E56" s="340">
        <v>0.66</v>
      </c>
      <c r="F56" s="340">
        <v>0.5</v>
      </c>
      <c r="G56" s="340">
        <v>0.35</v>
      </c>
      <c r="H56" s="340">
        <v>0.23</v>
      </c>
      <c r="I56" s="340">
        <v>0.16</v>
      </c>
      <c r="J56" s="340">
        <v>0.123</v>
      </c>
      <c r="K56" s="340">
        <v>8.5999999999999993E-2</v>
      </c>
      <c r="L56" s="340">
        <v>6.6000000000000003E-2</v>
      </c>
    </row>
    <row r="57" spans="1:28" ht="12.75" customHeight="1" x14ac:dyDescent="0.25">
      <c r="A57" s="213" t="s">
        <v>363</v>
      </c>
      <c r="B57" s="339">
        <v>0.35</v>
      </c>
      <c r="C57" s="340">
        <f t="shared" si="0"/>
        <v>0.31017942390846526</v>
      </c>
      <c r="D57" s="340">
        <v>0.93</v>
      </c>
      <c r="E57" s="340">
        <v>0.66</v>
      </c>
      <c r="F57" s="340">
        <v>0.5</v>
      </c>
      <c r="G57" s="340">
        <v>0.35</v>
      </c>
      <c r="H57" s="340">
        <v>0.23</v>
      </c>
      <c r="I57" s="340">
        <v>0.16</v>
      </c>
      <c r="J57" s="340">
        <v>0.123</v>
      </c>
      <c r="K57" s="340">
        <v>8.5999999999999993E-2</v>
      </c>
      <c r="L57" s="340">
        <v>6.6000000000000003E-2</v>
      </c>
    </row>
    <row r="58" spans="1:28" ht="12.75" customHeight="1" x14ac:dyDescent="0.25">
      <c r="A58" s="213" t="s">
        <v>364</v>
      </c>
      <c r="B58" s="339">
        <v>0.25</v>
      </c>
      <c r="C58" s="340">
        <f t="shared" si="0"/>
        <v>0.22155673136318949</v>
      </c>
      <c r="D58" s="340">
        <v>0.93</v>
      </c>
      <c r="E58" s="340">
        <v>0.66</v>
      </c>
      <c r="F58" s="340">
        <v>0.5</v>
      </c>
      <c r="G58" s="340">
        <v>0.35</v>
      </c>
      <c r="H58" s="340">
        <v>0.23</v>
      </c>
      <c r="I58" s="340">
        <v>0.16</v>
      </c>
      <c r="J58" s="340">
        <v>0.123</v>
      </c>
      <c r="K58" s="340">
        <v>8.5999999999999993E-2</v>
      </c>
      <c r="L58" s="340">
        <v>6.6000000000000003E-2</v>
      </c>
    </row>
    <row r="60" spans="1:28" ht="12.75" customHeight="1" x14ac:dyDescent="0.25">
      <c r="A60" s="340" t="s">
        <v>422</v>
      </c>
      <c r="B60" s="329">
        <v>0</v>
      </c>
      <c r="C60" s="329">
        <v>1</v>
      </c>
      <c r="D60" s="329">
        <v>1.5</v>
      </c>
      <c r="E60" s="329">
        <v>2</v>
      </c>
      <c r="F60" s="329">
        <v>2.5</v>
      </c>
      <c r="G60" s="329">
        <v>3</v>
      </c>
      <c r="H60" s="329">
        <v>3.5</v>
      </c>
      <c r="I60" s="329">
        <v>4</v>
      </c>
      <c r="J60" s="329">
        <v>4.5</v>
      </c>
      <c r="K60" s="329">
        <v>5</v>
      </c>
      <c r="L60" s="329">
        <v>5.5</v>
      </c>
      <c r="M60" s="329">
        <v>6</v>
      </c>
      <c r="N60" s="329">
        <v>6.5</v>
      </c>
      <c r="O60" s="329">
        <v>7</v>
      </c>
      <c r="P60" s="329">
        <v>7.5</v>
      </c>
      <c r="Q60" s="329">
        <v>8</v>
      </c>
      <c r="R60" s="329">
        <v>8.5</v>
      </c>
      <c r="S60" s="329">
        <v>9</v>
      </c>
    </row>
    <row r="61" spans="1:28" ht="12.75" customHeight="1" x14ac:dyDescent="0.25">
      <c r="A61" s="340" t="s">
        <v>353</v>
      </c>
      <c r="B61" s="340" t="e">
        <f>NA()</f>
        <v>#N/A</v>
      </c>
      <c r="C61" s="340">
        <f>VLOOKUP(D47,TO10kVAdj,MATCH(Fluoro!$V$318,$B$30:$E$30,0)+1)</f>
        <v>0.16700000000000001</v>
      </c>
      <c r="D61" s="340">
        <f t="shared" ref="D61:D72" si="1">(C61+E61)/2</f>
        <v>0.14750000000000002</v>
      </c>
      <c r="E61" s="340">
        <f>VLOOKUP(E47,TO10kVAdj,MATCH(Fluoro!$V$318,$B$30:$E$30,0)+1)</f>
        <v>0.128</v>
      </c>
      <c r="F61" s="340">
        <f t="shared" ref="F61:F72" si="2">(E61+G61)/2</f>
        <v>0.10780000000000001</v>
      </c>
      <c r="G61" s="340">
        <f>VLOOKUP(F47,TO10kVAdj,MATCH(Fluoro!$V$318,$B$30:$E$30,0)+1)</f>
        <v>8.7599999999999997E-2</v>
      </c>
      <c r="H61" s="340">
        <f t="shared" ref="H61:H72" si="3">(G61+I61)/2</f>
        <v>7.7499999999999999E-2</v>
      </c>
      <c r="I61" s="340">
        <f>VLOOKUP(G47,TO10kVAdj,MATCH(Fluoro!$V$318,$B$30:$E$30,0)+1)</f>
        <v>6.7400000000000002E-2</v>
      </c>
      <c r="J61" s="340">
        <f t="shared" ref="J61:J72" si="4">(I61+K61)/2</f>
        <v>5.62E-2</v>
      </c>
      <c r="K61" s="340">
        <f>VLOOKUP(H47,TO10kVAdj,MATCH(Fluoro!$V$318,$B$30:$E$30,0)+1)</f>
        <v>4.4999999999999998E-2</v>
      </c>
      <c r="L61" s="340">
        <f t="shared" ref="L61:L72" si="5">(K61+M61)/2</f>
        <v>3.8599999999999995E-2</v>
      </c>
      <c r="M61" s="340">
        <f>VLOOKUP(I47,TO10kVAdj,MATCH(Fluoro!$V$318,$B$30:$E$30,0)+1)</f>
        <v>3.2199999999999999E-2</v>
      </c>
      <c r="N61" s="340">
        <f t="shared" ref="N61:N72" si="6">(M61+O61)/2</f>
        <v>2.6849999999999999E-2</v>
      </c>
      <c r="O61" s="340">
        <f>VLOOKUP(J47,TO10kVAdj,MATCH(Fluoro!$V$318,$B$30:$E$30,0)+1)</f>
        <v>2.1499999999999998E-2</v>
      </c>
      <c r="P61" s="340">
        <f t="shared" ref="P61:P72" si="7">(O61+Q61)/2</f>
        <v>1.8499999999999999E-2</v>
      </c>
      <c r="Q61" s="340">
        <f>VLOOKUP(K47,TO10kVAdj,MATCH(Fluoro!$V$318,$B$30:$E$30,0)+1)</f>
        <v>1.55E-2</v>
      </c>
      <c r="R61" s="340">
        <f t="shared" ref="R61:R72" si="8">(Q61+S61)/2</f>
        <v>1.325E-2</v>
      </c>
      <c r="S61" s="340">
        <f>VLOOKUP(L47,TO10kVAdj,MATCH(Fluoro!$V$318,$B$30:$E$30,0)+1)</f>
        <v>1.0999999999999999E-2</v>
      </c>
    </row>
    <row r="62" spans="1:28" ht="12.75" customHeight="1" x14ac:dyDescent="0.25">
      <c r="A62" s="340" t="s">
        <v>354</v>
      </c>
      <c r="B62" s="340" t="e">
        <f>NA()</f>
        <v>#N/A</v>
      </c>
      <c r="C62" s="340">
        <f>VLOOKUP(D48,TO10kVAdj,MATCH(Fluoro!$V$318,$B$30:$E$30,0)+1)</f>
        <v>0.16700000000000001</v>
      </c>
      <c r="D62" s="340">
        <f t="shared" si="1"/>
        <v>0.14750000000000002</v>
      </c>
      <c r="E62" s="340">
        <f>VLOOKUP(E48,TO10kVAdj,MATCH(Fluoro!$V$318,$B$30:$E$30,0)+1)</f>
        <v>0.128</v>
      </c>
      <c r="F62" s="340">
        <f t="shared" si="2"/>
        <v>0.10780000000000001</v>
      </c>
      <c r="G62" s="340">
        <f>VLOOKUP(F48,TO10kVAdj,MATCH(Fluoro!$V$318,$B$30:$E$30,0)+1)</f>
        <v>8.7599999999999997E-2</v>
      </c>
      <c r="H62" s="340">
        <f t="shared" si="3"/>
        <v>7.7499999999999999E-2</v>
      </c>
      <c r="I62" s="340">
        <f>VLOOKUP(G48,TO10kVAdj,MATCH(Fluoro!$V$318,$B$30:$E$30,0)+1)</f>
        <v>6.7400000000000002E-2</v>
      </c>
      <c r="J62" s="340">
        <f t="shared" si="4"/>
        <v>5.62E-2</v>
      </c>
      <c r="K62" s="340">
        <f>VLOOKUP(H48,TO10kVAdj,MATCH(Fluoro!$V$318,$B$30:$E$30,0)+1)</f>
        <v>4.4999999999999998E-2</v>
      </c>
      <c r="L62" s="340">
        <f t="shared" si="5"/>
        <v>3.8599999999999995E-2</v>
      </c>
      <c r="M62" s="340">
        <f>VLOOKUP(I48,TO10kVAdj,MATCH(Fluoro!$V$318,$B$30:$E$30,0)+1)</f>
        <v>3.2199999999999999E-2</v>
      </c>
      <c r="N62" s="340">
        <f t="shared" si="6"/>
        <v>2.6849999999999999E-2</v>
      </c>
      <c r="O62" s="340">
        <f>VLOOKUP(J48,TO10kVAdj,MATCH(Fluoro!$V$318,$B$30:$E$30,0)+1)</f>
        <v>2.1499999999999998E-2</v>
      </c>
      <c r="P62" s="340">
        <f t="shared" si="7"/>
        <v>1.8499999999999999E-2</v>
      </c>
      <c r="Q62" s="340">
        <f>VLOOKUP(K48,TO10kVAdj,MATCH(Fluoro!$V$318,$B$30:$E$30,0)+1)</f>
        <v>1.55E-2</v>
      </c>
      <c r="R62" s="340">
        <f t="shared" si="8"/>
        <v>1.325E-2</v>
      </c>
      <c r="S62" s="340">
        <f>VLOOKUP(L48,TO10kVAdj,MATCH(Fluoro!$V$318,$B$30:$E$30,0)+1)</f>
        <v>1.0999999999999999E-2</v>
      </c>
    </row>
    <row r="63" spans="1:28" ht="12.75" customHeight="1" x14ac:dyDescent="0.25">
      <c r="A63" s="340" t="s">
        <v>355</v>
      </c>
      <c r="B63" s="340" t="e">
        <f>NA()</f>
        <v>#N/A</v>
      </c>
      <c r="C63" s="340">
        <f>VLOOKUP(D49,TO10kVAdj,MATCH(Fluoro!$V$318,$B$30:$E$30,0)+1)</f>
        <v>0.16700000000000001</v>
      </c>
      <c r="D63" s="340">
        <f t="shared" si="1"/>
        <v>0.14750000000000002</v>
      </c>
      <c r="E63" s="340">
        <f>VLOOKUP(E49,TO10kVAdj,MATCH(Fluoro!$V$318,$B$30:$E$30,0)+1)</f>
        <v>0.128</v>
      </c>
      <c r="F63" s="340">
        <f t="shared" si="2"/>
        <v>0.10780000000000001</v>
      </c>
      <c r="G63" s="340">
        <f>VLOOKUP(F49,TO10kVAdj,MATCH(Fluoro!$V$318,$B$30:$E$30,0)+1)</f>
        <v>8.7599999999999997E-2</v>
      </c>
      <c r="H63" s="340">
        <f t="shared" si="3"/>
        <v>7.7499999999999999E-2</v>
      </c>
      <c r="I63" s="340">
        <f>VLOOKUP(G49,TO10kVAdj,MATCH(Fluoro!$V$318,$B$30:$E$30,0)+1)</f>
        <v>6.7400000000000002E-2</v>
      </c>
      <c r="J63" s="340">
        <f t="shared" si="4"/>
        <v>5.62E-2</v>
      </c>
      <c r="K63" s="340">
        <f>VLOOKUP(H49,TO10kVAdj,MATCH(Fluoro!$V$318,$B$30:$E$30,0)+1)</f>
        <v>4.4999999999999998E-2</v>
      </c>
      <c r="L63" s="340">
        <f t="shared" si="5"/>
        <v>3.8599999999999995E-2</v>
      </c>
      <c r="M63" s="340">
        <f>VLOOKUP(I49,TO10kVAdj,MATCH(Fluoro!$V$318,$B$30:$E$30,0)+1)</f>
        <v>3.2199999999999999E-2</v>
      </c>
      <c r="N63" s="340">
        <f t="shared" si="6"/>
        <v>2.6849999999999999E-2</v>
      </c>
      <c r="O63" s="340">
        <f>VLOOKUP(J49,TO10kVAdj,MATCH(Fluoro!$V$318,$B$30:$E$30,0)+1)</f>
        <v>2.1499999999999998E-2</v>
      </c>
      <c r="P63" s="340">
        <f t="shared" si="7"/>
        <v>1.8499999999999999E-2</v>
      </c>
      <c r="Q63" s="340">
        <f>VLOOKUP(K49,TO10kVAdj,MATCH(Fluoro!$V$318,$B$30:$E$30,0)+1)</f>
        <v>1.55E-2</v>
      </c>
      <c r="R63" s="340">
        <f t="shared" si="8"/>
        <v>1.325E-2</v>
      </c>
      <c r="S63" s="340">
        <f>VLOOKUP(L49,TO10kVAdj,MATCH(Fluoro!$V$318,$B$30:$E$30,0)+1)</f>
        <v>1.0999999999999999E-2</v>
      </c>
    </row>
    <row r="64" spans="1:28" ht="12.75" customHeight="1" x14ac:dyDescent="0.25">
      <c r="A64" s="340" t="s">
        <v>356</v>
      </c>
      <c r="B64" s="340" t="e">
        <f>NA()</f>
        <v>#N/A</v>
      </c>
      <c r="C64" s="340">
        <f>VLOOKUP(D50,TO10kVAdj,MATCH(Fluoro!$V$318,$B$30:$E$30,0)+1)</f>
        <v>0.23799999999999999</v>
      </c>
      <c r="D64" s="340">
        <f t="shared" si="1"/>
        <v>0.20250000000000001</v>
      </c>
      <c r="E64" s="340">
        <f>VLOOKUP(E50,TO10kVAdj,MATCH(Fluoro!$V$318,$B$30:$E$30,0)+1)</f>
        <v>0.16700000000000001</v>
      </c>
      <c r="F64" s="340">
        <f t="shared" si="2"/>
        <v>0.14750000000000002</v>
      </c>
      <c r="G64" s="340">
        <f>VLOOKUP(F50,TO10kVAdj,MATCH(Fluoro!$V$318,$B$30:$E$30,0)+1)</f>
        <v>0.128</v>
      </c>
      <c r="H64" s="340">
        <f t="shared" si="3"/>
        <v>0.10780000000000001</v>
      </c>
      <c r="I64" s="340">
        <f>VLOOKUP(G50,TO10kVAdj,MATCH(Fluoro!$V$318,$B$30:$E$30,0)+1)</f>
        <v>8.7599999999999997E-2</v>
      </c>
      <c r="J64" s="340">
        <f t="shared" si="4"/>
        <v>7.7499999999999999E-2</v>
      </c>
      <c r="K64" s="340">
        <f>VLOOKUP(H50,TO10kVAdj,MATCH(Fluoro!$V$318,$B$30:$E$30,0)+1)</f>
        <v>6.7400000000000002E-2</v>
      </c>
      <c r="L64" s="340">
        <f t="shared" si="5"/>
        <v>5.62E-2</v>
      </c>
      <c r="M64" s="340">
        <f>VLOOKUP(I50,TO10kVAdj,MATCH(Fluoro!$V$318,$B$30:$E$30,0)+1)</f>
        <v>4.4999999999999998E-2</v>
      </c>
      <c r="N64" s="340">
        <f t="shared" si="6"/>
        <v>3.8599999999999995E-2</v>
      </c>
      <c r="O64" s="340">
        <f>VLOOKUP(J50,TO10kVAdj,MATCH(Fluoro!$V$318,$B$30:$E$30,0)+1)</f>
        <v>3.2199999999999999E-2</v>
      </c>
      <c r="P64" s="340">
        <f t="shared" si="7"/>
        <v>2.6849999999999999E-2</v>
      </c>
      <c r="Q64" s="340">
        <f>VLOOKUP(K50,TO10kVAdj,MATCH(Fluoro!$V$318,$B$30:$E$30,0)+1)</f>
        <v>2.1499999999999998E-2</v>
      </c>
      <c r="R64" s="340">
        <f t="shared" si="8"/>
        <v>1.8499999999999999E-2</v>
      </c>
      <c r="S64" s="340">
        <f>VLOOKUP(L50,TO10kVAdj,MATCH(Fluoro!$V$318,$B$30:$E$30,0)+1)</f>
        <v>1.55E-2</v>
      </c>
    </row>
    <row r="65" spans="1:19" ht="12.75" customHeight="1" x14ac:dyDescent="0.25">
      <c r="A65" s="340" t="s">
        <v>357</v>
      </c>
      <c r="B65" s="340" t="e">
        <f>NA()</f>
        <v>#N/A</v>
      </c>
      <c r="C65" s="340">
        <f>VLOOKUP(D51,TO10kVAdj,MATCH(Fluoro!$V$318,$B$30:$E$30,0)+1)</f>
        <v>0.23799999999999999</v>
      </c>
      <c r="D65" s="340">
        <f t="shared" si="1"/>
        <v>0.20250000000000001</v>
      </c>
      <c r="E65" s="340">
        <f>VLOOKUP(E51,TO10kVAdj,MATCH(Fluoro!$V$318,$B$30:$E$30,0)+1)</f>
        <v>0.16700000000000001</v>
      </c>
      <c r="F65" s="340">
        <f t="shared" si="2"/>
        <v>0.14750000000000002</v>
      </c>
      <c r="G65" s="340">
        <f>VLOOKUP(F51,TO10kVAdj,MATCH(Fluoro!$V$318,$B$30:$E$30,0)+1)</f>
        <v>0.128</v>
      </c>
      <c r="H65" s="340">
        <f t="shared" si="3"/>
        <v>0.10780000000000001</v>
      </c>
      <c r="I65" s="340">
        <f>VLOOKUP(G51,TO10kVAdj,MATCH(Fluoro!$V$318,$B$30:$E$30,0)+1)</f>
        <v>8.7599999999999997E-2</v>
      </c>
      <c r="J65" s="340">
        <f t="shared" si="4"/>
        <v>7.7499999999999999E-2</v>
      </c>
      <c r="K65" s="340">
        <f>VLOOKUP(H51,TO10kVAdj,MATCH(Fluoro!$V$318,$B$30:$E$30,0)+1)</f>
        <v>6.7400000000000002E-2</v>
      </c>
      <c r="L65" s="340">
        <f t="shared" si="5"/>
        <v>5.62E-2</v>
      </c>
      <c r="M65" s="340">
        <f>VLOOKUP(I51,TO10kVAdj,MATCH(Fluoro!$V$318,$B$30:$E$30,0)+1)</f>
        <v>4.4999999999999998E-2</v>
      </c>
      <c r="N65" s="340">
        <f t="shared" si="6"/>
        <v>3.8599999999999995E-2</v>
      </c>
      <c r="O65" s="340">
        <f>VLOOKUP(J51,TO10kVAdj,MATCH(Fluoro!$V$318,$B$30:$E$30,0)+1)</f>
        <v>3.2199999999999999E-2</v>
      </c>
      <c r="P65" s="340">
        <f t="shared" si="7"/>
        <v>2.6849999999999999E-2</v>
      </c>
      <c r="Q65" s="340">
        <f>VLOOKUP(K51,TO10kVAdj,MATCH(Fluoro!$V$318,$B$30:$E$30,0)+1)</f>
        <v>2.1499999999999998E-2</v>
      </c>
      <c r="R65" s="340">
        <f t="shared" si="8"/>
        <v>1.8499999999999999E-2</v>
      </c>
      <c r="S65" s="340">
        <f>VLOOKUP(L51,TO10kVAdj,MATCH(Fluoro!$V$318,$B$30:$E$30,0)+1)</f>
        <v>1.55E-2</v>
      </c>
    </row>
    <row r="66" spans="1:19" ht="12.75" customHeight="1" x14ac:dyDescent="0.25">
      <c r="A66" s="340" t="s">
        <v>358</v>
      </c>
      <c r="B66" s="340" t="e">
        <f>NA()</f>
        <v>#N/A</v>
      </c>
      <c r="C66" s="340">
        <f>VLOOKUP(D52,TO10kVAdj,MATCH(Fluoro!$V$318,$B$30:$E$30,0)+1)</f>
        <v>0.23799999999999999</v>
      </c>
      <c r="D66" s="340">
        <f t="shared" si="1"/>
        <v>0.20250000000000001</v>
      </c>
      <c r="E66" s="340">
        <f>VLOOKUP(E52,TO10kVAdj,MATCH(Fluoro!$V$318,$B$30:$E$30,0)+1)</f>
        <v>0.16700000000000001</v>
      </c>
      <c r="F66" s="340">
        <f t="shared" si="2"/>
        <v>0.14750000000000002</v>
      </c>
      <c r="G66" s="340">
        <f>VLOOKUP(F52,TO10kVAdj,MATCH(Fluoro!$V$318,$B$30:$E$30,0)+1)</f>
        <v>0.128</v>
      </c>
      <c r="H66" s="340">
        <f t="shared" si="3"/>
        <v>0.10780000000000001</v>
      </c>
      <c r="I66" s="340">
        <f>VLOOKUP(G52,TO10kVAdj,MATCH(Fluoro!$V$318,$B$30:$E$30,0)+1)</f>
        <v>8.7599999999999997E-2</v>
      </c>
      <c r="J66" s="340">
        <f t="shared" si="4"/>
        <v>7.7499999999999999E-2</v>
      </c>
      <c r="K66" s="340">
        <f>VLOOKUP(H52,TO10kVAdj,MATCH(Fluoro!$V$318,$B$30:$E$30,0)+1)</f>
        <v>6.7400000000000002E-2</v>
      </c>
      <c r="L66" s="340">
        <f t="shared" si="5"/>
        <v>5.62E-2</v>
      </c>
      <c r="M66" s="340">
        <f>VLOOKUP(I52,TO10kVAdj,MATCH(Fluoro!$V$318,$B$30:$E$30,0)+1)</f>
        <v>4.4999999999999998E-2</v>
      </c>
      <c r="N66" s="340">
        <f t="shared" si="6"/>
        <v>3.8599999999999995E-2</v>
      </c>
      <c r="O66" s="340">
        <f>VLOOKUP(J52,TO10kVAdj,MATCH(Fluoro!$V$318,$B$30:$E$30,0)+1)</f>
        <v>3.2199999999999999E-2</v>
      </c>
      <c r="P66" s="340">
        <f t="shared" si="7"/>
        <v>2.6849999999999999E-2</v>
      </c>
      <c r="Q66" s="340">
        <f>VLOOKUP(K52,TO10kVAdj,MATCH(Fluoro!$V$318,$B$30:$E$30,0)+1)</f>
        <v>2.1499999999999998E-2</v>
      </c>
      <c r="R66" s="340">
        <f t="shared" si="8"/>
        <v>1.8499999999999999E-2</v>
      </c>
      <c r="S66" s="340">
        <f>VLOOKUP(L52,TO10kVAdj,MATCH(Fluoro!$V$318,$B$30:$E$30,0)+1)</f>
        <v>1.55E-2</v>
      </c>
    </row>
    <row r="67" spans="1:19" ht="12.75" customHeight="1" x14ac:dyDescent="0.25">
      <c r="A67" s="340" t="s">
        <v>359</v>
      </c>
      <c r="B67" s="340" t="e">
        <f>NA()</f>
        <v>#N/A</v>
      </c>
      <c r="C67" s="340">
        <f>VLOOKUP(D53,TO10kVAdj,MATCH(Fluoro!$V$318,$B$30:$E$30,0)+1)</f>
        <v>0.57299999999999995</v>
      </c>
      <c r="D67" s="340">
        <f t="shared" si="1"/>
        <v>0.46649999999999997</v>
      </c>
      <c r="E67" s="340">
        <f>VLOOKUP(E53,TO10kVAdj,MATCH(Fluoro!$V$318,$B$30:$E$30,0)+1)</f>
        <v>0.36</v>
      </c>
      <c r="F67" s="340">
        <f t="shared" si="2"/>
        <v>0.29899999999999999</v>
      </c>
      <c r="G67" s="340">
        <f>VLOOKUP(F53,TO10kVAdj,MATCH(Fluoro!$V$318,$B$30:$E$30,0)+1)</f>
        <v>0.23799999999999999</v>
      </c>
      <c r="H67" s="340">
        <f t="shared" si="3"/>
        <v>0.20250000000000001</v>
      </c>
      <c r="I67" s="340">
        <f>VLOOKUP(G53,TO10kVAdj,MATCH(Fluoro!$V$318,$B$30:$E$30,0)+1)</f>
        <v>0.16700000000000001</v>
      </c>
      <c r="J67" s="340">
        <f t="shared" si="4"/>
        <v>0.14750000000000002</v>
      </c>
      <c r="K67" s="340">
        <f>VLOOKUP(H53,TO10kVAdj,MATCH(Fluoro!$V$318,$B$30:$E$30,0)+1)</f>
        <v>0.128</v>
      </c>
      <c r="L67" s="340">
        <f t="shared" si="5"/>
        <v>0.10780000000000001</v>
      </c>
      <c r="M67" s="340">
        <f>VLOOKUP(I53,TO10kVAdj,MATCH(Fluoro!$V$318,$B$30:$E$30,0)+1)</f>
        <v>8.7599999999999997E-2</v>
      </c>
      <c r="N67" s="340">
        <f t="shared" si="6"/>
        <v>7.7499999999999999E-2</v>
      </c>
      <c r="O67" s="340">
        <f>VLOOKUP(J53,TO10kVAdj,MATCH(Fluoro!$V$318,$B$30:$E$30,0)+1)</f>
        <v>6.7400000000000002E-2</v>
      </c>
      <c r="P67" s="340">
        <f t="shared" si="7"/>
        <v>5.62E-2</v>
      </c>
      <c r="Q67" s="340">
        <f>VLOOKUP(K53,TO10kVAdj,MATCH(Fluoro!$V$318,$B$30:$E$30,0)+1)</f>
        <v>4.4999999999999998E-2</v>
      </c>
      <c r="R67" s="340">
        <f t="shared" si="8"/>
        <v>3.8599999999999995E-2</v>
      </c>
      <c r="S67" s="340">
        <f>VLOOKUP(L53,TO10kVAdj,MATCH(Fluoro!$V$318,$B$30:$E$30,0)+1)</f>
        <v>3.2199999999999999E-2</v>
      </c>
    </row>
    <row r="68" spans="1:19" ht="12.75" customHeight="1" x14ac:dyDescent="0.25">
      <c r="A68" s="340" t="s">
        <v>360</v>
      </c>
      <c r="B68" s="340" t="e">
        <f>NA()</f>
        <v>#N/A</v>
      </c>
      <c r="C68" s="340">
        <f>VLOOKUP(D54,TO10kVAdj,MATCH(Fluoro!$V$318,$B$30:$E$30,0)+1)</f>
        <v>0.57299999999999995</v>
      </c>
      <c r="D68" s="340">
        <f t="shared" si="1"/>
        <v>0.46649999999999997</v>
      </c>
      <c r="E68" s="340">
        <f>VLOOKUP(E54,TO10kVAdj,MATCH(Fluoro!$V$318,$B$30:$E$30,0)+1)</f>
        <v>0.36</v>
      </c>
      <c r="F68" s="340">
        <f t="shared" si="2"/>
        <v>0.29899999999999999</v>
      </c>
      <c r="G68" s="340">
        <f>VLOOKUP(F54,TO10kVAdj,MATCH(Fluoro!$V$318,$B$30:$E$30,0)+1)</f>
        <v>0.23799999999999999</v>
      </c>
      <c r="H68" s="340">
        <f t="shared" si="3"/>
        <v>0.20250000000000001</v>
      </c>
      <c r="I68" s="340">
        <f>VLOOKUP(G54,TO10kVAdj,MATCH(Fluoro!$V$318,$B$30:$E$30,0)+1)</f>
        <v>0.16700000000000001</v>
      </c>
      <c r="J68" s="340">
        <f t="shared" si="4"/>
        <v>0.14750000000000002</v>
      </c>
      <c r="K68" s="340">
        <f>VLOOKUP(H54,TO10kVAdj,MATCH(Fluoro!$V$318,$B$30:$E$30,0)+1)</f>
        <v>0.128</v>
      </c>
      <c r="L68" s="340">
        <f t="shared" si="5"/>
        <v>0.10780000000000001</v>
      </c>
      <c r="M68" s="340">
        <f>VLOOKUP(I54,TO10kVAdj,MATCH(Fluoro!$V$318,$B$30:$E$30,0)+1)</f>
        <v>8.7599999999999997E-2</v>
      </c>
      <c r="N68" s="340">
        <f t="shared" si="6"/>
        <v>7.7499999999999999E-2</v>
      </c>
      <c r="O68" s="340">
        <f>VLOOKUP(J54,TO10kVAdj,MATCH(Fluoro!$V$318,$B$30:$E$30,0)+1)</f>
        <v>6.7400000000000002E-2</v>
      </c>
      <c r="P68" s="340">
        <f t="shared" si="7"/>
        <v>5.62E-2</v>
      </c>
      <c r="Q68" s="340">
        <f>VLOOKUP(K54,TO10kVAdj,MATCH(Fluoro!$V$318,$B$30:$E$30,0)+1)</f>
        <v>4.4999999999999998E-2</v>
      </c>
      <c r="R68" s="340">
        <f t="shared" si="8"/>
        <v>3.8599999999999995E-2</v>
      </c>
      <c r="S68" s="340">
        <f>VLOOKUP(L54,TO10kVAdj,MATCH(Fluoro!$V$318,$B$30:$E$30,0)+1)</f>
        <v>3.2199999999999999E-2</v>
      </c>
    </row>
    <row r="69" spans="1:19" ht="12.75" customHeight="1" x14ac:dyDescent="0.25">
      <c r="A69" s="340" t="s">
        <v>361</v>
      </c>
      <c r="B69" s="340" t="e">
        <f>NA()</f>
        <v>#N/A</v>
      </c>
      <c r="C69" s="340">
        <f>VLOOKUP(D55,TO10kVAdj,MATCH(Fluoro!$V$318,$B$30:$E$30,0)+1)</f>
        <v>0.57299999999999995</v>
      </c>
      <c r="D69" s="340">
        <f t="shared" si="1"/>
        <v>0.46649999999999997</v>
      </c>
      <c r="E69" s="340">
        <f>VLOOKUP(E55,TO10kVAdj,MATCH(Fluoro!$V$318,$B$30:$E$30,0)+1)</f>
        <v>0.36</v>
      </c>
      <c r="F69" s="340">
        <f t="shared" si="2"/>
        <v>0.29899999999999999</v>
      </c>
      <c r="G69" s="340">
        <f>VLOOKUP(F55,TO10kVAdj,MATCH(Fluoro!$V$318,$B$30:$E$30,0)+1)</f>
        <v>0.23799999999999999</v>
      </c>
      <c r="H69" s="340">
        <f t="shared" si="3"/>
        <v>0.20250000000000001</v>
      </c>
      <c r="I69" s="340">
        <f>VLOOKUP(G55,TO10kVAdj,MATCH(Fluoro!$V$318,$B$30:$E$30,0)+1)</f>
        <v>0.16700000000000001</v>
      </c>
      <c r="J69" s="340">
        <f t="shared" si="4"/>
        <v>0.14750000000000002</v>
      </c>
      <c r="K69" s="340">
        <f>VLOOKUP(H55,TO10kVAdj,MATCH(Fluoro!$V$318,$B$30:$E$30,0)+1)</f>
        <v>0.128</v>
      </c>
      <c r="L69" s="340">
        <f t="shared" si="5"/>
        <v>0.10780000000000001</v>
      </c>
      <c r="M69" s="340">
        <f>VLOOKUP(I55,TO10kVAdj,MATCH(Fluoro!$V$318,$B$30:$E$30,0)+1)</f>
        <v>8.7599999999999997E-2</v>
      </c>
      <c r="N69" s="340">
        <f t="shared" si="6"/>
        <v>7.7499999999999999E-2</v>
      </c>
      <c r="O69" s="340">
        <f>VLOOKUP(J55,TO10kVAdj,MATCH(Fluoro!$V$318,$B$30:$E$30,0)+1)</f>
        <v>6.7400000000000002E-2</v>
      </c>
      <c r="P69" s="340">
        <f t="shared" si="7"/>
        <v>5.62E-2</v>
      </c>
      <c r="Q69" s="340">
        <f>VLOOKUP(K55,TO10kVAdj,MATCH(Fluoro!$V$318,$B$30:$E$30,0)+1)</f>
        <v>4.4999999999999998E-2</v>
      </c>
      <c r="R69" s="340">
        <f t="shared" si="8"/>
        <v>3.8599999999999995E-2</v>
      </c>
      <c r="S69" s="340">
        <f>VLOOKUP(L55,TO10kVAdj,MATCH(Fluoro!$V$318,$B$30:$E$30,0)+1)</f>
        <v>3.2199999999999999E-2</v>
      </c>
    </row>
    <row r="70" spans="1:19" ht="12.75" customHeight="1" x14ac:dyDescent="0.25">
      <c r="A70" s="340" t="s">
        <v>362</v>
      </c>
      <c r="B70" s="340" t="e">
        <f>NA()</f>
        <v>#N/A</v>
      </c>
      <c r="C70" s="340">
        <f>VLOOKUP(D56,TO10kVAdj,MATCH(Fluoro!$V$318,$B$30:$E$30,0)+1)</f>
        <v>0.95399999999999996</v>
      </c>
      <c r="D70" s="340">
        <f t="shared" si="1"/>
        <v>0.84</v>
      </c>
      <c r="E70" s="340">
        <f>VLOOKUP(E56,TO10kVAdj,MATCH(Fluoro!$V$318,$B$30:$E$30,0)+1)</f>
        <v>0.72599999999999998</v>
      </c>
      <c r="F70" s="340">
        <f t="shared" si="2"/>
        <v>0.64949999999999997</v>
      </c>
      <c r="G70" s="340">
        <f>VLOOKUP(F56,TO10kVAdj,MATCH(Fluoro!$V$318,$B$30:$E$30,0)+1)</f>
        <v>0.57299999999999995</v>
      </c>
      <c r="H70" s="340">
        <f t="shared" si="3"/>
        <v>0.46649999999999997</v>
      </c>
      <c r="I70" s="340">
        <f>VLOOKUP(G56,TO10kVAdj,MATCH(Fluoro!$V$318,$B$30:$E$30,0)+1)</f>
        <v>0.36</v>
      </c>
      <c r="J70" s="340">
        <f t="shared" si="4"/>
        <v>0.29899999999999999</v>
      </c>
      <c r="K70" s="340">
        <f>VLOOKUP(H56,TO10kVAdj,MATCH(Fluoro!$V$318,$B$30:$E$30,0)+1)</f>
        <v>0.23799999999999999</v>
      </c>
      <c r="L70" s="340">
        <f t="shared" si="5"/>
        <v>0.20250000000000001</v>
      </c>
      <c r="M70" s="340">
        <f>VLOOKUP(I56,TO10kVAdj,MATCH(Fluoro!$V$318,$B$30:$E$30,0)+1)</f>
        <v>0.16700000000000001</v>
      </c>
      <c r="N70" s="340">
        <f t="shared" si="6"/>
        <v>0.14750000000000002</v>
      </c>
      <c r="O70" s="340">
        <f>VLOOKUP(J56,TO10kVAdj,MATCH(Fluoro!$V$318,$B$30:$E$30,0)+1)</f>
        <v>0.128</v>
      </c>
      <c r="P70" s="340">
        <f t="shared" si="7"/>
        <v>0.10780000000000001</v>
      </c>
      <c r="Q70" s="340">
        <f>VLOOKUP(K56,TO10kVAdj,MATCH(Fluoro!$V$318,$B$30:$E$30,0)+1)</f>
        <v>8.7599999999999997E-2</v>
      </c>
      <c r="R70" s="340">
        <f t="shared" si="8"/>
        <v>7.7499999999999999E-2</v>
      </c>
      <c r="S70" s="340">
        <f>VLOOKUP(L56,TO10kVAdj,MATCH(Fluoro!$V$318,$B$30:$E$30,0)+1)</f>
        <v>6.7400000000000002E-2</v>
      </c>
    </row>
    <row r="71" spans="1:19" ht="12.75" customHeight="1" x14ac:dyDescent="0.25">
      <c r="A71" s="340" t="s">
        <v>363</v>
      </c>
      <c r="B71" s="340" t="e">
        <f>NA()</f>
        <v>#N/A</v>
      </c>
      <c r="C71" s="340">
        <f>VLOOKUP(D57,TO10kVAdj,MATCH(Fluoro!$V$318,$B$30:$E$30,0)+1)</f>
        <v>0.95399999999999996</v>
      </c>
      <c r="D71" s="340">
        <f t="shared" si="1"/>
        <v>0.84</v>
      </c>
      <c r="E71" s="340">
        <f>VLOOKUP(E57,TO10kVAdj,MATCH(Fluoro!$V$318,$B$30:$E$30,0)+1)</f>
        <v>0.72599999999999998</v>
      </c>
      <c r="F71" s="340">
        <f t="shared" si="2"/>
        <v>0.64949999999999997</v>
      </c>
      <c r="G71" s="340">
        <f>VLOOKUP(F57,TO10kVAdj,MATCH(Fluoro!$V$318,$B$30:$E$30,0)+1)</f>
        <v>0.57299999999999995</v>
      </c>
      <c r="H71" s="340">
        <f t="shared" si="3"/>
        <v>0.46649999999999997</v>
      </c>
      <c r="I71" s="340">
        <f>VLOOKUP(G57,TO10kVAdj,MATCH(Fluoro!$V$318,$B$30:$E$30,0)+1)</f>
        <v>0.36</v>
      </c>
      <c r="J71" s="340">
        <f t="shared" si="4"/>
        <v>0.29899999999999999</v>
      </c>
      <c r="K71" s="340">
        <f>VLOOKUP(H57,TO10kVAdj,MATCH(Fluoro!$V$318,$B$30:$E$30,0)+1)</f>
        <v>0.23799999999999999</v>
      </c>
      <c r="L71" s="340">
        <f t="shared" si="5"/>
        <v>0.20250000000000001</v>
      </c>
      <c r="M71" s="340">
        <f>VLOOKUP(I57,TO10kVAdj,MATCH(Fluoro!$V$318,$B$30:$E$30,0)+1)</f>
        <v>0.16700000000000001</v>
      </c>
      <c r="N71" s="340">
        <f t="shared" si="6"/>
        <v>0.14750000000000002</v>
      </c>
      <c r="O71" s="340">
        <f>VLOOKUP(J57,TO10kVAdj,MATCH(Fluoro!$V$318,$B$30:$E$30,0)+1)</f>
        <v>0.128</v>
      </c>
      <c r="P71" s="340">
        <f t="shared" si="7"/>
        <v>0.10780000000000001</v>
      </c>
      <c r="Q71" s="340">
        <f>VLOOKUP(K57,TO10kVAdj,MATCH(Fluoro!$V$318,$B$30:$E$30,0)+1)</f>
        <v>8.7599999999999997E-2</v>
      </c>
      <c r="R71" s="340">
        <f t="shared" si="8"/>
        <v>7.7499999999999999E-2</v>
      </c>
      <c r="S71" s="340">
        <f>VLOOKUP(L57,TO10kVAdj,MATCH(Fluoro!$V$318,$B$30:$E$30,0)+1)</f>
        <v>6.7400000000000002E-2</v>
      </c>
    </row>
    <row r="72" spans="1:19" ht="12.75" customHeight="1" x14ac:dyDescent="0.25">
      <c r="A72" s="340" t="s">
        <v>364</v>
      </c>
      <c r="B72" s="340" t="e">
        <f>NA()</f>
        <v>#N/A</v>
      </c>
      <c r="C72" s="340">
        <f>VLOOKUP(D58,TO10kVAdj,MATCH(Fluoro!$V$318,$B$30:$E$30,0)+1)</f>
        <v>0.95399999999999996</v>
      </c>
      <c r="D72" s="340">
        <f t="shared" si="1"/>
        <v>0.84</v>
      </c>
      <c r="E72" s="340">
        <f>VLOOKUP(E58,TO10kVAdj,MATCH(Fluoro!$V$318,$B$30:$E$30,0)+1)</f>
        <v>0.72599999999999998</v>
      </c>
      <c r="F72" s="340">
        <f t="shared" si="2"/>
        <v>0.64949999999999997</v>
      </c>
      <c r="G72" s="340">
        <f>VLOOKUP(F58,TO10kVAdj,MATCH(Fluoro!$V$318,$B$30:$E$30,0)+1)</f>
        <v>0.57299999999999995</v>
      </c>
      <c r="H72" s="340">
        <f t="shared" si="3"/>
        <v>0.46649999999999997</v>
      </c>
      <c r="I72" s="340">
        <f>VLOOKUP(G58,TO10kVAdj,MATCH(Fluoro!$V$318,$B$30:$E$30,0)+1)</f>
        <v>0.36</v>
      </c>
      <c r="J72" s="340">
        <f t="shared" si="4"/>
        <v>0.29899999999999999</v>
      </c>
      <c r="K72" s="340">
        <f>VLOOKUP(H58,TO10kVAdj,MATCH(Fluoro!$V$318,$B$30:$E$30,0)+1)</f>
        <v>0.23799999999999999</v>
      </c>
      <c r="L72" s="340">
        <f t="shared" si="5"/>
        <v>0.20250000000000001</v>
      </c>
      <c r="M72" s="340">
        <f>VLOOKUP(I58,TO10kVAdj,MATCH(Fluoro!$V$318,$B$30:$E$30,0)+1)</f>
        <v>0.16700000000000001</v>
      </c>
      <c r="N72" s="340">
        <f t="shared" si="6"/>
        <v>0.14750000000000002</v>
      </c>
      <c r="O72" s="340">
        <f>VLOOKUP(J58,TO10kVAdj,MATCH(Fluoro!$V$318,$B$30:$E$30,0)+1)</f>
        <v>0.128</v>
      </c>
      <c r="P72" s="340">
        <f t="shared" si="7"/>
        <v>0.10780000000000001</v>
      </c>
      <c r="Q72" s="340">
        <f>VLOOKUP(K58,TO10kVAdj,MATCH(Fluoro!$V$318,$B$30:$E$30,0)+1)</f>
        <v>8.7599999999999997E-2</v>
      </c>
      <c r="R72" s="340">
        <f t="shared" si="8"/>
        <v>7.7499999999999999E-2</v>
      </c>
      <c r="S72" s="340">
        <f>VLOOKUP(L58,TO10kVAdj,MATCH(Fluoro!$V$318,$B$30:$E$30,0)+1)</f>
        <v>6.7400000000000002E-2</v>
      </c>
    </row>
    <row r="74" spans="1:19" ht="12.75" customHeight="1" x14ac:dyDescent="0.25">
      <c r="A74" s="1" t="s">
        <v>225</v>
      </c>
    </row>
    <row r="75" spans="1:19" ht="12.75" customHeight="1" x14ac:dyDescent="0.25">
      <c r="B75" s="1" t="s">
        <v>423</v>
      </c>
      <c r="E75" s="600" t="s">
        <v>424</v>
      </c>
      <c r="F75" s="600"/>
      <c r="I75" s="600" t="s">
        <v>425</v>
      </c>
      <c r="J75" s="600"/>
    </row>
    <row r="76" spans="1:19" ht="12.75" customHeight="1" x14ac:dyDescent="0.25">
      <c r="B76" s="1" t="s">
        <v>426</v>
      </c>
      <c r="E76" s="1" t="s">
        <v>151</v>
      </c>
      <c r="F76" s="1" t="s">
        <v>426</v>
      </c>
      <c r="G76" s="1" t="s">
        <v>427</v>
      </c>
      <c r="I76" s="1" t="s">
        <v>231</v>
      </c>
      <c r="J76" s="1" t="s">
        <v>234</v>
      </c>
    </row>
    <row r="77" spans="1:19" ht="12.75" customHeight="1" x14ac:dyDescent="0.25">
      <c r="A77" s="1" t="s">
        <v>168</v>
      </c>
      <c r="B77" s="1" t="s">
        <v>428</v>
      </c>
      <c r="D77" s="1" t="s">
        <v>168</v>
      </c>
      <c r="E77" s="1" t="s">
        <v>428</v>
      </c>
      <c r="F77" s="1" t="s">
        <v>428</v>
      </c>
      <c r="G77" s="1" t="s">
        <v>428</v>
      </c>
      <c r="I77" s="341" t="str">
        <f>IF(Fluoro!$X$174="TBD","TBD",SMALL(Fluoro!$T$174:$T$180,2))</f>
        <v>TBD</v>
      </c>
      <c r="J77" s="1" t="str">
        <f>IF(Fluoro!$X$174="TBD","TBD",IF(I77="",NA(),INDEX(Fluoro!$U$174:$U$180,MATCH(I77,Fluoro!$T$174:$T$180,0))))</f>
        <v>TBD</v>
      </c>
    </row>
    <row r="78" spans="1:19" ht="12.75" customHeight="1" x14ac:dyDescent="0.25">
      <c r="A78" s="1">
        <v>30</v>
      </c>
      <c r="B78" s="341">
        <v>0.3</v>
      </c>
      <c r="D78" s="3">
        <v>60</v>
      </c>
      <c r="E78" s="341">
        <v>2.2000000000000002</v>
      </c>
      <c r="F78" s="341">
        <f t="shared" ref="F78:F85" si="9">TRUNC(TREND($E$78:$E$85,$D$78:$D$85,0.9*D78),1)</f>
        <v>1.8</v>
      </c>
      <c r="G78" s="341">
        <f t="shared" ref="G78:G85" si="10">MAX(TRUNC(TREND($E$78:$E$85,$D$78:$D$85,1.1*D78),1),ROUND(TREND($E$78:$E$85,$D$78:$D$85,1.1*D78),1))</f>
        <v>2.4</v>
      </c>
      <c r="I78" s="341" t="str">
        <f>IF(Fluoro!$X$174="TBD","TBD",SMALL(Fluoro!$T$174:$T$180,3))</f>
        <v>TBD</v>
      </c>
      <c r="J78" s="1" t="str">
        <f>IF(Fluoro!$X$174="TBD","TBD",IF(I78="",NA(),INDEX(Fluoro!$U$174:$U$180,MATCH(I78,Fluoro!$T$174:$T$180,0))))</f>
        <v>TBD</v>
      </c>
    </row>
    <row r="79" spans="1:19" ht="12.75" customHeight="1" x14ac:dyDescent="0.25">
      <c r="A79" s="1">
        <v>40</v>
      </c>
      <c r="B79" s="341">
        <v>0.4</v>
      </c>
      <c r="D79" s="3">
        <v>70</v>
      </c>
      <c r="E79" s="341">
        <v>2.6</v>
      </c>
      <c r="F79" s="341">
        <f t="shared" si="9"/>
        <v>2.2000000000000002</v>
      </c>
      <c r="G79" s="341">
        <f t="shared" si="10"/>
        <v>2.9</v>
      </c>
      <c r="I79" s="341" t="str">
        <f>IF(Fluoro!$X$174="TBD","TBD",SMALL(Fluoro!$T$174:$T$180,4))</f>
        <v>TBD</v>
      </c>
      <c r="J79" s="1" t="str">
        <f>IF(Fluoro!$X$174="TBD","TBD",IF(I79="",NA(),INDEX(Fluoro!$U$174:$U$180,MATCH(I79,Fluoro!$T$174:$T$180,0))))</f>
        <v>TBD</v>
      </c>
    </row>
    <row r="80" spans="1:19" ht="12.75" customHeight="1" x14ac:dyDescent="0.25">
      <c r="A80" s="1">
        <v>50</v>
      </c>
      <c r="B80" s="341">
        <v>0.5</v>
      </c>
      <c r="D80" s="3">
        <v>80</v>
      </c>
      <c r="E80" s="341">
        <v>3</v>
      </c>
      <c r="F80" s="341">
        <f t="shared" si="9"/>
        <v>2.6</v>
      </c>
      <c r="G80" s="341">
        <f t="shared" si="10"/>
        <v>3.5</v>
      </c>
      <c r="I80" s="341" t="str">
        <f>IF(Fluoro!$X$174="TBD","TBD",IF(Fluoro!$T$177="",NA(),SMALL(Fluoro!$T$174:$T$180,5)))</f>
        <v>TBD</v>
      </c>
      <c r="J80" s="1" t="str">
        <f>IF(Fluoro!$X$174="TBD","TBD",IF(I80="",NA(),INDEX(Fluoro!$U$174:$U$180,MATCH(I80,Fluoro!$T$174:$T$180,0))))</f>
        <v>TBD</v>
      </c>
    </row>
    <row r="81" spans="1:16" ht="12.75" customHeight="1" x14ac:dyDescent="0.25">
      <c r="A81" s="1">
        <v>51</v>
      </c>
      <c r="B81" s="341">
        <v>1.2</v>
      </c>
      <c r="D81" s="3">
        <v>90</v>
      </c>
      <c r="E81" s="341">
        <v>3.5</v>
      </c>
      <c r="F81" s="341">
        <f t="shared" si="9"/>
        <v>3.1</v>
      </c>
      <c r="G81" s="341">
        <f t="shared" si="10"/>
        <v>4</v>
      </c>
      <c r="I81" s="341" t="str">
        <f>IF(Fluoro!$X$174="TBD","TBD",IF(Fluoro!$T$178="",NA(),SMALL(Fluoro!$T$174:$T$180,6)))</f>
        <v>TBD</v>
      </c>
      <c r="J81" s="1" t="str">
        <f>IF(Fluoro!$X$174="TBD","TBD",IF(I81="",NA(),INDEX(Fluoro!$U$174:$U$180,MATCH(I81,Fluoro!$T$174:$T$180,0))))</f>
        <v>TBD</v>
      </c>
    </row>
    <row r="82" spans="1:16" ht="12.75" customHeight="1" x14ac:dyDescent="0.25">
      <c r="A82" s="1">
        <v>60</v>
      </c>
      <c r="B82" s="341">
        <v>1.3</v>
      </c>
      <c r="D82" s="3">
        <v>100</v>
      </c>
      <c r="E82" s="341">
        <v>3.9</v>
      </c>
      <c r="F82" s="341">
        <f t="shared" si="9"/>
        <v>3.5</v>
      </c>
      <c r="G82" s="341">
        <f t="shared" si="10"/>
        <v>4.5</v>
      </c>
      <c r="I82" s="341" t="str">
        <f>IF(Fluoro!$X$174="TBD","TBD",IF(Fluoro!$T$179="",NA(),SMALL(Fluoro!$T$174:$T$180,7)))</f>
        <v>TBD</v>
      </c>
      <c r="J82" s="1" t="str">
        <f>IF(Fluoro!$X$174="TBD","TBD",IF(I82="",NA(),INDEX(Fluoro!$U$174:$U$180,MATCH(I82,Fluoro!$T$174:$T$180,0))))</f>
        <v>TBD</v>
      </c>
    </row>
    <row r="83" spans="1:16" ht="12.75" customHeight="1" x14ac:dyDescent="0.25">
      <c r="A83" s="1">
        <v>70</v>
      </c>
      <c r="B83" s="341">
        <v>1.5</v>
      </c>
      <c r="D83" s="3">
        <v>110</v>
      </c>
      <c r="E83" s="341">
        <v>4.3</v>
      </c>
      <c r="F83" s="341">
        <f t="shared" si="9"/>
        <v>3.9</v>
      </c>
      <c r="G83" s="341">
        <f t="shared" si="10"/>
        <v>5.0999999999999996</v>
      </c>
    </row>
    <row r="84" spans="1:16" ht="12.75" customHeight="1" x14ac:dyDescent="0.25">
      <c r="A84" s="1">
        <v>71</v>
      </c>
      <c r="B84" s="341">
        <v>2.1</v>
      </c>
      <c r="D84" s="3">
        <v>120</v>
      </c>
      <c r="E84" s="341">
        <v>5.7</v>
      </c>
      <c r="F84" s="341">
        <f t="shared" si="9"/>
        <v>4.4000000000000004</v>
      </c>
      <c r="G84" s="341">
        <f t="shared" si="10"/>
        <v>5.6</v>
      </c>
    </row>
    <row r="85" spans="1:16" ht="12.75" customHeight="1" x14ac:dyDescent="0.25">
      <c r="A85" s="1">
        <v>80</v>
      </c>
      <c r="B85" s="341">
        <v>2.2999999999999998</v>
      </c>
      <c r="D85" s="3">
        <v>130</v>
      </c>
      <c r="E85" s="341">
        <v>5.2</v>
      </c>
      <c r="F85" s="341">
        <f t="shared" si="9"/>
        <v>4.8</v>
      </c>
      <c r="G85" s="341">
        <f t="shared" si="10"/>
        <v>6.1</v>
      </c>
    </row>
    <row r="86" spans="1:16" ht="12.75" customHeight="1" x14ac:dyDescent="0.25">
      <c r="A86" s="1">
        <v>90</v>
      </c>
      <c r="B86" s="341">
        <v>2.5</v>
      </c>
    </row>
    <row r="87" spans="1:16" ht="12.75" customHeight="1" x14ac:dyDescent="0.25">
      <c r="A87" s="1">
        <v>100</v>
      </c>
      <c r="B87" s="341">
        <v>2.7</v>
      </c>
    </row>
    <row r="88" spans="1:16" ht="12.75" customHeight="1" x14ac:dyDescent="0.25">
      <c r="A88" s="1">
        <v>110</v>
      </c>
      <c r="B88" s="341">
        <v>3</v>
      </c>
    </row>
    <row r="89" spans="1:16" ht="12.75" customHeight="1" x14ac:dyDescent="0.25">
      <c r="A89" s="1">
        <v>120</v>
      </c>
      <c r="B89" s="341">
        <v>3.2</v>
      </c>
    </row>
    <row r="90" spans="1:16" ht="12.75" customHeight="1" x14ac:dyDescent="0.25">
      <c r="A90" s="1">
        <v>130</v>
      </c>
      <c r="B90" s="341">
        <v>3.5</v>
      </c>
    </row>
    <row r="91" spans="1:16" ht="12.75" customHeight="1" x14ac:dyDescent="0.25">
      <c r="A91" s="1">
        <v>140</v>
      </c>
      <c r="B91" s="341">
        <v>3.8</v>
      </c>
    </row>
    <row r="92" spans="1:16" ht="12.75" customHeight="1" x14ac:dyDescent="0.25">
      <c r="A92" s="1">
        <v>150</v>
      </c>
      <c r="B92" s="341">
        <v>4.0999999999999996</v>
      </c>
    </row>
    <row r="94" spans="1:16" ht="12.75" customHeight="1" x14ac:dyDescent="0.25">
      <c r="A94" s="18" t="s">
        <v>429</v>
      </c>
      <c r="B94" s="239"/>
      <c r="C94" s="239"/>
      <c r="D94" s="239"/>
      <c r="E94" s="239"/>
      <c r="F94" s="239"/>
      <c r="G94" s="239"/>
      <c r="H94" s="239"/>
      <c r="I94" s="239"/>
      <c r="J94" s="239"/>
      <c r="K94" s="239"/>
      <c r="L94" s="239"/>
      <c r="M94" s="239"/>
      <c r="N94" s="239"/>
      <c r="O94" s="239"/>
    </row>
    <row r="95" spans="1:16" ht="12.75" customHeight="1" x14ac:dyDescent="0.25">
      <c r="A95" s="239" t="str">
        <f>Fluoro!$P$138</f>
        <v>Acrylic</v>
      </c>
      <c r="B95" s="239" t="s">
        <v>170</v>
      </c>
      <c r="C95" s="239" t="s">
        <v>170</v>
      </c>
      <c r="D95" s="239" t="s">
        <v>170</v>
      </c>
      <c r="E95" s="239" t="s">
        <v>170</v>
      </c>
      <c r="F95" s="239" t="s">
        <v>170</v>
      </c>
      <c r="G95" s="239" t="s">
        <v>170</v>
      </c>
      <c r="H95" s="239" t="s">
        <v>170</v>
      </c>
      <c r="I95" s="239" t="s">
        <v>170</v>
      </c>
      <c r="J95" s="239" t="s">
        <v>170</v>
      </c>
      <c r="K95" s="239" t="s">
        <v>170</v>
      </c>
      <c r="L95" s="239" t="s">
        <v>170</v>
      </c>
      <c r="M95" s="239" t="s">
        <v>170</v>
      </c>
      <c r="N95" s="239" t="s">
        <v>170</v>
      </c>
      <c r="O95" s="239" t="s">
        <v>170</v>
      </c>
      <c r="P95" s="239" t="s">
        <v>170</v>
      </c>
    </row>
    <row r="96" spans="1:16" ht="12.75" customHeight="1" x14ac:dyDescent="0.25">
      <c r="A96" s="239" t="str">
        <f>Fluoro!$P$139</f>
        <v>Attenuator</v>
      </c>
      <c r="B96" s="239" t="str">
        <f>IF(MAX(Fluoro!$S$109:$S$111)=0,"Not Avail.",Fluoro!$Q$107)</f>
        <v>Not Avail.</v>
      </c>
      <c r="C96" s="239" t="str">
        <f>IF(MAX(Fluoro!$S$112:$S$114)=0,"Not Avail.",Fluoro!$Q$107)</f>
        <v>Not Avail.</v>
      </c>
      <c r="D96" s="239" t="str">
        <f>IF(MAX(Fluoro!$S$115:$S$117)=0,"Not Avail.",Fluoro!$Q$107)</f>
        <v>Not Avail.</v>
      </c>
      <c r="E96" s="239" t="str">
        <f>IF(MAX(Fluoro!$S$118:$S$120)=0,"Not Avail.",Fluoro!$Q$107)</f>
        <v>Not Avail.</v>
      </c>
      <c r="F96" s="239" t="str">
        <f>IF(MAX(Fluoro!$S$121:$S$123)=0,"Not Avail.",Fluoro!$Q$107)</f>
        <v>Not Avail.</v>
      </c>
      <c r="G96" s="239" t="str">
        <f>IF(MAX(Fluoro!$V$109:$V$111)=0,"Not Avail.",Fluoro!$T$107)</f>
        <v>Not Avail.</v>
      </c>
      <c r="H96" s="239" t="str">
        <f>IF(MAX(Fluoro!$V$112:$V$114)=0,"Not Avail.",Fluoro!$T$107)</f>
        <v>Not Avail.</v>
      </c>
      <c r="I96" s="239" t="str">
        <f>IF(MAX(Fluoro!$V$115:$V$117)=0,"Not Avail.",Fluoro!$T$107)</f>
        <v>Not Avail.</v>
      </c>
      <c r="J96" s="239" t="str">
        <f>IF(MAX(Fluoro!$V$118:$V$120)=0,"Not Avail.",Fluoro!$T$107)</f>
        <v>Not Avail.</v>
      </c>
      <c r="K96" s="239" t="str">
        <f>IF(MAX(Fluoro!$V$121:$V$123)=0,"Not Avail.",Fluoro!$T$107)</f>
        <v>Not Avail.</v>
      </c>
      <c r="L96" s="239" t="str">
        <f>IF(MAX(Fluoro!$Y$109:$Y$111)=0,"Not Avail.",Fluoro!$W$107)</f>
        <v>Not Avail.</v>
      </c>
      <c r="M96" s="239" t="str">
        <f>IF(MAX(Fluoro!$Y$112:$Y$114)=0,"Not Avail.",Fluoro!$W$107)</f>
        <v>Not Avail.</v>
      </c>
      <c r="N96" s="239" t="str">
        <f>IF(MAX(Fluoro!$Y$115:$Y$117)=0,"Not Avail.",Fluoro!$W$107)</f>
        <v>Not Avail.</v>
      </c>
      <c r="O96" s="239" t="str">
        <f>IF(MAX(Fluoro!$Y$118:$Y$120)=0,"Not Avail.",Fluoro!$W$107)</f>
        <v>Not Avail.</v>
      </c>
      <c r="P96" s="239" t="str">
        <f>IF(MAX(Fluoro!$Y$121:$Y$123)=0,"Not Avail.",Fluoro!$W$107)</f>
        <v>Not Avail.</v>
      </c>
    </row>
    <row r="97" spans="1:16" ht="12.75" customHeight="1" x14ac:dyDescent="0.25">
      <c r="A97" s="239" t="str">
        <f>Fluoro!$P$140</f>
        <v>(cm)</v>
      </c>
      <c r="B97" s="342" t="str">
        <f>IF(MAX(Fluoro!$S$109:$S$111)=0,"",Fluoro!$O$109)</f>
        <v/>
      </c>
      <c r="C97" s="239" t="str">
        <f>IF(MAX(Fluoro!$S$112:$S$114)=0,"",Fluoro!$O$112)</f>
        <v/>
      </c>
      <c r="D97" s="239" t="str">
        <f>IF(MAX(Fluoro!$S$115:$S$117)=0,"",Fluoro!$O$115)</f>
        <v/>
      </c>
      <c r="E97" s="239" t="str">
        <f>IF(MAX(Fluoro!$S$118:$S$120)=0,"",Fluoro!$O$118)</f>
        <v/>
      </c>
      <c r="F97" s="239" t="str">
        <f>IF(MAX(Fluoro!$S$121:$S$123)=0,"",Fluoro!$O$121)</f>
        <v/>
      </c>
      <c r="G97" s="342" t="str">
        <f>IF(MAX(Fluoro!$V$109:$V$111)=0,"",Fluoro!$O$109)</f>
        <v/>
      </c>
      <c r="H97" s="239" t="str">
        <f>IF(MAX(Fluoro!$V$112:$V$114)=0,"",Fluoro!$O$112)</f>
        <v/>
      </c>
      <c r="I97" s="239" t="str">
        <f>IF(MAX(Fluoro!$V$115:$V$117)=0,"",Fluoro!$O$115)</f>
        <v/>
      </c>
      <c r="J97" s="239" t="str">
        <f>IF(MAX(Fluoro!$V$118:$V$120)=0,"",Fluoro!$O$118)</f>
        <v/>
      </c>
      <c r="K97" s="239" t="str">
        <f>IF(MAX(Fluoro!$V$121:$V$123)=0,"",Fluoro!$O$121)</f>
        <v/>
      </c>
      <c r="L97" s="342" t="str">
        <f>IF(MAX(Fluoro!$Y$109:$Y$111)=0,"",Fluoro!$O$109)</f>
        <v/>
      </c>
      <c r="M97" s="239" t="str">
        <f>IF(MAX(Fluoro!$Y$112:$Y$114)=0,"",Fluoro!$O$112)</f>
        <v/>
      </c>
      <c r="N97" s="239" t="str">
        <f>IF(MAX(Fluoro!$Y$115:$Y$117)=0,"",Fluoro!$O$115)</f>
        <v/>
      </c>
      <c r="O97" s="239" t="str">
        <f>IF(MAX(Fluoro!$Y$118:$Y$120)=0,"",Fluoro!$O$118)</f>
        <v/>
      </c>
      <c r="P97" s="239" t="str">
        <f>IF(MAX(Fluoro!$Y$121:$Y$123)=0,"",Fluoro!$O$121)</f>
        <v/>
      </c>
    </row>
    <row r="98" spans="1:16" ht="12.75" customHeight="1" x14ac:dyDescent="0.25">
      <c r="A98" s="239">
        <f>Fluoro!$P$109</f>
        <v>10</v>
      </c>
      <c r="B98" s="239">
        <f t="array" ref="B98:B100">IF(Fluoro!$S$109:$S$111="",NA(),Fluoro!$S$109:$S$111)</f>
        <v>0</v>
      </c>
      <c r="C98" s="239">
        <f t="array" ref="C98:C100">IF(Fluoro!$S$112:$S$114="",NA(),Fluoro!$S$112:$S$114)</f>
        <v>0</v>
      </c>
      <c r="D98" s="239">
        <f t="array" ref="D98:D100">IF(Fluoro!$S$115:$S$117="",NA(),Fluoro!$S$115:$S$117)</f>
        <v>0</v>
      </c>
      <c r="E98" s="239">
        <f t="array" ref="E98:E100">IF(Fluoro!$S$118:$S$120="",NA(),Fluoro!$S$118:$S$120)</f>
        <v>0</v>
      </c>
      <c r="F98" s="239">
        <f t="array" ref="F98:F100">IF(Fluoro!$S$121:$S$123="",NA(),Fluoro!$S$121:$S$123)</f>
        <v>0</v>
      </c>
      <c r="G98" s="239">
        <f t="array" ref="G98:G100">IF(Fluoro!$V$109:$V$111="",NA(),Fluoro!$V$109:$V$111)</f>
        <v>0</v>
      </c>
      <c r="H98" s="239">
        <f t="array" ref="H98:H100">IF(Fluoro!$V$112:$V$114="",NA(),Fluoro!$V$112:$V$114)</f>
        <v>0</v>
      </c>
      <c r="I98" s="239">
        <f t="array" ref="I98:I100">IF(Fluoro!$V$115:$V$117="",NA(),Fluoro!$V$115:$V$117)</f>
        <v>0</v>
      </c>
      <c r="J98" s="239">
        <f t="array" ref="J98:J100">IF(Fluoro!$V$118:$V$120="",NA(),Fluoro!$V$118:$V$120)</f>
        <v>0</v>
      </c>
      <c r="K98" s="239">
        <f t="array" ref="K98:K100">IF(Fluoro!$V$121:$V$123="",NA(),Fluoro!$V$121:$V$123)</f>
        <v>0</v>
      </c>
      <c r="L98" s="239">
        <f t="array" ref="L98:L100">IF(Fluoro!$Y$109:$Y$111="",NA(),Fluoro!$Y$109:$Y$111)</f>
        <v>0</v>
      </c>
      <c r="M98" s="239">
        <f t="array" ref="M98:M100">IF(Fluoro!$Y$112:$Y$114="",NA(),Fluoro!$Y$112:$Y$114)</f>
        <v>0</v>
      </c>
      <c r="N98" s="239">
        <f t="array" ref="N98:N100">IF(Fluoro!$Y$115:$Y$117="",NA(),Fluoro!$Y$115:$Y$117)</f>
        <v>0</v>
      </c>
      <c r="O98" s="239">
        <f t="array" ref="O98:O100">IF(Fluoro!$Y$118:$Y$120="",NA(),Fluoro!$Y$118:$Y$120)</f>
        <v>0</v>
      </c>
      <c r="P98" s="1">
        <f t="array" ref="P98:P100">IF(Fluoro!$Y$121:$Y$123="",NA(),Fluoro!$Y$121:$Y$123)</f>
        <v>0</v>
      </c>
    </row>
    <row r="99" spans="1:16" ht="12.75" customHeight="1" x14ac:dyDescent="0.25">
      <c r="A99" s="239">
        <f>Fluoro!$P$110</f>
        <v>20</v>
      </c>
      <c r="B99" s="239">
        <v>0</v>
      </c>
      <c r="C99" s="239">
        <v>0</v>
      </c>
      <c r="D99" s="239">
        <v>0</v>
      </c>
      <c r="E99" s="239">
        <v>0</v>
      </c>
      <c r="F99" s="239">
        <v>0</v>
      </c>
      <c r="G99" s="239">
        <v>0</v>
      </c>
      <c r="H99" s="239">
        <v>0</v>
      </c>
      <c r="I99" s="239">
        <v>0</v>
      </c>
      <c r="J99" s="239">
        <v>0</v>
      </c>
      <c r="K99" s="239">
        <v>0</v>
      </c>
      <c r="L99" s="239">
        <v>0</v>
      </c>
      <c r="M99" s="239">
        <v>0</v>
      </c>
      <c r="N99" s="239">
        <v>0</v>
      </c>
      <c r="O99" s="239">
        <v>0</v>
      </c>
      <c r="P99" s="1">
        <v>0</v>
      </c>
    </row>
    <row r="100" spans="1:16" ht="12.75" customHeight="1" x14ac:dyDescent="0.25">
      <c r="A100" s="239">
        <f>Fluoro!$P$111</f>
        <v>30</v>
      </c>
      <c r="B100" s="239">
        <v>0</v>
      </c>
      <c r="C100" s="239">
        <v>0</v>
      </c>
      <c r="D100" s="239">
        <v>0</v>
      </c>
      <c r="E100" s="239">
        <v>0</v>
      </c>
      <c r="F100" s="239">
        <v>0</v>
      </c>
      <c r="G100" s="239">
        <v>0</v>
      </c>
      <c r="H100" s="239">
        <v>0</v>
      </c>
      <c r="I100" s="239">
        <v>0</v>
      </c>
      <c r="J100" s="239">
        <v>0</v>
      </c>
      <c r="K100" s="239">
        <v>0</v>
      </c>
      <c r="L100" s="239">
        <v>0</v>
      </c>
      <c r="M100" s="239">
        <v>0</v>
      </c>
      <c r="N100" s="239">
        <v>0</v>
      </c>
      <c r="O100" s="239">
        <v>0</v>
      </c>
      <c r="P100" s="1">
        <v>0</v>
      </c>
    </row>
    <row r="101" spans="1:16" ht="12.75" customHeight="1" x14ac:dyDescent="0.25">
      <c r="A101" s="239"/>
      <c r="B101" s="239"/>
      <c r="C101" s="239"/>
      <c r="D101" s="239"/>
      <c r="E101" s="239"/>
      <c r="F101" s="239"/>
      <c r="G101" s="239"/>
      <c r="H101" s="239"/>
      <c r="I101" s="239"/>
      <c r="J101" s="239"/>
      <c r="K101" s="239"/>
      <c r="L101" s="239"/>
      <c r="M101" s="239"/>
      <c r="N101" s="239"/>
      <c r="O101" s="239"/>
    </row>
    <row r="102" spans="1:16" ht="12.75" customHeight="1" x14ac:dyDescent="0.25">
      <c r="A102" s="18" t="s">
        <v>430</v>
      </c>
      <c r="B102" s="239"/>
      <c r="C102" s="239"/>
      <c r="D102" s="239"/>
      <c r="E102" s="239"/>
      <c r="F102" s="239"/>
      <c r="G102" s="239"/>
      <c r="H102" s="239"/>
      <c r="I102" s="239"/>
      <c r="J102" s="239"/>
      <c r="K102" s="239"/>
      <c r="L102" s="239"/>
      <c r="M102" s="239"/>
      <c r="N102" s="239"/>
      <c r="O102" s="239"/>
    </row>
    <row r="103" spans="1:16" ht="12.75" customHeight="1" x14ac:dyDescent="0.25">
      <c r="A103" s="239" t="str">
        <f>Fluoro!$P$138</f>
        <v>Acrylic</v>
      </c>
      <c r="B103" s="239" t="s">
        <v>170</v>
      </c>
      <c r="C103" s="239" t="s">
        <v>170</v>
      </c>
      <c r="D103" s="239" t="s">
        <v>170</v>
      </c>
      <c r="E103" s="239" t="s">
        <v>170</v>
      </c>
      <c r="F103" s="239" t="s">
        <v>170</v>
      </c>
      <c r="G103" s="239" t="s">
        <v>170</v>
      </c>
      <c r="H103" s="239" t="s">
        <v>170</v>
      </c>
      <c r="I103" s="239" t="s">
        <v>170</v>
      </c>
      <c r="J103" s="239" t="s">
        <v>170</v>
      </c>
      <c r="K103" s="239" t="s">
        <v>170</v>
      </c>
      <c r="L103" s="239" t="s">
        <v>170</v>
      </c>
      <c r="M103" s="239" t="s">
        <v>170</v>
      </c>
      <c r="N103" s="239" t="s">
        <v>170</v>
      </c>
      <c r="O103" s="239" t="s">
        <v>170</v>
      </c>
      <c r="P103" s="239" t="s">
        <v>170</v>
      </c>
    </row>
    <row r="104" spans="1:16" ht="12.75" customHeight="1" x14ac:dyDescent="0.25">
      <c r="A104" s="239" t="str">
        <f>Fluoro!$P$139</f>
        <v>Attenuator</v>
      </c>
      <c r="B104" s="239" t="str">
        <f>IF(MAX(Fluoro!$S$141:$S$143)=0,"Not Avail.",Fluoro!$Q$107)</f>
        <v>Not Avail.</v>
      </c>
      <c r="C104" s="239" t="str">
        <f>IF(MAX(Fluoro!$S$144:$S$146)=0,"Not Avail.",Fluoro!$Q$107)</f>
        <v>Not Avail.</v>
      </c>
      <c r="D104" s="239" t="str">
        <f>IF(MAX(Fluoro!$S$147:$S$149)=0,"Not Avail.",Fluoro!$Q$107)</f>
        <v>Not Avail.</v>
      </c>
      <c r="E104" s="239" t="str">
        <f>IF(MAX(Fluoro!$S$150:$S$152)=0,"Not Avail.",Fluoro!$Q$107)</f>
        <v>Not Avail.</v>
      </c>
      <c r="F104" s="239" t="str">
        <f>IF(MAX(Fluoro!$S$153:$S$155)=0,"Not Avail.",Fluoro!$Q$107)</f>
        <v>Not Avail.</v>
      </c>
      <c r="G104" s="239" t="str">
        <f>IF(MAX(Fluoro!$V$141:$V$143)=0,"Not Avail.",Fluoro!$T$107)</f>
        <v>Not Avail.</v>
      </c>
      <c r="H104" s="239" t="str">
        <f>IF(MAX(Fluoro!$V$144:$V$146)=0,"Not Avail.",Fluoro!$T$107)</f>
        <v>Not Avail.</v>
      </c>
      <c r="I104" s="239" t="str">
        <f>IF(MAX(Fluoro!$V$147:$V$149)=0,"Not Avail.",Fluoro!$T$107)</f>
        <v>Not Avail.</v>
      </c>
      <c r="J104" s="239" t="str">
        <f>IF(MAX(Fluoro!$V$150:$V$152)=0,"Not Avail.",Fluoro!$T$107)</f>
        <v>Not Avail.</v>
      </c>
      <c r="K104" s="239" t="str">
        <f>IF(MAX(Fluoro!$V$153:$V$155)=0,"Not Avail.",Fluoro!$T$107)</f>
        <v>Not Avail.</v>
      </c>
      <c r="L104" s="239" t="str">
        <f>IF(MAX(Fluoro!$Y$141:$Y$143)=0,"Not Avail.",Fluoro!$W$107)</f>
        <v>Not Avail.</v>
      </c>
      <c r="M104" s="239" t="str">
        <f>IF(MAX(Fluoro!$Y$144:$Y$146)=0,"Not Avail.",Fluoro!$W$107)</f>
        <v>Not Avail.</v>
      </c>
      <c r="N104" s="239" t="str">
        <f>IF(MAX(Fluoro!$Y$147:$Y$149)=0,"Not Avail.",Fluoro!$W$107)</f>
        <v>Not Avail.</v>
      </c>
      <c r="O104" s="239" t="str">
        <f>IF(MAX(Fluoro!$Y$150:$Y$152)=0,"Not Avail.",Fluoro!$W$107)</f>
        <v>Not Avail.</v>
      </c>
      <c r="P104" s="239" t="str">
        <f>IF(MAX(Fluoro!$Y$153:$Y$155)=0,"Not Avail.",Fluoro!$W$107)</f>
        <v>Not Avail.</v>
      </c>
    </row>
    <row r="105" spans="1:16" ht="12.75" customHeight="1" x14ac:dyDescent="0.25">
      <c r="A105" s="239" t="str">
        <f>Fluoro!$P$140</f>
        <v>(cm)</v>
      </c>
      <c r="B105" s="342" t="str">
        <f>IF(MAX(Fluoro!$S$141:$S$143)=0,"",Fluoro!$O$109)</f>
        <v/>
      </c>
      <c r="C105" s="239" t="str">
        <f>IF(MAX(Fluoro!$S$144:$S$146)=0,"",Fluoro!$O$112)</f>
        <v/>
      </c>
      <c r="D105" s="239" t="str">
        <f>IF(MAX(Fluoro!$S$147:$S$149)=0,"",Fluoro!$O$115)</f>
        <v/>
      </c>
      <c r="E105" s="239" t="str">
        <f>IF(MAX(Fluoro!$S$150:$S$152)=0,"",Fluoro!$O$118)</f>
        <v/>
      </c>
      <c r="F105" s="239" t="str">
        <f>IF(MAX(Fluoro!$S$153:$S$155)=0,"",Fluoro!$O$121)</f>
        <v/>
      </c>
      <c r="G105" s="342" t="str">
        <f>IF(MAX(Fluoro!$V$141:$V$143)=0,"",Fluoro!$O$109)</f>
        <v/>
      </c>
      <c r="H105" s="239" t="str">
        <f>IF(MAX(Fluoro!$V$144:$V$146)=0,"",Fluoro!$O$112)</f>
        <v/>
      </c>
      <c r="I105" s="239" t="str">
        <f>IF(MAX(Fluoro!$V$147:$V$149)=0,"",Fluoro!$O$115)</f>
        <v/>
      </c>
      <c r="J105" s="239" t="str">
        <f>IF(MAX(Fluoro!$V$150:$V$152)=0,"",Fluoro!$O$118)</f>
        <v/>
      </c>
      <c r="K105" s="239" t="str">
        <f>IF(MAX(Fluoro!$V$153:$V$155)=0,"",Fluoro!$O$121)</f>
        <v/>
      </c>
      <c r="L105" s="342" t="str">
        <f>IF(MAX(Fluoro!$Y$141:$Y$143)=0,"",Fluoro!$O$109)</f>
        <v/>
      </c>
      <c r="M105" s="239" t="str">
        <f>IF(MAX(Fluoro!$Y$144:$Y$146)=0,"",Fluoro!$O$112)</f>
        <v/>
      </c>
      <c r="N105" s="239" t="str">
        <f>IF(MAX(Fluoro!$Y$147:$Y$149)=0,"",Fluoro!$O$115)</f>
        <v/>
      </c>
      <c r="O105" s="1" t="str">
        <f>IF(MAX(Fluoro!$Y$150:$Y$152)=0,"",Fluoro!$O$118)</f>
        <v/>
      </c>
      <c r="P105" s="239" t="str">
        <f>IF(MAX(Fluoro!$Y$153:$Y$155)=0,"",Fluoro!$O$121)</f>
        <v/>
      </c>
    </row>
    <row r="106" spans="1:16" ht="12.75" customHeight="1" x14ac:dyDescent="0.25">
      <c r="A106" s="239">
        <f>Fluoro!$P$109</f>
        <v>10</v>
      </c>
      <c r="B106" s="239">
        <f t="array" ref="B106:B108">IF(Fluoro!$S$141:$S$143="",NA(),Fluoro!$S$141:$S$143)</f>
        <v>0</v>
      </c>
      <c r="C106" s="239">
        <f t="array" ref="C106:C108">IF(Fluoro!$S$144:$S$146="",NA(),Fluoro!$S$144:$S$146)</f>
        <v>0</v>
      </c>
      <c r="D106" s="239">
        <f t="array" ref="D106:D108">IF(Fluoro!$S$147:$S$149="",NA(),Fluoro!$S$147:$S$149)</f>
        <v>0</v>
      </c>
      <c r="E106" s="239">
        <f t="array" ref="E106:E108">IF(Fluoro!$S$150:$S$152="",NA(),Fluoro!$S$150:$S$152)</f>
        <v>0</v>
      </c>
      <c r="F106" s="239">
        <f t="array" ref="F106:F108">IF(Fluoro!$S$153:$S$155="",NA(),Fluoro!$S$153:$S$155)</f>
        <v>0</v>
      </c>
      <c r="G106" s="239">
        <f t="array" ref="G106:G108">IF(Fluoro!$V$141:$V$143="",NA(),Fluoro!$V$141:$V$143)</f>
        <v>0</v>
      </c>
      <c r="H106" s="239">
        <f t="array" ref="H106:H108">IF(Fluoro!$V$144:$V$146="",NA(),Fluoro!$V$144:$V$146)</f>
        <v>0</v>
      </c>
      <c r="I106" s="239">
        <f t="array" ref="I106:I108">IF(Fluoro!V$147:V$149="",NA(),Fluoro!V$147:V$149)</f>
        <v>0</v>
      </c>
      <c r="J106" s="239">
        <f t="array" ref="J106:J108">IF(Fluoro!$V$150:$V$152="",NA(),Fluoro!$V$150:$V$152)</f>
        <v>0</v>
      </c>
      <c r="K106" s="239">
        <f t="array" ref="K106:K108">IF(Fluoro!$V$153:$V$155="",NA(),Fluoro!$V$153:$V$155)</f>
        <v>0</v>
      </c>
      <c r="L106" s="239">
        <f t="array" ref="L106:L108">IF(Fluoro!$Y$141:$Y$143="",NA(),Fluoro!$Y$141:$Y$143)</f>
        <v>0</v>
      </c>
      <c r="M106" s="239">
        <f t="array" ref="M106:M108">IF(Fluoro!$Y$144:$Y$146="",NA(),Fluoro!$Y$144:$Y$146)</f>
        <v>0</v>
      </c>
      <c r="N106" s="239">
        <f t="array" ref="N106:N108">IF(Fluoro!$Y$147:$Y$149="",NA(),Fluoro!$Y$147:$Y$149)</f>
        <v>0</v>
      </c>
      <c r="O106" s="239">
        <f t="array" ref="O106:O108">IF(Fluoro!$Y$150:$Y$152="",NA(),Fluoro!$Y$150:$Y$152)</f>
        <v>0</v>
      </c>
      <c r="P106" s="1">
        <f t="array" ref="P106:P108">IF(Fluoro!$Y$153:$Y$155="",NA(),Fluoro!$Y$153:$Y$155)</f>
        <v>0</v>
      </c>
    </row>
    <row r="107" spans="1:16" ht="12.75" customHeight="1" x14ac:dyDescent="0.25">
      <c r="A107" s="239">
        <f>Fluoro!$P$110</f>
        <v>20</v>
      </c>
      <c r="B107" s="239">
        <v>0</v>
      </c>
      <c r="C107" s="239">
        <v>0</v>
      </c>
      <c r="D107" s="239">
        <v>0</v>
      </c>
      <c r="E107" s="239">
        <v>0</v>
      </c>
      <c r="F107" s="239">
        <v>0</v>
      </c>
      <c r="G107" s="239">
        <v>0</v>
      </c>
      <c r="H107" s="239">
        <v>0</v>
      </c>
      <c r="I107" s="239">
        <v>0</v>
      </c>
      <c r="J107" s="239">
        <v>0</v>
      </c>
      <c r="K107" s="239">
        <v>0</v>
      </c>
      <c r="L107" s="239">
        <v>0</v>
      </c>
      <c r="M107" s="239">
        <v>0</v>
      </c>
      <c r="N107" s="239">
        <v>0</v>
      </c>
      <c r="O107" s="239">
        <v>0</v>
      </c>
      <c r="P107" s="1">
        <v>0</v>
      </c>
    </row>
    <row r="108" spans="1:16" ht="12.75" customHeight="1" x14ac:dyDescent="0.25">
      <c r="A108" s="239">
        <f>Fluoro!$P$111</f>
        <v>30</v>
      </c>
      <c r="B108" s="239">
        <v>0</v>
      </c>
      <c r="C108" s="239">
        <v>0</v>
      </c>
      <c r="D108" s="239">
        <v>0</v>
      </c>
      <c r="E108" s="239">
        <v>0</v>
      </c>
      <c r="F108" s="239">
        <v>0</v>
      </c>
      <c r="G108" s="239">
        <v>0</v>
      </c>
      <c r="H108" s="239">
        <v>0</v>
      </c>
      <c r="I108" s="239">
        <v>0</v>
      </c>
      <c r="J108" s="239">
        <v>0</v>
      </c>
      <c r="K108" s="239">
        <v>0</v>
      </c>
      <c r="L108" s="239">
        <v>0</v>
      </c>
      <c r="M108" s="239">
        <v>0</v>
      </c>
      <c r="N108" s="239">
        <v>0</v>
      </c>
      <c r="O108" s="239">
        <v>0</v>
      </c>
      <c r="P108" s="1">
        <v>0</v>
      </c>
    </row>
    <row r="109" spans="1:16" ht="12.75" customHeight="1" x14ac:dyDescent="0.25">
      <c r="A109" s="239"/>
      <c r="B109" s="239"/>
      <c r="C109" s="239"/>
      <c r="D109" s="239"/>
      <c r="E109" s="239"/>
      <c r="F109" s="239"/>
      <c r="G109" s="239"/>
      <c r="H109" s="239"/>
      <c r="I109" s="239"/>
      <c r="J109" s="239"/>
      <c r="K109" s="239"/>
      <c r="L109" s="239"/>
      <c r="M109" s="239"/>
      <c r="N109" s="239"/>
      <c r="O109" s="239"/>
    </row>
    <row r="110" spans="1:16" ht="12.75" customHeight="1" x14ac:dyDescent="0.25">
      <c r="A110" s="18" t="s">
        <v>431</v>
      </c>
      <c r="B110" s="239"/>
      <c r="C110" s="239"/>
      <c r="D110" s="239"/>
      <c r="E110" s="239"/>
      <c r="F110" s="239"/>
      <c r="G110" s="239"/>
      <c r="H110" s="239"/>
      <c r="I110" s="239"/>
      <c r="J110" s="239"/>
      <c r="K110" s="239"/>
      <c r="L110" s="239"/>
      <c r="M110" s="239"/>
      <c r="N110" s="239"/>
      <c r="O110" s="239"/>
    </row>
    <row r="111" spans="1:16" ht="12.75" customHeight="1" x14ac:dyDescent="0.25">
      <c r="A111" s="239"/>
      <c r="B111" s="1" t="s">
        <v>315</v>
      </c>
      <c r="F111" s="239"/>
      <c r="G111" s="239"/>
      <c r="H111" s="239"/>
      <c r="I111" s="239"/>
      <c r="J111" s="239"/>
      <c r="K111" s="239"/>
      <c r="L111" s="239"/>
      <c r="M111" s="239"/>
      <c r="N111" s="239"/>
      <c r="O111" s="239"/>
    </row>
    <row r="112" spans="1:16" ht="12.75" customHeight="1" x14ac:dyDescent="0.25">
      <c r="A112" s="239" t="s">
        <v>432</v>
      </c>
      <c r="B112" s="239">
        <v>1</v>
      </c>
      <c r="C112" s="239"/>
      <c r="D112" s="239"/>
      <c r="E112" s="239"/>
      <c r="F112" s="239"/>
      <c r="G112" s="239"/>
      <c r="H112" s="239"/>
      <c r="I112" s="239"/>
      <c r="J112" s="239"/>
      <c r="K112" s="239"/>
      <c r="L112" s="239"/>
      <c r="M112" s="239"/>
      <c r="N112" s="239"/>
      <c r="O112" s="239"/>
    </row>
    <row r="113" spans="1:15" ht="12.75" customHeight="1" x14ac:dyDescent="0.25">
      <c r="A113" s="239" t="s">
        <v>433</v>
      </c>
      <c r="B113" s="239">
        <v>10</v>
      </c>
      <c r="C113" s="239"/>
      <c r="D113" s="239"/>
      <c r="E113" s="239"/>
      <c r="F113" s="239"/>
      <c r="G113" s="239"/>
      <c r="H113" s="239"/>
      <c r="I113" s="239"/>
      <c r="J113" s="239"/>
      <c r="K113" s="239"/>
      <c r="L113" s="239"/>
      <c r="M113" s="239"/>
      <c r="N113" s="239"/>
      <c r="O113" s="239"/>
    </row>
    <row r="114" spans="1:15" ht="12.75" customHeight="1" x14ac:dyDescent="0.25">
      <c r="A114" s="239" t="s">
        <v>434</v>
      </c>
      <c r="B114" s="239">
        <v>100</v>
      </c>
      <c r="C114" s="239"/>
      <c r="D114" s="239"/>
      <c r="E114" s="239"/>
      <c r="F114" s="239"/>
      <c r="G114" s="239"/>
      <c r="H114" s="239"/>
      <c r="I114" s="239"/>
      <c r="J114" s="239"/>
      <c r="K114" s="239"/>
      <c r="L114" s="239"/>
      <c r="M114" s="239"/>
      <c r="N114" s="239"/>
      <c r="O114" s="239"/>
    </row>
    <row r="115" spans="1:15" ht="12.75" customHeight="1" x14ac:dyDescent="0.25">
      <c r="A115" s="239" t="s">
        <v>435</v>
      </c>
      <c r="B115" s="239">
        <v>0.01</v>
      </c>
      <c r="C115" s="239"/>
      <c r="D115" s="239"/>
      <c r="E115" s="239"/>
      <c r="F115" s="239"/>
      <c r="G115" s="239"/>
      <c r="H115" s="239"/>
      <c r="I115" s="239"/>
      <c r="J115" s="239"/>
      <c r="K115" s="239"/>
      <c r="L115" s="239"/>
      <c r="M115" s="239"/>
      <c r="N115" s="239"/>
      <c r="O115" s="239"/>
    </row>
    <row r="116" spans="1:15" ht="12.75" customHeight="1" x14ac:dyDescent="0.25">
      <c r="A116" s="1" t="s">
        <v>315</v>
      </c>
      <c r="B116" s="239">
        <v>1</v>
      </c>
      <c r="C116" s="239"/>
      <c r="D116" s="239"/>
      <c r="E116" s="239"/>
      <c r="F116" s="239"/>
      <c r="G116" s="239"/>
      <c r="H116" s="239"/>
      <c r="I116" s="239"/>
      <c r="J116" s="239"/>
      <c r="K116" s="239"/>
      <c r="L116" s="239"/>
      <c r="M116" s="239"/>
      <c r="N116" s="239"/>
      <c r="O116" s="239"/>
    </row>
    <row r="117" spans="1:15" ht="12.75" customHeight="1" x14ac:dyDescent="0.25">
      <c r="A117" s="239"/>
      <c r="B117" s="239"/>
      <c r="C117" s="239"/>
      <c r="D117" s="239"/>
      <c r="E117" s="239"/>
      <c r="F117" s="239"/>
      <c r="G117" s="239"/>
      <c r="H117" s="239"/>
      <c r="I117" s="239"/>
      <c r="J117" s="239"/>
      <c r="K117" s="239"/>
      <c r="L117" s="239"/>
      <c r="M117" s="239"/>
      <c r="N117" s="239"/>
      <c r="O117" s="239"/>
    </row>
    <row r="118" spans="1:15" ht="12.75" customHeight="1" x14ac:dyDescent="0.25">
      <c r="A118" s="239"/>
      <c r="B118" s="239"/>
      <c r="C118" s="239"/>
      <c r="D118" s="239"/>
      <c r="E118" s="239"/>
      <c r="F118" s="239"/>
      <c r="G118" s="239"/>
      <c r="H118" s="239"/>
      <c r="I118" s="239"/>
      <c r="J118" s="239"/>
      <c r="K118" s="239"/>
      <c r="L118" s="239"/>
      <c r="M118" s="239"/>
      <c r="N118" s="239"/>
      <c r="O118" s="239"/>
    </row>
    <row r="119" spans="1:15" ht="12.75" customHeight="1" x14ac:dyDescent="0.25">
      <c r="A119" s="239"/>
      <c r="B119" s="239"/>
      <c r="C119" s="239"/>
      <c r="D119" s="239"/>
      <c r="E119" s="239"/>
      <c r="F119" s="239"/>
      <c r="G119" s="239"/>
      <c r="H119" s="239"/>
      <c r="I119" s="239"/>
      <c r="J119" s="239"/>
      <c r="K119" s="239"/>
      <c r="L119" s="239"/>
      <c r="M119" s="239"/>
      <c r="N119" s="239"/>
      <c r="O119" s="239"/>
    </row>
    <row r="120" spans="1:15" ht="12.75" customHeight="1" x14ac:dyDescent="0.25">
      <c r="A120" s="239"/>
      <c r="B120" s="239"/>
      <c r="C120" s="239"/>
      <c r="D120" s="239"/>
      <c r="E120" s="239"/>
      <c r="F120" s="239"/>
      <c r="G120" s="239"/>
      <c r="H120" s="239"/>
      <c r="I120" s="239"/>
      <c r="J120" s="239"/>
      <c r="K120" s="239"/>
      <c r="L120" s="239"/>
      <c r="M120" s="239"/>
      <c r="N120" s="239"/>
      <c r="O120" s="239"/>
    </row>
    <row r="121" spans="1:15" ht="12.75" customHeight="1" x14ac:dyDescent="0.25">
      <c r="A121" s="239"/>
      <c r="B121" s="239"/>
      <c r="C121" s="239"/>
      <c r="D121" s="239"/>
      <c r="E121" s="239"/>
      <c r="F121" s="239"/>
      <c r="G121" s="239"/>
      <c r="H121" s="239"/>
      <c r="I121" s="239"/>
      <c r="J121" s="239"/>
      <c r="K121" s="239"/>
      <c r="L121" s="239"/>
      <c r="M121" s="239"/>
      <c r="N121" s="239"/>
      <c r="O121" s="239"/>
    </row>
    <row r="122" spans="1:15" ht="12.75" customHeight="1" x14ac:dyDescent="0.25">
      <c r="A122" s="239"/>
      <c r="B122" s="239"/>
      <c r="C122" s="239"/>
      <c r="D122" s="239"/>
      <c r="E122" s="239"/>
      <c r="F122" s="239"/>
      <c r="G122" s="239"/>
      <c r="H122" s="239"/>
      <c r="I122" s="239"/>
      <c r="J122" s="239"/>
      <c r="K122" s="239"/>
      <c r="L122" s="239"/>
      <c r="M122" s="239"/>
      <c r="N122" s="239"/>
      <c r="O122" s="239"/>
    </row>
    <row r="123" spans="1:15" ht="12.75" customHeight="1" x14ac:dyDescent="0.25">
      <c r="A123" s="239"/>
      <c r="B123" s="239"/>
      <c r="C123" s="239"/>
      <c r="D123" s="239"/>
      <c r="E123" s="239"/>
      <c r="F123" s="239"/>
      <c r="G123" s="239"/>
      <c r="H123" s="239"/>
      <c r="I123" s="239"/>
      <c r="J123" s="239"/>
      <c r="K123" s="239"/>
      <c r="L123" s="239"/>
      <c r="M123" s="239"/>
      <c r="N123" s="239"/>
      <c r="O123" s="239"/>
    </row>
    <row r="124" spans="1:15" ht="12.75" customHeight="1" x14ac:dyDescent="0.25">
      <c r="A124" s="239"/>
      <c r="B124" s="239"/>
      <c r="C124" s="239"/>
      <c r="D124" s="239"/>
      <c r="E124" s="239"/>
      <c r="F124" s="239"/>
      <c r="G124" s="239"/>
      <c r="H124" s="239"/>
      <c r="I124" s="239"/>
      <c r="J124" s="239"/>
      <c r="K124" s="239"/>
      <c r="L124" s="239"/>
      <c r="M124" s="239"/>
      <c r="N124" s="239"/>
      <c r="O124" s="239"/>
    </row>
    <row r="125" spans="1:15" ht="12.75" customHeight="1" x14ac:dyDescent="0.25">
      <c r="A125" s="239"/>
      <c r="B125" s="239"/>
      <c r="C125" s="239"/>
      <c r="D125" s="239"/>
      <c r="E125" s="239"/>
      <c r="F125" s="239"/>
      <c r="G125" s="239"/>
      <c r="H125" s="239"/>
      <c r="I125" s="239"/>
      <c r="J125" s="239"/>
      <c r="K125" s="239"/>
      <c r="L125" s="239"/>
      <c r="M125" s="239"/>
      <c r="N125" s="239"/>
      <c r="O125" s="239"/>
    </row>
    <row r="126" spans="1:15" ht="12.75" customHeight="1" x14ac:dyDescent="0.25">
      <c r="A126" s="239"/>
      <c r="B126" s="239"/>
      <c r="C126" s="239"/>
      <c r="D126" s="239"/>
      <c r="E126" s="239"/>
      <c r="F126" s="239"/>
      <c r="G126" s="239"/>
      <c r="H126" s="239"/>
      <c r="I126" s="239"/>
      <c r="J126" s="239"/>
      <c r="K126" s="239"/>
      <c r="L126" s="239"/>
      <c r="M126" s="239"/>
      <c r="N126" s="239"/>
      <c r="O126" s="239"/>
    </row>
    <row r="127" spans="1:15" ht="12.75" customHeight="1" x14ac:dyDescent="0.25">
      <c r="A127" s="239"/>
      <c r="B127" s="239"/>
      <c r="C127" s="239"/>
      <c r="D127" s="239"/>
      <c r="E127" s="239"/>
      <c r="F127" s="239"/>
      <c r="G127" s="239"/>
      <c r="H127" s="239"/>
      <c r="I127" s="239"/>
      <c r="J127" s="239"/>
      <c r="K127" s="239"/>
      <c r="L127" s="239"/>
      <c r="M127" s="239"/>
      <c r="N127" s="239"/>
      <c r="O127" s="239"/>
    </row>
    <row r="128" spans="1:15" ht="12.75" customHeight="1" x14ac:dyDescent="0.25">
      <c r="A128" s="239"/>
      <c r="B128" s="239"/>
      <c r="C128" s="239"/>
      <c r="D128" s="239"/>
      <c r="E128" s="239"/>
      <c r="F128" s="239"/>
      <c r="G128" s="239"/>
      <c r="H128" s="239"/>
      <c r="I128" s="239"/>
      <c r="J128" s="239"/>
      <c r="K128" s="239"/>
      <c r="L128" s="239"/>
      <c r="M128" s="239"/>
      <c r="N128" s="239"/>
      <c r="O128" s="239"/>
    </row>
    <row r="129" spans="1:15" ht="12.75" customHeight="1" x14ac:dyDescent="0.25">
      <c r="A129" s="239"/>
      <c r="B129" s="239"/>
      <c r="C129" s="239"/>
      <c r="D129" s="239"/>
      <c r="E129" s="239"/>
      <c r="F129" s="239"/>
      <c r="G129" s="239"/>
      <c r="H129" s="239"/>
      <c r="I129" s="239"/>
      <c r="J129" s="239"/>
      <c r="K129" s="239"/>
      <c r="L129" s="239"/>
      <c r="M129" s="239"/>
      <c r="N129" s="239"/>
      <c r="O129" s="239"/>
    </row>
    <row r="130" spans="1:15" ht="12.75" customHeight="1" x14ac:dyDescent="0.25">
      <c r="A130" s="239"/>
      <c r="B130" s="239"/>
      <c r="C130" s="239"/>
      <c r="D130" s="239"/>
      <c r="E130" s="239"/>
      <c r="F130" s="239"/>
      <c r="G130" s="239"/>
      <c r="H130" s="239"/>
      <c r="I130" s="239"/>
      <c r="J130" s="239"/>
      <c r="K130" s="239"/>
      <c r="L130" s="239"/>
      <c r="M130" s="239"/>
      <c r="N130" s="239"/>
      <c r="O130" s="239"/>
    </row>
    <row r="131" spans="1:15" ht="12.75" customHeight="1" x14ac:dyDescent="0.25">
      <c r="A131" s="239"/>
      <c r="B131" s="239"/>
      <c r="C131" s="239"/>
      <c r="D131" s="239"/>
      <c r="E131" s="239"/>
      <c r="F131" s="239"/>
      <c r="G131" s="239"/>
      <c r="H131" s="239"/>
      <c r="I131" s="239"/>
      <c r="J131" s="239"/>
      <c r="K131" s="239"/>
      <c r="L131" s="239"/>
      <c r="M131" s="239"/>
      <c r="N131" s="239"/>
      <c r="O131" s="239"/>
    </row>
    <row r="132" spans="1:15" ht="12.75" customHeight="1" x14ac:dyDescent="0.25">
      <c r="A132" s="239"/>
      <c r="B132" s="239"/>
      <c r="C132" s="239"/>
      <c r="D132" s="239"/>
      <c r="E132" s="239"/>
      <c r="F132" s="239"/>
      <c r="G132" s="239"/>
      <c r="H132" s="239"/>
      <c r="I132" s="239"/>
      <c r="J132" s="239"/>
      <c r="K132" s="239"/>
      <c r="L132" s="239"/>
      <c r="M132" s="239"/>
      <c r="N132" s="239"/>
      <c r="O132" s="239"/>
    </row>
    <row r="133" spans="1:15" ht="12.75" customHeight="1" x14ac:dyDescent="0.25">
      <c r="A133" s="239"/>
      <c r="B133" s="239"/>
      <c r="C133" s="239"/>
      <c r="D133" s="239"/>
      <c r="E133" s="239"/>
      <c r="F133" s="239"/>
      <c r="G133" s="239"/>
      <c r="H133" s="239"/>
      <c r="I133" s="239"/>
      <c r="J133" s="239"/>
      <c r="K133" s="239"/>
      <c r="L133" s="239"/>
      <c r="M133" s="239"/>
      <c r="N133" s="239"/>
      <c r="O133" s="239"/>
    </row>
    <row r="134" spans="1:15" ht="12.75" customHeight="1" x14ac:dyDescent="0.25">
      <c r="A134" s="239"/>
      <c r="B134" s="239"/>
      <c r="C134" s="239"/>
      <c r="D134" s="239"/>
      <c r="E134" s="239"/>
      <c r="F134" s="239"/>
      <c r="G134" s="239"/>
      <c r="H134" s="239"/>
      <c r="I134" s="239"/>
      <c r="J134" s="239"/>
      <c r="K134" s="239"/>
      <c r="L134" s="239"/>
      <c r="M134" s="239"/>
      <c r="N134" s="239"/>
      <c r="O134" s="239"/>
    </row>
    <row r="135" spans="1:15" ht="12.75" customHeight="1" x14ac:dyDescent="0.25">
      <c r="A135" s="239"/>
      <c r="B135" s="239"/>
      <c r="C135" s="239"/>
      <c r="D135" s="239"/>
      <c r="E135" s="239"/>
      <c r="F135" s="239"/>
      <c r="G135" s="239"/>
      <c r="H135" s="239"/>
      <c r="I135" s="239"/>
      <c r="J135" s="239"/>
      <c r="K135" s="239"/>
      <c r="L135" s="239"/>
      <c r="M135" s="239"/>
      <c r="N135" s="239"/>
      <c r="O135" s="239"/>
    </row>
    <row r="136" spans="1:15" ht="12.75" customHeight="1" x14ac:dyDescent="0.25">
      <c r="A136" s="239"/>
      <c r="B136" s="239"/>
      <c r="C136" s="239"/>
      <c r="D136" s="239"/>
      <c r="E136" s="239"/>
      <c r="F136" s="239"/>
      <c r="G136" s="239"/>
      <c r="H136" s="239"/>
      <c r="I136" s="239"/>
      <c r="J136" s="239"/>
      <c r="K136" s="239"/>
      <c r="L136" s="239"/>
      <c r="M136" s="239"/>
      <c r="N136" s="239"/>
      <c r="O136" s="239"/>
    </row>
    <row r="137" spans="1:15" ht="12.75" customHeight="1" x14ac:dyDescent="0.25">
      <c r="A137" s="239"/>
      <c r="B137" s="239"/>
      <c r="C137" s="239"/>
      <c r="D137" s="239"/>
      <c r="E137" s="239"/>
      <c r="F137" s="239"/>
      <c r="G137" s="239"/>
      <c r="H137" s="239"/>
      <c r="I137" s="239"/>
      <c r="J137" s="239"/>
      <c r="K137" s="239"/>
      <c r="L137" s="239"/>
      <c r="M137" s="239"/>
      <c r="N137" s="239"/>
      <c r="O137" s="239"/>
    </row>
    <row r="138" spans="1:15" ht="12.75" customHeight="1" x14ac:dyDescent="0.25">
      <c r="A138" s="239"/>
      <c r="B138" s="239"/>
      <c r="C138" s="239"/>
      <c r="D138" s="239"/>
      <c r="E138" s="239"/>
      <c r="F138" s="239"/>
      <c r="G138" s="239"/>
      <c r="H138" s="239"/>
      <c r="I138" s="239"/>
      <c r="J138" s="239"/>
      <c r="K138" s="239"/>
      <c r="L138" s="239"/>
      <c r="M138" s="239"/>
      <c r="N138" s="239"/>
      <c r="O138" s="239"/>
    </row>
    <row r="139" spans="1:15" ht="12.75" customHeight="1" x14ac:dyDescent="0.25">
      <c r="A139" s="239"/>
      <c r="B139" s="239"/>
      <c r="C139" s="239"/>
      <c r="D139" s="239"/>
      <c r="E139" s="239"/>
      <c r="F139" s="239"/>
      <c r="G139" s="239"/>
      <c r="H139" s="239"/>
      <c r="I139" s="239"/>
      <c r="J139" s="239"/>
      <c r="K139" s="239"/>
      <c r="L139" s="239"/>
      <c r="M139" s="239"/>
      <c r="N139" s="239"/>
      <c r="O139" s="239"/>
    </row>
    <row r="140" spans="1:15" ht="12.75" customHeight="1" x14ac:dyDescent="0.25">
      <c r="A140" s="239"/>
      <c r="B140" s="239"/>
      <c r="C140" s="239"/>
      <c r="D140" s="239"/>
      <c r="E140" s="239"/>
      <c r="F140" s="239"/>
      <c r="G140" s="239"/>
      <c r="H140" s="239"/>
      <c r="I140" s="239"/>
      <c r="J140" s="239"/>
      <c r="K140" s="239"/>
      <c r="L140" s="239"/>
      <c r="M140" s="239"/>
      <c r="N140" s="239"/>
      <c r="O140" s="239"/>
    </row>
    <row r="141" spans="1:15" ht="12.75" customHeight="1" x14ac:dyDescent="0.25">
      <c r="A141" s="239"/>
      <c r="B141" s="239"/>
      <c r="C141" s="239"/>
      <c r="D141" s="239"/>
      <c r="E141" s="239"/>
      <c r="F141" s="239"/>
      <c r="G141" s="239"/>
      <c r="H141" s="239"/>
      <c r="I141" s="239"/>
      <c r="J141" s="239"/>
      <c r="K141" s="239"/>
      <c r="L141" s="239"/>
      <c r="M141" s="239"/>
      <c r="N141" s="239"/>
      <c r="O141" s="239"/>
    </row>
    <row r="142" spans="1:15" ht="12.75" customHeight="1" x14ac:dyDescent="0.25">
      <c r="A142" s="239"/>
      <c r="B142" s="239"/>
      <c r="C142" s="239"/>
      <c r="D142" s="239"/>
      <c r="E142" s="239"/>
      <c r="F142" s="239"/>
      <c r="G142" s="239"/>
      <c r="H142" s="239"/>
      <c r="I142" s="239"/>
      <c r="J142" s="239"/>
      <c r="K142" s="239"/>
      <c r="L142" s="239"/>
      <c r="M142" s="239"/>
      <c r="N142" s="239"/>
      <c r="O142" s="239"/>
    </row>
    <row r="143" spans="1:15" ht="12.75" customHeight="1" x14ac:dyDescent="0.25">
      <c r="A143" s="239"/>
      <c r="B143" s="239"/>
      <c r="C143" s="239"/>
      <c r="D143" s="239"/>
      <c r="E143" s="239"/>
      <c r="F143" s="239"/>
      <c r="G143" s="239"/>
      <c r="H143" s="239"/>
      <c r="I143" s="239"/>
      <c r="J143" s="239"/>
      <c r="K143" s="239"/>
      <c r="L143" s="239"/>
      <c r="M143" s="239"/>
      <c r="N143" s="239"/>
      <c r="O143" s="239"/>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75" zoomScaleNormal="75" workbookViewId="0">
      <selection activeCell="C26" sqref="C26"/>
    </sheetView>
  </sheetViews>
  <sheetFormatPr defaultRowHeight="15.75" x14ac:dyDescent="0.25"/>
  <cols>
    <col min="1" max="1025" width="10.625" customWidth="1"/>
  </cols>
  <sheetData>
    <row r="1" spans="1:11" x14ac:dyDescent="0.25">
      <c r="A1" s="83" t="s">
        <v>158</v>
      </c>
      <c r="B1" s="1"/>
      <c r="C1" s="1"/>
      <c r="D1" s="1"/>
      <c r="E1" s="1"/>
      <c r="F1" s="1"/>
      <c r="G1" s="1"/>
      <c r="H1" s="1"/>
      <c r="I1" s="1"/>
      <c r="J1" s="1"/>
      <c r="K1" s="15"/>
    </row>
    <row r="2" spans="1:11" x14ac:dyDescent="0.25">
      <c r="A2" s="84" t="s">
        <v>161</v>
      </c>
      <c r="B2" s="15" t="str">
        <f>IF($R$100=1,"Acrylic","Aluminum")</f>
        <v>Aluminum</v>
      </c>
      <c r="C2" s="50" t="str">
        <f>Fluoro!Q106</f>
        <v/>
      </c>
      <c r="D2" s="51"/>
      <c r="E2" s="15"/>
      <c r="F2" s="50" t="str">
        <f>Fluoro!T106</f>
        <v/>
      </c>
      <c r="G2" s="51"/>
      <c r="H2" s="15"/>
      <c r="I2" s="50" t="str">
        <f>Fluoro!W106</f>
        <v/>
      </c>
      <c r="J2" s="51"/>
      <c r="K2" s="15"/>
    </row>
    <row r="3" spans="1:11" x14ac:dyDescent="0.25">
      <c r="A3" s="84" t="s">
        <v>164</v>
      </c>
      <c r="B3" s="15" t="s">
        <v>165</v>
      </c>
      <c r="C3" s="1"/>
      <c r="D3" s="1"/>
      <c r="E3" s="15"/>
      <c r="F3" s="1"/>
      <c r="G3" s="1"/>
      <c r="H3" s="15"/>
      <c r="I3" s="1"/>
      <c r="J3" s="1"/>
      <c r="K3" s="15"/>
    </row>
    <row r="4" spans="1:11" x14ac:dyDescent="0.25">
      <c r="A4" s="84" t="str">
        <f>IF(Fluoro!O104="","","("&amp;Fluoro!O104&amp;")")</f>
        <v>(cm)</v>
      </c>
      <c r="B4" s="24" t="s">
        <v>167</v>
      </c>
      <c r="C4" s="1" t="s">
        <v>168</v>
      </c>
      <c r="D4" s="1" t="s">
        <v>169</v>
      </c>
      <c r="E4" s="15" t="s">
        <v>436</v>
      </c>
      <c r="F4" s="1" t="s">
        <v>168</v>
      </c>
      <c r="G4" s="1" t="s">
        <v>169</v>
      </c>
      <c r="H4" s="15" t="s">
        <v>436</v>
      </c>
      <c r="I4" s="1" t="s">
        <v>168</v>
      </c>
      <c r="J4" s="1" t="s">
        <v>169</v>
      </c>
      <c r="K4" s="15" t="s">
        <v>436</v>
      </c>
    </row>
    <row r="5" spans="1:11" x14ac:dyDescent="0.25">
      <c r="A5" s="85" t="s">
        <v>172</v>
      </c>
      <c r="B5" s="85">
        <v>10</v>
      </c>
      <c r="C5" s="86"/>
      <c r="D5" s="87"/>
      <c r="E5" s="88"/>
      <c r="F5" s="86"/>
      <c r="G5" s="87"/>
      <c r="H5" s="88"/>
      <c r="I5" s="86"/>
      <c r="J5" s="87"/>
      <c r="K5" s="88"/>
    </row>
    <row r="6" spans="1:11" x14ac:dyDescent="0.25">
      <c r="A6" s="89" t="str">
        <f>Fluoro!O110</f>
        <v/>
      </c>
      <c r="B6" s="84">
        <v>20</v>
      </c>
      <c r="C6" s="90"/>
      <c r="D6" s="91"/>
      <c r="E6" s="92"/>
      <c r="F6" s="90"/>
      <c r="G6" s="91"/>
      <c r="H6" s="92"/>
      <c r="I6" s="90"/>
      <c r="J6" s="91"/>
      <c r="K6" s="92"/>
    </row>
    <row r="7" spans="1:11" x14ac:dyDescent="0.25">
      <c r="A7" s="93"/>
      <c r="B7" s="94">
        <v>30</v>
      </c>
      <c r="C7" s="95"/>
      <c r="D7" s="96"/>
      <c r="E7" s="97"/>
      <c r="F7" s="95"/>
      <c r="G7" s="96"/>
      <c r="H7" s="97"/>
      <c r="I7" s="95"/>
      <c r="J7" s="96"/>
      <c r="K7" s="97"/>
    </row>
    <row r="8" spans="1:11" x14ac:dyDescent="0.25">
      <c r="A8" s="85" t="s">
        <v>175</v>
      </c>
      <c r="B8" s="85">
        <v>10</v>
      </c>
      <c r="C8" s="86"/>
      <c r="D8" s="87"/>
      <c r="E8" s="88"/>
      <c r="F8" s="86"/>
      <c r="G8" s="87"/>
      <c r="H8" s="88"/>
      <c r="I8" s="86"/>
      <c r="J8" s="87"/>
      <c r="K8" s="88"/>
    </row>
    <row r="9" spans="1:11" x14ac:dyDescent="0.25">
      <c r="A9" s="89" t="str">
        <f>Fluoro!O113</f>
        <v/>
      </c>
      <c r="B9" s="84">
        <v>20</v>
      </c>
      <c r="C9" s="90"/>
      <c r="D9" s="91"/>
      <c r="E9" s="92"/>
      <c r="F9" s="90"/>
      <c r="G9" s="91"/>
      <c r="H9" s="92"/>
      <c r="I9" s="90"/>
      <c r="J9" s="91"/>
      <c r="K9" s="92"/>
    </row>
    <row r="10" spans="1:11" x14ac:dyDescent="0.25">
      <c r="A10" s="93"/>
      <c r="B10" s="94">
        <v>30</v>
      </c>
      <c r="C10" s="95"/>
      <c r="D10" s="96"/>
      <c r="E10" s="97"/>
      <c r="F10" s="95"/>
      <c r="G10" s="96"/>
      <c r="H10" s="97"/>
      <c r="I10" s="95"/>
      <c r="J10" s="96"/>
      <c r="K10" s="97"/>
    </row>
    <row r="11" spans="1:11" x14ac:dyDescent="0.25">
      <c r="A11" s="85" t="s">
        <v>176</v>
      </c>
      <c r="B11" s="85">
        <v>10</v>
      </c>
      <c r="C11" s="86"/>
      <c r="D11" s="87"/>
      <c r="E11" s="88"/>
      <c r="F11" s="86"/>
      <c r="G11" s="87"/>
      <c r="H11" s="88"/>
      <c r="I11" s="86"/>
      <c r="J11" s="87"/>
      <c r="K11" s="88"/>
    </row>
    <row r="12" spans="1:11" x14ac:dyDescent="0.25">
      <c r="A12" s="89" t="str">
        <f>Fluoro!O116</f>
        <v/>
      </c>
      <c r="B12" s="84">
        <v>20</v>
      </c>
      <c r="C12" s="90"/>
      <c r="D12" s="91"/>
      <c r="E12" s="92"/>
      <c r="F12" s="90"/>
      <c r="G12" s="91"/>
      <c r="H12" s="92"/>
      <c r="I12" s="90"/>
      <c r="J12" s="91"/>
      <c r="K12" s="92"/>
    </row>
    <row r="13" spans="1:11" x14ac:dyDescent="0.25">
      <c r="A13" s="93"/>
      <c r="B13" s="94">
        <v>30</v>
      </c>
      <c r="C13" s="95"/>
      <c r="D13" s="96"/>
      <c r="E13" s="97"/>
      <c r="F13" s="95"/>
      <c r="G13" s="96"/>
      <c r="H13" s="97"/>
      <c r="I13" s="95"/>
      <c r="J13" s="96"/>
      <c r="K13" s="97"/>
    </row>
    <row r="14" spans="1:11" x14ac:dyDescent="0.25">
      <c r="A14" s="85" t="s">
        <v>177</v>
      </c>
      <c r="B14" s="85">
        <v>10</v>
      </c>
      <c r="C14" s="86"/>
      <c r="D14" s="87"/>
      <c r="E14" s="88"/>
      <c r="F14" s="86"/>
      <c r="G14" s="87"/>
      <c r="H14" s="88"/>
      <c r="I14" s="86"/>
      <c r="J14" s="87"/>
      <c r="K14" s="88"/>
    </row>
    <row r="15" spans="1:11" x14ac:dyDescent="0.25">
      <c r="A15" s="89" t="str">
        <f>Fluoro!O119</f>
        <v/>
      </c>
      <c r="B15" s="84">
        <v>20</v>
      </c>
      <c r="C15" s="90"/>
      <c r="D15" s="91"/>
      <c r="E15" s="92"/>
      <c r="F15" s="90"/>
      <c r="G15" s="91"/>
      <c r="H15" s="92"/>
      <c r="I15" s="90"/>
      <c r="J15" s="91"/>
      <c r="K15" s="92"/>
    </row>
    <row r="16" spans="1:11" x14ac:dyDescent="0.25">
      <c r="A16" s="93"/>
      <c r="B16" s="94">
        <v>30</v>
      </c>
      <c r="C16" s="95"/>
      <c r="D16" s="96"/>
      <c r="E16" s="97"/>
      <c r="F16" s="95"/>
      <c r="G16" s="96"/>
      <c r="H16" s="97"/>
      <c r="I16" s="95"/>
      <c r="J16" s="96"/>
      <c r="K16" s="97"/>
    </row>
    <row r="17" spans="1:11" x14ac:dyDescent="0.25">
      <c r="A17" s="85" t="s">
        <v>178</v>
      </c>
      <c r="B17" s="85">
        <v>10</v>
      </c>
      <c r="C17" s="86"/>
      <c r="D17" s="87"/>
      <c r="E17" s="88"/>
      <c r="F17" s="86"/>
      <c r="G17" s="87"/>
      <c r="H17" s="88"/>
      <c r="I17" s="86"/>
      <c r="J17" s="87"/>
      <c r="K17" s="88"/>
    </row>
    <row r="18" spans="1:11" x14ac:dyDescent="0.25">
      <c r="A18" s="89" t="str">
        <f>Fluoro!O122</f>
        <v/>
      </c>
      <c r="B18" s="84">
        <v>20</v>
      </c>
      <c r="C18" s="90"/>
      <c r="D18" s="91"/>
      <c r="E18" s="92"/>
      <c r="F18" s="90"/>
      <c r="G18" s="91"/>
      <c r="H18" s="92"/>
      <c r="I18" s="90"/>
      <c r="J18" s="91"/>
      <c r="K18" s="92"/>
    </row>
    <row r="19" spans="1:11" x14ac:dyDescent="0.25">
      <c r="A19" s="93"/>
      <c r="B19" s="94">
        <v>30</v>
      </c>
      <c r="C19" s="95"/>
      <c r="D19" s="96"/>
      <c r="E19" s="97"/>
      <c r="F19" s="95"/>
      <c r="G19" s="96"/>
      <c r="H19" s="97"/>
      <c r="I19" s="95"/>
      <c r="J19" s="96"/>
      <c r="K19" s="97"/>
    </row>
    <row r="20" spans="1:11" x14ac:dyDescent="0.25">
      <c r="A20" s="14"/>
      <c r="B20" s="98" t="s">
        <v>179</v>
      </c>
      <c r="C20" s="99"/>
      <c r="D20" s="100"/>
      <c r="E20" s="101"/>
      <c r="F20" s="99"/>
      <c r="G20" s="100"/>
      <c r="H20" s="101"/>
      <c r="I20" s="99"/>
      <c r="J20" s="100"/>
      <c r="K20" s="101"/>
    </row>
    <row r="22" spans="1:11" x14ac:dyDescent="0.25">
      <c r="A22" s="118" t="s">
        <v>437</v>
      </c>
      <c r="B22" s="8"/>
      <c r="C22" s="8"/>
      <c r="D22" s="8"/>
      <c r="E22" s="8"/>
      <c r="F22" s="8"/>
      <c r="G22" s="8"/>
      <c r="H22" s="8"/>
      <c r="I22" s="8"/>
      <c r="J22" s="8"/>
      <c r="K22" s="9"/>
    </row>
    <row r="23" spans="1:11" x14ac:dyDescent="0.25">
      <c r="A23" s="84" t="s">
        <v>161</v>
      </c>
      <c r="B23" s="15" t="str">
        <f>IF($R$100=1,"Acrylic","Aluminum")</f>
        <v>Aluminum</v>
      </c>
      <c r="C23" s="50" t="str">
        <f>Fluoro!Q138</f>
        <v/>
      </c>
      <c r="D23" s="51"/>
      <c r="E23" s="15"/>
      <c r="F23" s="50" t="str">
        <f>Fluoro!T138</f>
        <v/>
      </c>
      <c r="G23" s="51"/>
      <c r="H23" s="15"/>
      <c r="I23" s="50" t="str">
        <f>Fluoro!W138</f>
        <v/>
      </c>
      <c r="J23" s="51"/>
      <c r="K23" s="15"/>
    </row>
    <row r="24" spans="1:11" x14ac:dyDescent="0.25">
      <c r="A24" s="84" t="s">
        <v>164</v>
      </c>
      <c r="B24" s="15" t="s">
        <v>165</v>
      </c>
      <c r="C24" s="1"/>
      <c r="D24" s="1"/>
      <c r="E24" s="15"/>
      <c r="F24" s="1"/>
      <c r="G24" s="1"/>
      <c r="H24" s="15"/>
      <c r="I24" s="1"/>
      <c r="J24" s="1"/>
      <c r="K24" s="15"/>
    </row>
    <row r="25" spans="1:11" x14ac:dyDescent="0.25">
      <c r="A25" s="84" t="str">
        <f>IF(Fluoro!O104="","","("&amp;Fluoro!O104&amp;")")</f>
        <v>(cm)</v>
      </c>
      <c r="B25" s="24" t="s">
        <v>167</v>
      </c>
      <c r="C25" s="1" t="s">
        <v>168</v>
      </c>
      <c r="D25" s="1" t="s">
        <v>169</v>
      </c>
      <c r="E25" s="15" t="s">
        <v>436</v>
      </c>
      <c r="F25" s="1" t="s">
        <v>168</v>
      </c>
      <c r="G25" s="1" t="s">
        <v>169</v>
      </c>
      <c r="H25" s="15" t="s">
        <v>436</v>
      </c>
      <c r="I25" s="1" t="s">
        <v>168</v>
      </c>
      <c r="J25" s="1" t="s">
        <v>169</v>
      </c>
      <c r="K25" s="15" t="s">
        <v>436</v>
      </c>
    </row>
    <row r="26" spans="1:11" x14ac:dyDescent="0.25">
      <c r="A26" s="85" t="s">
        <v>172</v>
      </c>
      <c r="B26" s="85">
        <v>10</v>
      </c>
      <c r="C26" s="86"/>
      <c r="D26" s="87"/>
      <c r="E26" s="88"/>
      <c r="F26" s="86"/>
      <c r="G26" s="87"/>
      <c r="H26" s="88"/>
      <c r="I26" s="86"/>
      <c r="J26" s="87"/>
      <c r="K26" s="88"/>
    </row>
    <row r="27" spans="1:11" x14ac:dyDescent="0.25">
      <c r="A27" s="89" t="str">
        <f>Fluoro!O142</f>
        <v/>
      </c>
      <c r="B27" s="84">
        <v>20</v>
      </c>
      <c r="C27" s="90"/>
      <c r="D27" s="91"/>
      <c r="E27" s="92"/>
      <c r="F27" s="90"/>
      <c r="G27" s="91"/>
      <c r="H27" s="92"/>
      <c r="I27" s="90"/>
      <c r="J27" s="91"/>
      <c r="K27" s="92"/>
    </row>
    <row r="28" spans="1:11" x14ac:dyDescent="0.25">
      <c r="A28" s="93"/>
      <c r="B28" s="94">
        <v>30</v>
      </c>
      <c r="C28" s="95"/>
      <c r="D28" s="96"/>
      <c r="E28" s="97"/>
      <c r="F28" s="95"/>
      <c r="G28" s="96"/>
      <c r="H28" s="97"/>
      <c r="I28" s="95"/>
      <c r="J28" s="96"/>
      <c r="K28" s="97"/>
    </row>
    <row r="29" spans="1:11" x14ac:dyDescent="0.25">
      <c r="A29" s="85" t="s">
        <v>175</v>
      </c>
      <c r="B29" s="85">
        <v>10</v>
      </c>
      <c r="C29" s="86"/>
      <c r="D29" s="87"/>
      <c r="E29" s="88"/>
      <c r="F29" s="86"/>
      <c r="G29" s="87"/>
      <c r="H29" s="88"/>
      <c r="I29" s="86"/>
      <c r="J29" s="87"/>
      <c r="K29" s="88"/>
    </row>
    <row r="30" spans="1:11" x14ac:dyDescent="0.25">
      <c r="A30" s="89" t="str">
        <f>Fluoro!O145</f>
        <v/>
      </c>
      <c r="B30" s="84">
        <v>20</v>
      </c>
      <c r="C30" s="90"/>
      <c r="D30" s="91"/>
      <c r="E30" s="92"/>
      <c r="F30" s="90"/>
      <c r="G30" s="91"/>
      <c r="H30" s="92"/>
      <c r="I30" s="90"/>
      <c r="J30" s="91"/>
      <c r="K30" s="92"/>
    </row>
    <row r="31" spans="1:11" x14ac:dyDescent="0.25">
      <c r="A31" s="93"/>
      <c r="B31" s="94">
        <v>30</v>
      </c>
      <c r="C31" s="95"/>
      <c r="D31" s="96"/>
      <c r="E31" s="97"/>
      <c r="F31" s="95"/>
      <c r="G31" s="96"/>
      <c r="H31" s="97"/>
      <c r="I31" s="95"/>
      <c r="J31" s="96"/>
      <c r="K31" s="97"/>
    </row>
    <row r="32" spans="1:11" x14ac:dyDescent="0.25">
      <c r="A32" s="85" t="s">
        <v>176</v>
      </c>
      <c r="B32" s="85">
        <v>10</v>
      </c>
      <c r="C32" s="86"/>
      <c r="D32" s="87"/>
      <c r="E32" s="88"/>
      <c r="F32" s="86"/>
      <c r="G32" s="87"/>
      <c r="H32" s="88"/>
      <c r="I32" s="86"/>
      <c r="J32" s="87"/>
      <c r="K32" s="88"/>
    </row>
    <row r="33" spans="1:11" x14ac:dyDescent="0.25">
      <c r="A33" s="89" t="str">
        <f>Fluoro!O148</f>
        <v/>
      </c>
      <c r="B33" s="84">
        <v>20</v>
      </c>
      <c r="C33" s="90"/>
      <c r="D33" s="91"/>
      <c r="E33" s="92"/>
      <c r="F33" s="90"/>
      <c r="G33" s="91"/>
      <c r="H33" s="92"/>
      <c r="I33" s="90"/>
      <c r="J33" s="91"/>
      <c r="K33" s="92"/>
    </row>
    <row r="34" spans="1:11" x14ac:dyDescent="0.25">
      <c r="A34" s="93"/>
      <c r="B34" s="94">
        <v>30</v>
      </c>
      <c r="C34" s="95"/>
      <c r="D34" s="96"/>
      <c r="E34" s="97"/>
      <c r="F34" s="95"/>
      <c r="G34" s="96"/>
      <c r="H34" s="97"/>
      <c r="I34" s="95"/>
      <c r="J34" s="96"/>
      <c r="K34" s="97"/>
    </row>
    <row r="35" spans="1:11" x14ac:dyDescent="0.25">
      <c r="A35" s="85" t="s">
        <v>177</v>
      </c>
      <c r="B35" s="85">
        <v>10</v>
      </c>
      <c r="C35" s="86"/>
      <c r="D35" s="87"/>
      <c r="E35" s="88"/>
      <c r="F35" s="86"/>
      <c r="G35" s="87"/>
      <c r="H35" s="88"/>
      <c r="I35" s="86"/>
      <c r="J35" s="87"/>
      <c r="K35" s="88"/>
    </row>
    <row r="36" spans="1:11" x14ac:dyDescent="0.25">
      <c r="A36" s="89" t="str">
        <f>Fluoro!O151</f>
        <v/>
      </c>
      <c r="B36" s="84">
        <v>20</v>
      </c>
      <c r="C36" s="90"/>
      <c r="D36" s="91"/>
      <c r="E36" s="92"/>
      <c r="F36" s="90"/>
      <c r="G36" s="91"/>
      <c r="H36" s="92"/>
      <c r="I36" s="90"/>
      <c r="J36" s="91"/>
      <c r="K36" s="92"/>
    </row>
    <row r="37" spans="1:11" x14ac:dyDescent="0.25">
      <c r="A37" s="93"/>
      <c r="B37" s="94">
        <v>30</v>
      </c>
      <c r="C37" s="95"/>
      <c r="D37" s="96"/>
      <c r="E37" s="97"/>
      <c r="F37" s="95"/>
      <c r="G37" s="96"/>
      <c r="H37" s="97"/>
      <c r="I37" s="95"/>
      <c r="J37" s="96"/>
      <c r="K37" s="97"/>
    </row>
    <row r="38" spans="1:11" x14ac:dyDescent="0.25">
      <c r="A38" s="85" t="s">
        <v>178</v>
      </c>
      <c r="B38" s="85">
        <v>10</v>
      </c>
      <c r="C38" s="86"/>
      <c r="D38" s="87"/>
      <c r="E38" s="88"/>
      <c r="F38" s="86"/>
      <c r="G38" s="87"/>
      <c r="H38" s="88"/>
      <c r="I38" s="86"/>
      <c r="J38" s="87"/>
      <c r="K38" s="88"/>
    </row>
    <row r="39" spans="1:11" x14ac:dyDescent="0.25">
      <c r="A39" s="89" t="str">
        <f>Fluoro!O154</f>
        <v/>
      </c>
      <c r="B39" s="84">
        <v>20</v>
      </c>
      <c r="C39" s="90"/>
      <c r="D39" s="91"/>
      <c r="E39" s="92"/>
      <c r="F39" s="90"/>
      <c r="G39" s="91"/>
      <c r="H39" s="92"/>
      <c r="I39" s="90"/>
      <c r="J39" s="91"/>
      <c r="K39" s="92"/>
    </row>
    <row r="40" spans="1:11" x14ac:dyDescent="0.25">
      <c r="A40" s="93"/>
      <c r="B40" s="94">
        <v>30</v>
      </c>
      <c r="C40" s="95"/>
      <c r="D40" s="96"/>
      <c r="E40" s="97"/>
      <c r="F40" s="95"/>
      <c r="G40" s="96"/>
      <c r="H40" s="97"/>
      <c r="I40" s="95"/>
      <c r="J40" s="96"/>
      <c r="K40" s="97"/>
    </row>
    <row r="41" spans="1:11" x14ac:dyDescent="0.25">
      <c r="A41" s="14"/>
      <c r="B41" s="98" t="s">
        <v>179</v>
      </c>
      <c r="C41" s="99"/>
      <c r="D41" s="100"/>
      <c r="E41" s="101"/>
      <c r="F41" s="99"/>
      <c r="G41" s="100"/>
      <c r="H41" s="101"/>
      <c r="I41" s="99"/>
      <c r="J41" s="100"/>
      <c r="K41" s="101"/>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438</v>
      </c>
      <c r="B1" s="343" t="s">
        <v>439</v>
      </c>
      <c r="C1" s="344"/>
    </row>
    <row r="2" spans="1:11" x14ac:dyDescent="0.25">
      <c r="A2" t="s">
        <v>440</v>
      </c>
      <c r="B2" s="345" t="str">
        <f>Fluoro!F13</f>
        <v/>
      </c>
      <c r="C2" s="346"/>
    </row>
    <row r="3" spans="1:11" x14ac:dyDescent="0.25">
      <c r="A3" t="s">
        <v>151</v>
      </c>
      <c r="B3" s="343">
        <f>Fluoro!D136</f>
        <v>80</v>
      </c>
      <c r="C3" s="343" t="str">
        <f>Fluoro!H138</f>
        <v>TBD</v>
      </c>
    </row>
    <row r="4" spans="1:11" x14ac:dyDescent="0.25">
      <c r="A4" t="s">
        <v>441</v>
      </c>
      <c r="B4" s="343" t="str">
        <f>Fluoro!O110</f>
        <v/>
      </c>
    </row>
    <row r="5" spans="1:11" x14ac:dyDescent="0.25">
      <c r="B5" s="343" t="str">
        <f>Fluoro!O113</f>
        <v/>
      </c>
    </row>
    <row r="6" spans="1:11" x14ac:dyDescent="0.25">
      <c r="B6" s="343" t="str">
        <f>Fluoro!O116</f>
        <v/>
      </c>
    </row>
    <row r="7" spans="1:11" x14ac:dyDescent="0.25">
      <c r="B7" s="343" t="str">
        <f>Fluoro!O119</f>
        <v/>
      </c>
    </row>
    <row r="8" spans="1:11" x14ac:dyDescent="0.25">
      <c r="B8" s="343" t="str">
        <f>Fluoro!O122</f>
        <v/>
      </c>
    </row>
    <row r="9" spans="1:11" x14ac:dyDescent="0.25">
      <c r="A9" t="s">
        <v>442</v>
      </c>
      <c r="B9" s="343" t="str">
        <f>Fluoro!Q107</f>
        <v>Auto 1</v>
      </c>
    </row>
    <row r="10" spans="1:11" x14ac:dyDescent="0.25">
      <c r="B10" s="343" t="str">
        <f>Fluoro!T107</f>
        <v>Auto 2</v>
      </c>
    </row>
    <row r="11" spans="1:11" x14ac:dyDescent="0.25">
      <c r="B11" s="343" t="str">
        <f>Fluoro!W107</f>
        <v>High Level</v>
      </c>
    </row>
    <row r="12" spans="1:11" x14ac:dyDescent="0.25">
      <c r="A12" t="s">
        <v>443</v>
      </c>
      <c r="B12" s="343">
        <f>Fluoro!P109</f>
        <v>10</v>
      </c>
      <c r="C12" s="343">
        <f>Fluoro!Q109</f>
        <v>0</v>
      </c>
      <c r="D12" s="343">
        <f>Fluoro!R109</f>
        <v>0</v>
      </c>
      <c r="E12" s="343">
        <f>Fluoro!S109</f>
        <v>0</v>
      </c>
      <c r="F12" s="343">
        <f>Fluoro!T109</f>
        <v>0</v>
      </c>
      <c r="G12" s="343">
        <f>Fluoro!U109</f>
        <v>0</v>
      </c>
      <c r="H12" s="343">
        <f>Fluoro!V109</f>
        <v>0</v>
      </c>
      <c r="I12" s="343">
        <f>Fluoro!W109</f>
        <v>0</v>
      </c>
      <c r="J12" s="343">
        <f>Fluoro!X109</f>
        <v>0</v>
      </c>
      <c r="K12" s="343">
        <f>Fluoro!Y109</f>
        <v>0</v>
      </c>
    </row>
    <row r="13" spans="1:11" x14ac:dyDescent="0.25">
      <c r="B13" s="343">
        <f>Fluoro!P110</f>
        <v>20</v>
      </c>
      <c r="C13" s="343">
        <f>Fluoro!Q110</f>
        <v>0</v>
      </c>
      <c r="D13" s="343">
        <f>Fluoro!R110</f>
        <v>0</v>
      </c>
      <c r="E13" s="343">
        <f>Fluoro!S110</f>
        <v>0</v>
      </c>
      <c r="F13" s="343">
        <f>Fluoro!T110</f>
        <v>0</v>
      </c>
      <c r="G13" s="343">
        <f>Fluoro!U110</f>
        <v>0</v>
      </c>
      <c r="H13" s="343">
        <f>Fluoro!V110</f>
        <v>0</v>
      </c>
      <c r="I13" s="343">
        <f>Fluoro!W110</f>
        <v>0</v>
      </c>
      <c r="J13" s="343">
        <f>Fluoro!X110</f>
        <v>0</v>
      </c>
      <c r="K13" s="343">
        <f>Fluoro!Y110</f>
        <v>0</v>
      </c>
    </row>
    <row r="14" spans="1:11" x14ac:dyDescent="0.25">
      <c r="B14" s="343">
        <f>Fluoro!P111</f>
        <v>30</v>
      </c>
      <c r="C14" s="343">
        <f>Fluoro!Q111</f>
        <v>0</v>
      </c>
      <c r="D14" s="343">
        <f>Fluoro!R111</f>
        <v>0</v>
      </c>
      <c r="E14" s="343">
        <f>Fluoro!S111</f>
        <v>0</v>
      </c>
      <c r="F14" s="343">
        <f>Fluoro!T111</f>
        <v>0</v>
      </c>
      <c r="G14" s="343">
        <f>Fluoro!U111</f>
        <v>0</v>
      </c>
      <c r="H14" s="343">
        <f>Fluoro!V111</f>
        <v>0</v>
      </c>
      <c r="I14" s="343">
        <f>Fluoro!W111</f>
        <v>0</v>
      </c>
      <c r="J14" s="343">
        <f>Fluoro!X111</f>
        <v>0</v>
      </c>
      <c r="K14" s="343">
        <f>Fluoro!Y111</f>
        <v>0</v>
      </c>
    </row>
    <row r="15" spans="1:11" x14ac:dyDescent="0.25">
      <c r="B15" s="343">
        <f>Fluoro!P112</f>
        <v>10</v>
      </c>
      <c r="C15" s="343">
        <f>Fluoro!Q112</f>
        <v>0</v>
      </c>
      <c r="D15" s="343">
        <f>Fluoro!R112</f>
        <v>0</v>
      </c>
      <c r="E15" s="343">
        <f>Fluoro!S112</f>
        <v>0</v>
      </c>
      <c r="F15" s="343">
        <f>Fluoro!T112</f>
        <v>0</v>
      </c>
      <c r="G15" s="343">
        <f>Fluoro!U112</f>
        <v>0</v>
      </c>
      <c r="H15" s="343">
        <f>Fluoro!V112</f>
        <v>0</v>
      </c>
      <c r="I15" s="343">
        <f>Fluoro!W112</f>
        <v>0</v>
      </c>
      <c r="J15" s="343">
        <f>Fluoro!X112</f>
        <v>0</v>
      </c>
      <c r="K15" s="343">
        <f>Fluoro!Y112</f>
        <v>0</v>
      </c>
    </row>
    <row r="16" spans="1:11" x14ac:dyDescent="0.25">
      <c r="B16" s="343">
        <f>Fluoro!P113</f>
        <v>20</v>
      </c>
      <c r="C16" s="343">
        <f>Fluoro!Q113</f>
        <v>0</v>
      </c>
      <c r="D16" s="343">
        <f>Fluoro!R113</f>
        <v>0</v>
      </c>
      <c r="E16" s="343">
        <f>Fluoro!S113</f>
        <v>0</v>
      </c>
      <c r="F16" s="343">
        <f>Fluoro!T113</f>
        <v>0</v>
      </c>
      <c r="G16" s="343">
        <f>Fluoro!U113</f>
        <v>0</v>
      </c>
      <c r="H16" s="343">
        <f>Fluoro!V113</f>
        <v>0</v>
      </c>
      <c r="I16" s="343">
        <f>Fluoro!W113</f>
        <v>0</v>
      </c>
      <c r="J16" s="343">
        <f>Fluoro!X113</f>
        <v>0</v>
      </c>
      <c r="K16" s="343">
        <f>Fluoro!Y113</f>
        <v>0</v>
      </c>
    </row>
    <row r="17" spans="1:11" x14ac:dyDescent="0.25">
      <c r="B17" s="343">
        <f>Fluoro!P114</f>
        <v>30</v>
      </c>
      <c r="C17" s="343">
        <f>Fluoro!Q114</f>
        <v>0</v>
      </c>
      <c r="D17" s="343">
        <f>Fluoro!R114</f>
        <v>0</v>
      </c>
      <c r="E17" s="343">
        <f>Fluoro!S114</f>
        <v>0</v>
      </c>
      <c r="F17" s="343">
        <f>Fluoro!T114</f>
        <v>0</v>
      </c>
      <c r="G17" s="343">
        <f>Fluoro!U114</f>
        <v>0</v>
      </c>
      <c r="H17" s="343">
        <f>Fluoro!V114</f>
        <v>0</v>
      </c>
      <c r="I17" s="343">
        <f>Fluoro!W114</f>
        <v>0</v>
      </c>
      <c r="J17" s="343">
        <f>Fluoro!X114</f>
        <v>0</v>
      </c>
      <c r="K17" s="343">
        <f>Fluoro!Y114</f>
        <v>0</v>
      </c>
    </row>
    <row r="18" spans="1:11" x14ac:dyDescent="0.25">
      <c r="B18" s="343">
        <f>Fluoro!P115</f>
        <v>10</v>
      </c>
      <c r="C18" s="343">
        <f>Fluoro!Q115</f>
        <v>0</v>
      </c>
      <c r="D18" s="343">
        <f>Fluoro!R115</f>
        <v>0</v>
      </c>
      <c r="E18" s="343">
        <f>Fluoro!S115</f>
        <v>0</v>
      </c>
      <c r="F18" s="343">
        <f>Fluoro!T115</f>
        <v>0</v>
      </c>
      <c r="G18" s="343">
        <f>Fluoro!U115</f>
        <v>0</v>
      </c>
      <c r="H18" s="343">
        <f>Fluoro!V115</f>
        <v>0</v>
      </c>
      <c r="I18" s="343">
        <f>Fluoro!W115</f>
        <v>0</v>
      </c>
      <c r="J18" s="343">
        <f>Fluoro!X115</f>
        <v>0</v>
      </c>
      <c r="K18" s="343">
        <f>Fluoro!Y115</f>
        <v>0</v>
      </c>
    </row>
    <row r="19" spans="1:11" x14ac:dyDescent="0.25">
      <c r="B19" s="343">
        <f>Fluoro!P116</f>
        <v>20</v>
      </c>
      <c r="C19" s="343">
        <f>Fluoro!Q116</f>
        <v>0</v>
      </c>
      <c r="D19" s="343">
        <f>Fluoro!R116</f>
        <v>0</v>
      </c>
      <c r="E19" s="343">
        <f>Fluoro!S116</f>
        <v>0</v>
      </c>
      <c r="F19" s="343">
        <f>Fluoro!T116</f>
        <v>0</v>
      </c>
      <c r="G19" s="343">
        <f>Fluoro!U116</f>
        <v>0</v>
      </c>
      <c r="H19" s="343">
        <f>Fluoro!V116</f>
        <v>0</v>
      </c>
      <c r="I19" s="343">
        <f>Fluoro!W116</f>
        <v>0</v>
      </c>
      <c r="J19" s="343">
        <f>Fluoro!X116</f>
        <v>0</v>
      </c>
      <c r="K19" s="343">
        <f>Fluoro!Y116</f>
        <v>0</v>
      </c>
    </row>
    <row r="20" spans="1:11" x14ac:dyDescent="0.25">
      <c r="B20" s="343">
        <f>Fluoro!P117</f>
        <v>30</v>
      </c>
      <c r="C20" s="343">
        <f>Fluoro!Q117</f>
        <v>0</v>
      </c>
      <c r="D20" s="343">
        <f>Fluoro!R117</f>
        <v>0</v>
      </c>
      <c r="E20" s="343">
        <f>Fluoro!S117</f>
        <v>0</v>
      </c>
      <c r="F20" s="343">
        <f>Fluoro!T117</f>
        <v>0</v>
      </c>
      <c r="G20" s="343">
        <f>Fluoro!U117</f>
        <v>0</v>
      </c>
      <c r="H20" s="343">
        <f>Fluoro!V117</f>
        <v>0</v>
      </c>
      <c r="I20" s="343">
        <f>Fluoro!W117</f>
        <v>0</v>
      </c>
      <c r="J20" s="343">
        <f>Fluoro!X117</f>
        <v>0</v>
      </c>
      <c r="K20" s="343">
        <f>Fluoro!Y117</f>
        <v>0</v>
      </c>
    </row>
    <row r="21" spans="1:11" x14ac:dyDescent="0.25">
      <c r="B21" s="343">
        <f>Fluoro!P118</f>
        <v>10</v>
      </c>
      <c r="C21" s="343">
        <f>Fluoro!Q118</f>
        <v>0</v>
      </c>
      <c r="D21" s="343">
        <f>Fluoro!R118</f>
        <v>0</v>
      </c>
      <c r="E21" s="343">
        <f>Fluoro!S118</f>
        <v>0</v>
      </c>
      <c r="F21" s="343">
        <f>Fluoro!T118</f>
        <v>0</v>
      </c>
      <c r="G21" s="343">
        <f>Fluoro!U118</f>
        <v>0</v>
      </c>
      <c r="H21" s="343">
        <f>Fluoro!V118</f>
        <v>0</v>
      </c>
      <c r="I21" s="343">
        <f>Fluoro!W118</f>
        <v>0</v>
      </c>
      <c r="J21" s="343">
        <f>Fluoro!X118</f>
        <v>0</v>
      </c>
      <c r="K21" s="343">
        <f>Fluoro!Y118</f>
        <v>0</v>
      </c>
    </row>
    <row r="22" spans="1:11" x14ac:dyDescent="0.25">
      <c r="B22" s="343">
        <f>Fluoro!P119</f>
        <v>20</v>
      </c>
      <c r="C22" s="343">
        <f>Fluoro!Q119</f>
        <v>0</v>
      </c>
      <c r="D22" s="343">
        <f>Fluoro!R119</f>
        <v>0</v>
      </c>
      <c r="E22" s="343">
        <f>Fluoro!S119</f>
        <v>0</v>
      </c>
      <c r="F22" s="343">
        <f>Fluoro!T119</f>
        <v>0</v>
      </c>
      <c r="G22" s="343">
        <f>Fluoro!U119</f>
        <v>0</v>
      </c>
      <c r="H22" s="343">
        <f>Fluoro!V119</f>
        <v>0</v>
      </c>
      <c r="I22" s="343">
        <f>Fluoro!W119</f>
        <v>0</v>
      </c>
      <c r="J22" s="343">
        <f>Fluoro!X119</f>
        <v>0</v>
      </c>
      <c r="K22" s="343">
        <f>Fluoro!Y119</f>
        <v>0</v>
      </c>
    </row>
    <row r="23" spans="1:11" x14ac:dyDescent="0.25">
      <c r="B23" s="343">
        <f>Fluoro!P120</f>
        <v>30</v>
      </c>
      <c r="C23" s="343">
        <f>Fluoro!Q120</f>
        <v>0</v>
      </c>
      <c r="D23" s="343">
        <f>Fluoro!R120</f>
        <v>0</v>
      </c>
      <c r="E23" s="343">
        <f>Fluoro!S120</f>
        <v>0</v>
      </c>
      <c r="F23" s="343">
        <f>Fluoro!T120</f>
        <v>0</v>
      </c>
      <c r="G23" s="343">
        <f>Fluoro!U120</f>
        <v>0</v>
      </c>
      <c r="H23" s="343">
        <f>Fluoro!V120</f>
        <v>0</v>
      </c>
      <c r="I23" s="343">
        <f>Fluoro!W120</f>
        <v>0</v>
      </c>
      <c r="J23" s="343">
        <f>Fluoro!X120</f>
        <v>0</v>
      </c>
      <c r="K23" s="343">
        <f>Fluoro!Y120</f>
        <v>0</v>
      </c>
    </row>
    <row r="24" spans="1:11" x14ac:dyDescent="0.25">
      <c r="B24" s="343">
        <f>Fluoro!P121</f>
        <v>10</v>
      </c>
      <c r="C24" s="343">
        <f>Fluoro!Q121</f>
        <v>0</v>
      </c>
      <c r="D24" s="343">
        <f>Fluoro!R121</f>
        <v>0</v>
      </c>
      <c r="E24" s="343">
        <f>Fluoro!S121</f>
        <v>0</v>
      </c>
      <c r="F24" s="343">
        <f>Fluoro!T121</f>
        <v>0</v>
      </c>
      <c r="G24" s="343">
        <f>Fluoro!U121</f>
        <v>0</v>
      </c>
      <c r="H24" s="343">
        <f>Fluoro!V121</f>
        <v>0</v>
      </c>
      <c r="I24" s="343">
        <f>Fluoro!W121</f>
        <v>0</v>
      </c>
      <c r="J24" s="343">
        <f>Fluoro!X121</f>
        <v>0</v>
      </c>
      <c r="K24" s="343">
        <f>Fluoro!Y121</f>
        <v>0</v>
      </c>
    </row>
    <row r="25" spans="1:11" x14ac:dyDescent="0.25">
      <c r="B25" s="343">
        <f>Fluoro!P122</f>
        <v>20</v>
      </c>
      <c r="C25" s="343">
        <f>Fluoro!Q122</f>
        <v>0</v>
      </c>
      <c r="D25" s="343">
        <f>Fluoro!R122</f>
        <v>0</v>
      </c>
      <c r="E25" s="343">
        <f>Fluoro!S122</f>
        <v>0</v>
      </c>
      <c r="F25" s="343">
        <f>Fluoro!T122</f>
        <v>0</v>
      </c>
      <c r="G25" s="343">
        <f>Fluoro!U122</f>
        <v>0</v>
      </c>
      <c r="H25" s="343">
        <f>Fluoro!V122</f>
        <v>0</v>
      </c>
      <c r="I25" s="343">
        <f>Fluoro!W122</f>
        <v>0</v>
      </c>
      <c r="J25" s="343">
        <f>Fluoro!X122</f>
        <v>0</v>
      </c>
      <c r="K25" s="343">
        <f>Fluoro!Y122</f>
        <v>0</v>
      </c>
    </row>
    <row r="26" spans="1:11" x14ac:dyDescent="0.25">
      <c r="B26" s="343">
        <f>Fluoro!P123</f>
        <v>30</v>
      </c>
      <c r="C26" s="343">
        <f>Fluoro!Q123</f>
        <v>0</v>
      </c>
      <c r="D26" s="343">
        <f>Fluoro!R123</f>
        <v>0</v>
      </c>
      <c r="E26" s="343">
        <f>Fluoro!S123</f>
        <v>0</v>
      </c>
      <c r="F26" s="343">
        <f>Fluoro!T123</f>
        <v>0</v>
      </c>
      <c r="G26" s="343">
        <f>Fluoro!U123</f>
        <v>0</v>
      </c>
      <c r="H26" s="343">
        <f>Fluoro!V123</f>
        <v>0</v>
      </c>
      <c r="I26" s="343">
        <f>Fluoro!W123</f>
        <v>0</v>
      </c>
      <c r="J26" s="343">
        <f>Fluoro!X123</f>
        <v>0</v>
      </c>
      <c r="K26" s="343">
        <f>Fluoro!Y123</f>
        <v>0</v>
      </c>
    </row>
    <row r="27" spans="1:11" x14ac:dyDescent="0.25">
      <c r="A27" t="s">
        <v>444</v>
      </c>
      <c r="B27" s="343" t="str">
        <f>Fluoro!P124</f>
        <v>max</v>
      </c>
      <c r="C27" s="343">
        <f>Fluoro!Q124</f>
        <v>0</v>
      </c>
      <c r="D27" s="343">
        <f>Fluoro!R124</f>
        <v>0</v>
      </c>
      <c r="E27" s="343">
        <f>Fluoro!S124</f>
        <v>0</v>
      </c>
      <c r="F27" s="343">
        <f>Fluoro!T124</f>
        <v>0</v>
      </c>
      <c r="G27" s="343">
        <f>Fluoro!U124</f>
        <v>0</v>
      </c>
      <c r="H27" s="343">
        <f>Fluoro!V124</f>
        <v>0</v>
      </c>
      <c r="I27" s="343">
        <f>Fluoro!W124</f>
        <v>0</v>
      </c>
      <c r="J27" s="343">
        <f>Fluoro!X124</f>
        <v>0</v>
      </c>
      <c r="K27" s="343">
        <f>Fluoro!Y124</f>
        <v>0</v>
      </c>
    </row>
    <row r="28" spans="1:11" x14ac:dyDescent="0.25">
      <c r="A28" t="s">
        <v>442</v>
      </c>
      <c r="B28" s="343" t="str">
        <f>Fluoro!Q139</f>
        <v>Auto 1</v>
      </c>
    </row>
    <row r="29" spans="1:11" x14ac:dyDescent="0.25">
      <c r="B29" s="343" t="str">
        <f>Fluoro!T139</f>
        <v>Auto 2</v>
      </c>
    </row>
    <row r="30" spans="1:11" x14ac:dyDescent="0.25">
      <c r="B30" s="343" t="str">
        <f>Fluoro!W139</f>
        <v>High Level</v>
      </c>
    </row>
    <row r="31" spans="1:11" x14ac:dyDescent="0.25">
      <c r="A31" t="s">
        <v>443</v>
      </c>
      <c r="B31" s="343">
        <f>Fluoro!P141</f>
        <v>10</v>
      </c>
      <c r="C31" s="343">
        <f>Fluoro!Q141</f>
        <v>0</v>
      </c>
      <c r="D31" s="343">
        <f>Fluoro!R141</f>
        <v>0</v>
      </c>
      <c r="E31" s="343">
        <f>Fluoro!S141</f>
        <v>0</v>
      </c>
      <c r="F31" s="343">
        <f>Fluoro!T141</f>
        <v>0</v>
      </c>
      <c r="G31" s="343">
        <f>Fluoro!U141</f>
        <v>0</v>
      </c>
      <c r="H31" s="343">
        <f>Fluoro!V141</f>
        <v>0</v>
      </c>
      <c r="I31" s="343">
        <f>Fluoro!W141</f>
        <v>0</v>
      </c>
      <c r="J31" s="343">
        <f>Fluoro!X141</f>
        <v>0</v>
      </c>
      <c r="K31" s="343">
        <f>Fluoro!Y141</f>
        <v>0</v>
      </c>
    </row>
    <row r="32" spans="1:11" x14ac:dyDescent="0.25">
      <c r="B32" s="343">
        <f>Fluoro!P142</f>
        <v>20</v>
      </c>
      <c r="C32" s="343">
        <f>Fluoro!Q142</f>
        <v>0</v>
      </c>
      <c r="D32" s="343">
        <f>Fluoro!R142</f>
        <v>0</v>
      </c>
      <c r="E32" s="343">
        <f>Fluoro!S142</f>
        <v>0</v>
      </c>
      <c r="F32" s="343">
        <f>Fluoro!T142</f>
        <v>0</v>
      </c>
      <c r="G32" s="343">
        <f>Fluoro!U142</f>
        <v>0</v>
      </c>
      <c r="H32" s="343">
        <f>Fluoro!V142</f>
        <v>0</v>
      </c>
      <c r="I32" s="343">
        <f>Fluoro!W142</f>
        <v>0</v>
      </c>
      <c r="J32" s="343">
        <f>Fluoro!X142</f>
        <v>0</v>
      </c>
      <c r="K32" s="343">
        <f>Fluoro!Y142</f>
        <v>0</v>
      </c>
    </row>
    <row r="33" spans="1:11" x14ac:dyDescent="0.25">
      <c r="B33" s="343">
        <f>Fluoro!P143</f>
        <v>30</v>
      </c>
      <c r="C33" s="343">
        <f>Fluoro!Q143</f>
        <v>0</v>
      </c>
      <c r="D33" s="343">
        <f>Fluoro!R143</f>
        <v>0</v>
      </c>
      <c r="E33" s="343">
        <f>Fluoro!S143</f>
        <v>0</v>
      </c>
      <c r="F33" s="343">
        <f>Fluoro!T143</f>
        <v>0</v>
      </c>
      <c r="G33" s="343">
        <f>Fluoro!U143</f>
        <v>0</v>
      </c>
      <c r="H33" s="343">
        <f>Fluoro!V143</f>
        <v>0</v>
      </c>
      <c r="I33" s="343">
        <f>Fluoro!W143</f>
        <v>0</v>
      </c>
      <c r="J33" s="343">
        <f>Fluoro!X143</f>
        <v>0</v>
      </c>
      <c r="K33" s="343">
        <f>Fluoro!Y143</f>
        <v>0</v>
      </c>
    </row>
    <row r="34" spans="1:11" x14ac:dyDescent="0.25">
      <c r="B34" s="343">
        <f>Fluoro!P144</f>
        <v>10</v>
      </c>
      <c r="C34" s="343">
        <f>Fluoro!Q144</f>
        <v>0</v>
      </c>
      <c r="D34" s="343">
        <f>Fluoro!R144</f>
        <v>0</v>
      </c>
      <c r="E34" s="343">
        <f>Fluoro!S144</f>
        <v>0</v>
      </c>
      <c r="F34" s="343">
        <f>Fluoro!T144</f>
        <v>0</v>
      </c>
      <c r="G34" s="343">
        <f>Fluoro!U144</f>
        <v>0</v>
      </c>
      <c r="H34" s="343">
        <f>Fluoro!V144</f>
        <v>0</v>
      </c>
      <c r="I34" s="343">
        <f>Fluoro!W144</f>
        <v>0</v>
      </c>
      <c r="J34" s="343">
        <f>Fluoro!X144</f>
        <v>0</v>
      </c>
      <c r="K34" s="343">
        <f>Fluoro!Y144</f>
        <v>0</v>
      </c>
    </row>
    <row r="35" spans="1:11" x14ac:dyDescent="0.25">
      <c r="B35" s="343">
        <f>Fluoro!P145</f>
        <v>20</v>
      </c>
      <c r="C35" s="343">
        <f>Fluoro!Q145</f>
        <v>0</v>
      </c>
      <c r="D35" s="343">
        <f>Fluoro!R145</f>
        <v>0</v>
      </c>
      <c r="E35" s="343">
        <f>Fluoro!S145</f>
        <v>0</v>
      </c>
      <c r="F35" s="343">
        <f>Fluoro!T145</f>
        <v>0</v>
      </c>
      <c r="G35" s="343">
        <f>Fluoro!U145</f>
        <v>0</v>
      </c>
      <c r="H35" s="343">
        <f>Fluoro!V145</f>
        <v>0</v>
      </c>
      <c r="I35" s="343">
        <f>Fluoro!W145</f>
        <v>0</v>
      </c>
      <c r="J35" s="343">
        <f>Fluoro!X145</f>
        <v>0</v>
      </c>
      <c r="K35" s="343">
        <f>Fluoro!Y145</f>
        <v>0</v>
      </c>
    </row>
    <row r="36" spans="1:11" x14ac:dyDescent="0.25">
      <c r="B36" s="343">
        <f>Fluoro!P146</f>
        <v>30</v>
      </c>
      <c r="C36" s="343">
        <f>Fluoro!Q146</f>
        <v>0</v>
      </c>
      <c r="D36" s="343">
        <f>Fluoro!R146</f>
        <v>0</v>
      </c>
      <c r="E36" s="343">
        <f>Fluoro!S146</f>
        <v>0</v>
      </c>
      <c r="F36" s="343">
        <f>Fluoro!T146</f>
        <v>0</v>
      </c>
      <c r="G36" s="343">
        <f>Fluoro!U146</f>
        <v>0</v>
      </c>
      <c r="H36" s="343">
        <f>Fluoro!V146</f>
        <v>0</v>
      </c>
      <c r="I36" s="343">
        <f>Fluoro!W146</f>
        <v>0</v>
      </c>
      <c r="J36" s="343">
        <f>Fluoro!X146</f>
        <v>0</v>
      </c>
      <c r="K36" s="343">
        <f>Fluoro!Y146</f>
        <v>0</v>
      </c>
    </row>
    <row r="37" spans="1:11" x14ac:dyDescent="0.25">
      <c r="B37" s="343">
        <f>Fluoro!P147</f>
        <v>10</v>
      </c>
      <c r="C37" s="343">
        <f>Fluoro!Q147</f>
        <v>0</v>
      </c>
      <c r="D37" s="343">
        <f>Fluoro!R147</f>
        <v>0</v>
      </c>
      <c r="E37" s="343">
        <f>Fluoro!S147</f>
        <v>0</v>
      </c>
      <c r="F37" s="343">
        <f>Fluoro!T147</f>
        <v>0</v>
      </c>
      <c r="G37" s="343">
        <f>Fluoro!U147</f>
        <v>0</v>
      </c>
      <c r="H37" s="343">
        <f>Fluoro!V147</f>
        <v>0</v>
      </c>
      <c r="I37" s="343">
        <f>Fluoro!W147</f>
        <v>0</v>
      </c>
      <c r="J37" s="343">
        <f>Fluoro!X147</f>
        <v>0</v>
      </c>
      <c r="K37" s="343">
        <f>Fluoro!Y147</f>
        <v>0</v>
      </c>
    </row>
    <row r="38" spans="1:11" x14ac:dyDescent="0.25">
      <c r="B38" s="343">
        <f>Fluoro!P148</f>
        <v>20</v>
      </c>
      <c r="C38" s="343">
        <f>Fluoro!Q148</f>
        <v>0</v>
      </c>
      <c r="D38" s="343">
        <f>Fluoro!R148</f>
        <v>0</v>
      </c>
      <c r="E38" s="343">
        <f>Fluoro!S148</f>
        <v>0</v>
      </c>
      <c r="F38" s="343">
        <f>Fluoro!T148</f>
        <v>0</v>
      </c>
      <c r="G38" s="343">
        <f>Fluoro!U148</f>
        <v>0</v>
      </c>
      <c r="H38" s="343">
        <f>Fluoro!V148</f>
        <v>0</v>
      </c>
      <c r="I38" s="343">
        <f>Fluoro!W148</f>
        <v>0</v>
      </c>
      <c r="J38" s="343">
        <f>Fluoro!X148</f>
        <v>0</v>
      </c>
      <c r="K38" s="343">
        <f>Fluoro!Y148</f>
        <v>0</v>
      </c>
    </row>
    <row r="39" spans="1:11" x14ac:dyDescent="0.25">
      <c r="B39" s="343">
        <f>Fluoro!P149</f>
        <v>30</v>
      </c>
      <c r="C39" s="343">
        <f>Fluoro!Q149</f>
        <v>0</v>
      </c>
      <c r="D39" s="343">
        <f>Fluoro!R149</f>
        <v>0</v>
      </c>
      <c r="E39" s="343">
        <f>Fluoro!S149</f>
        <v>0</v>
      </c>
      <c r="F39" s="343">
        <f>Fluoro!T149</f>
        <v>0</v>
      </c>
      <c r="G39" s="343">
        <f>Fluoro!U149</f>
        <v>0</v>
      </c>
      <c r="H39" s="343">
        <f>Fluoro!V149</f>
        <v>0</v>
      </c>
      <c r="I39" s="343">
        <f>Fluoro!W149</f>
        <v>0</v>
      </c>
      <c r="J39" s="343">
        <f>Fluoro!X149</f>
        <v>0</v>
      </c>
      <c r="K39" s="343">
        <f>Fluoro!Y149</f>
        <v>0</v>
      </c>
    </row>
    <row r="40" spans="1:11" x14ac:dyDescent="0.25">
      <c r="B40" s="343">
        <f>Fluoro!P150</f>
        <v>10</v>
      </c>
      <c r="C40" s="343">
        <f>Fluoro!Q150</f>
        <v>0</v>
      </c>
      <c r="D40" s="343">
        <f>Fluoro!R150</f>
        <v>0</v>
      </c>
      <c r="E40" s="343">
        <f>Fluoro!S150</f>
        <v>0</v>
      </c>
      <c r="F40" s="343">
        <f>Fluoro!T150</f>
        <v>0</v>
      </c>
      <c r="G40" s="343">
        <f>Fluoro!U150</f>
        <v>0</v>
      </c>
      <c r="H40" s="343">
        <f>Fluoro!V150</f>
        <v>0</v>
      </c>
      <c r="I40" s="343">
        <f>Fluoro!W150</f>
        <v>0</v>
      </c>
      <c r="J40" s="343">
        <f>Fluoro!X150</f>
        <v>0</v>
      </c>
      <c r="K40" s="343">
        <f>Fluoro!Y150</f>
        <v>0</v>
      </c>
    </row>
    <row r="41" spans="1:11" x14ac:dyDescent="0.25">
      <c r="B41" s="343">
        <f>Fluoro!P151</f>
        <v>20</v>
      </c>
      <c r="C41" s="343">
        <f>Fluoro!Q151</f>
        <v>0</v>
      </c>
      <c r="D41" s="343">
        <f>Fluoro!R151</f>
        <v>0</v>
      </c>
      <c r="E41" s="343">
        <f>Fluoro!S151</f>
        <v>0</v>
      </c>
      <c r="F41" s="343">
        <f>Fluoro!T151</f>
        <v>0</v>
      </c>
      <c r="G41" s="343">
        <f>Fluoro!U151</f>
        <v>0</v>
      </c>
      <c r="H41" s="343">
        <f>Fluoro!V151</f>
        <v>0</v>
      </c>
      <c r="I41" s="343">
        <f>Fluoro!W151</f>
        <v>0</v>
      </c>
      <c r="J41" s="343">
        <f>Fluoro!X151</f>
        <v>0</v>
      </c>
      <c r="K41" s="343">
        <f>Fluoro!Y151</f>
        <v>0</v>
      </c>
    </row>
    <row r="42" spans="1:11" x14ac:dyDescent="0.25">
      <c r="B42" s="343">
        <f>Fluoro!P152</f>
        <v>30</v>
      </c>
      <c r="C42" s="343">
        <f>Fluoro!Q152</f>
        <v>0</v>
      </c>
      <c r="D42" s="343">
        <f>Fluoro!R152</f>
        <v>0</v>
      </c>
      <c r="E42" s="343">
        <f>Fluoro!S152</f>
        <v>0</v>
      </c>
      <c r="F42" s="343">
        <f>Fluoro!T152</f>
        <v>0</v>
      </c>
      <c r="G42" s="343">
        <f>Fluoro!U152</f>
        <v>0</v>
      </c>
      <c r="H42" s="343">
        <f>Fluoro!V152</f>
        <v>0</v>
      </c>
      <c r="I42" s="343">
        <f>Fluoro!W152</f>
        <v>0</v>
      </c>
      <c r="J42" s="343">
        <f>Fluoro!X152</f>
        <v>0</v>
      </c>
      <c r="K42" s="343">
        <f>Fluoro!Y152</f>
        <v>0</v>
      </c>
    </row>
    <row r="43" spans="1:11" x14ac:dyDescent="0.25">
      <c r="B43" s="343">
        <f>Fluoro!P153</f>
        <v>10</v>
      </c>
      <c r="C43" s="343">
        <f>Fluoro!Q153</f>
        <v>0</v>
      </c>
      <c r="D43" s="343">
        <f>Fluoro!R153</f>
        <v>0</v>
      </c>
      <c r="E43" s="343">
        <f>Fluoro!S153</f>
        <v>0</v>
      </c>
      <c r="F43" s="343">
        <f>Fluoro!T153</f>
        <v>0</v>
      </c>
      <c r="G43" s="343">
        <f>Fluoro!U153</f>
        <v>0</v>
      </c>
      <c r="H43" s="343">
        <f>Fluoro!V153</f>
        <v>0</v>
      </c>
      <c r="I43" s="343">
        <f>Fluoro!W153</f>
        <v>0</v>
      </c>
      <c r="J43" s="343">
        <f>Fluoro!X153</f>
        <v>0</v>
      </c>
      <c r="K43" s="343">
        <f>Fluoro!Y153</f>
        <v>0</v>
      </c>
    </row>
    <row r="44" spans="1:11" x14ac:dyDescent="0.25">
      <c r="B44" s="343">
        <f>Fluoro!P154</f>
        <v>20</v>
      </c>
      <c r="C44" s="343">
        <f>Fluoro!Q154</f>
        <v>0</v>
      </c>
      <c r="D44" s="343">
        <f>Fluoro!R154</f>
        <v>0</v>
      </c>
      <c r="E44" s="343">
        <f>Fluoro!S154</f>
        <v>0</v>
      </c>
      <c r="F44" s="343">
        <f>Fluoro!T154</f>
        <v>0</v>
      </c>
      <c r="G44" s="343">
        <f>Fluoro!U154</f>
        <v>0</v>
      </c>
      <c r="H44" s="343">
        <f>Fluoro!V154</f>
        <v>0</v>
      </c>
      <c r="I44" s="343">
        <f>Fluoro!W154</f>
        <v>0</v>
      </c>
      <c r="J44" s="343">
        <f>Fluoro!X154</f>
        <v>0</v>
      </c>
      <c r="K44" s="343">
        <f>Fluoro!Y154</f>
        <v>0</v>
      </c>
    </row>
    <row r="45" spans="1:11" x14ac:dyDescent="0.25">
      <c r="B45" s="343">
        <f>Fluoro!P155</f>
        <v>30</v>
      </c>
      <c r="C45" s="343">
        <f>Fluoro!Q155</f>
        <v>0</v>
      </c>
      <c r="D45" s="343">
        <f>Fluoro!R155</f>
        <v>0</v>
      </c>
      <c r="E45" s="343">
        <f>Fluoro!S155</f>
        <v>0</v>
      </c>
      <c r="F45" s="343">
        <f>Fluoro!T155</f>
        <v>0</v>
      </c>
      <c r="G45" s="343">
        <f>Fluoro!U155</f>
        <v>0</v>
      </c>
      <c r="H45" s="343">
        <f>Fluoro!V155</f>
        <v>0</v>
      </c>
      <c r="I45" s="343">
        <f>Fluoro!W155</f>
        <v>0</v>
      </c>
      <c r="J45" s="343">
        <f>Fluoro!X155</f>
        <v>0</v>
      </c>
      <c r="K45" s="343">
        <f>Fluoro!Y155</f>
        <v>0</v>
      </c>
    </row>
    <row r="46" spans="1:11" x14ac:dyDescent="0.25">
      <c r="A46" t="s">
        <v>444</v>
      </c>
      <c r="B46" s="343" t="str">
        <f>Fluoro!P156</f>
        <v>max</v>
      </c>
      <c r="C46" s="343">
        <f>Fluoro!Q156</f>
        <v>0</v>
      </c>
      <c r="D46" s="343">
        <f>Fluoro!R156</f>
        <v>0</v>
      </c>
      <c r="E46" s="343">
        <f>Fluoro!S156</f>
        <v>0</v>
      </c>
      <c r="F46" s="343">
        <f>Fluoro!T156</f>
        <v>0</v>
      </c>
      <c r="G46" s="343">
        <f>Fluoro!U156</f>
        <v>0</v>
      </c>
      <c r="H46" s="343">
        <f>Fluoro!V156</f>
        <v>0</v>
      </c>
      <c r="I46" s="343">
        <f>Fluoro!W156</f>
        <v>0</v>
      </c>
      <c r="J46" s="343">
        <f>Fluoro!X156</f>
        <v>0</v>
      </c>
      <c r="K46" s="343">
        <f>Fluoro!Y156</f>
        <v>0</v>
      </c>
    </row>
    <row r="47" spans="1:11" x14ac:dyDescent="0.25">
      <c r="A47" t="s">
        <v>445</v>
      </c>
      <c r="B47" s="343" t="str">
        <f>B4</f>
        <v/>
      </c>
      <c r="C47" s="343">
        <f>Fluoro!Q190</f>
        <v>0</v>
      </c>
      <c r="D47" s="343">
        <f>Fluoro!R190</f>
        <v>0</v>
      </c>
      <c r="E47" s="343">
        <f>Fluoro!S190</f>
        <v>0</v>
      </c>
      <c r="F47" s="343">
        <f>Fluoro!T190</f>
        <v>0</v>
      </c>
    </row>
    <row r="48" spans="1:11" x14ac:dyDescent="0.25">
      <c r="B48" s="343" t="str">
        <f>B5</f>
        <v/>
      </c>
      <c r="C48" s="343">
        <f>Fluoro!Q191</f>
        <v>0</v>
      </c>
      <c r="D48" s="343">
        <f>Fluoro!R191</f>
        <v>0</v>
      </c>
      <c r="E48" s="343">
        <f>Fluoro!S191</f>
        <v>0</v>
      </c>
      <c r="F48" s="343">
        <f>Fluoro!T191</f>
        <v>0</v>
      </c>
    </row>
    <row r="49" spans="1:6" x14ac:dyDescent="0.25">
      <c r="B49" s="343" t="str">
        <f>B6</f>
        <v/>
      </c>
      <c r="C49" s="343">
        <f>Fluoro!Q192</f>
        <v>0</v>
      </c>
      <c r="D49" s="343">
        <f>Fluoro!R192</f>
        <v>0</v>
      </c>
      <c r="E49" s="343">
        <f>Fluoro!S192</f>
        <v>0</v>
      </c>
      <c r="F49" s="343">
        <f>Fluoro!T192</f>
        <v>0</v>
      </c>
    </row>
    <row r="50" spans="1:6" x14ac:dyDescent="0.25">
      <c r="B50" s="343" t="str">
        <f>B7</f>
        <v/>
      </c>
      <c r="C50" s="343">
        <f>Fluoro!Q193</f>
        <v>0</v>
      </c>
      <c r="D50" s="343">
        <f>Fluoro!R193</f>
        <v>0</v>
      </c>
      <c r="E50" s="343">
        <f>Fluoro!S193</f>
        <v>0</v>
      </c>
      <c r="F50" s="343">
        <f>Fluoro!T193</f>
        <v>0</v>
      </c>
    </row>
    <row r="51" spans="1:6" x14ac:dyDescent="0.25">
      <c r="B51" s="343" t="str">
        <f>B8</f>
        <v/>
      </c>
      <c r="C51" s="343">
        <f>Fluoro!Q194</f>
        <v>0</v>
      </c>
      <c r="D51" s="343">
        <f>Fluoro!R194</f>
        <v>0</v>
      </c>
      <c r="E51" s="343">
        <f>Fluoro!S194</f>
        <v>0</v>
      </c>
      <c r="F51" s="343">
        <f>Fluoro!T194</f>
        <v>0</v>
      </c>
    </row>
    <row r="52" spans="1:6" x14ac:dyDescent="0.25">
      <c r="B52" s="343" t="str">
        <f>B4</f>
        <v/>
      </c>
      <c r="C52" s="343">
        <f>Fluoro!Q195</f>
        <v>0</v>
      </c>
      <c r="D52" s="343">
        <f>Fluoro!R195</f>
        <v>0</v>
      </c>
      <c r="E52" s="343">
        <f>Fluoro!S195</f>
        <v>0</v>
      </c>
      <c r="F52" s="343">
        <f>Fluoro!T195</f>
        <v>0</v>
      </c>
    </row>
    <row r="53" spans="1:6" x14ac:dyDescent="0.25">
      <c r="B53" s="343" t="str">
        <f>B5</f>
        <v/>
      </c>
      <c r="C53" s="343">
        <f>Fluoro!Q196</f>
        <v>0</v>
      </c>
      <c r="D53" s="343">
        <f>Fluoro!R196</f>
        <v>0</v>
      </c>
      <c r="E53" s="343">
        <f>Fluoro!S196</f>
        <v>0</v>
      </c>
      <c r="F53" s="343">
        <f>Fluoro!T196</f>
        <v>0</v>
      </c>
    </row>
    <row r="54" spans="1:6" x14ac:dyDescent="0.25">
      <c r="B54" s="343" t="str">
        <f>B6</f>
        <v/>
      </c>
      <c r="C54" s="343">
        <f>Fluoro!Q197</f>
        <v>0</v>
      </c>
      <c r="D54" s="343">
        <f>Fluoro!R197</f>
        <v>0</v>
      </c>
      <c r="E54" s="343">
        <f>Fluoro!S197</f>
        <v>0</v>
      </c>
      <c r="F54" s="343">
        <f>Fluoro!T197</f>
        <v>0</v>
      </c>
    </row>
    <row r="55" spans="1:6" x14ac:dyDescent="0.25">
      <c r="B55" s="343" t="str">
        <f>B7</f>
        <v/>
      </c>
      <c r="C55" s="343">
        <f>Fluoro!Q198</f>
        <v>0</v>
      </c>
      <c r="D55" s="343">
        <f>Fluoro!R198</f>
        <v>0</v>
      </c>
      <c r="E55" s="343">
        <f>Fluoro!S198</f>
        <v>0</v>
      </c>
      <c r="F55" s="343">
        <f>Fluoro!T198</f>
        <v>0</v>
      </c>
    </row>
    <row r="56" spans="1:6" x14ac:dyDescent="0.25">
      <c r="B56" s="343" t="str">
        <f>B8</f>
        <v/>
      </c>
      <c r="C56" s="343">
        <f>Fluoro!Q199</f>
        <v>0</v>
      </c>
      <c r="D56" s="343">
        <f>Fluoro!R199</f>
        <v>0</v>
      </c>
      <c r="E56" s="343">
        <f>Fluoro!S199</f>
        <v>0</v>
      </c>
      <c r="F56" s="343">
        <f>Fluoro!T199</f>
        <v>0</v>
      </c>
    </row>
    <row r="57" spans="1:6" x14ac:dyDescent="0.25">
      <c r="B57" s="343" t="str">
        <f>B4</f>
        <v/>
      </c>
      <c r="C57" s="343">
        <f>Fluoro!Q200</f>
        <v>0</v>
      </c>
      <c r="D57" s="343">
        <f>Fluoro!R200</f>
        <v>0</v>
      </c>
      <c r="E57" s="343">
        <f>Fluoro!S200</f>
        <v>0</v>
      </c>
      <c r="F57" s="343">
        <f>Fluoro!T200</f>
        <v>0</v>
      </c>
    </row>
    <row r="58" spans="1:6" x14ac:dyDescent="0.25">
      <c r="B58" s="343" t="str">
        <f>B5</f>
        <v/>
      </c>
      <c r="C58" s="343">
        <f>Fluoro!Q201</f>
        <v>0</v>
      </c>
      <c r="D58" s="343">
        <f>Fluoro!R201</f>
        <v>0</v>
      </c>
      <c r="E58" s="343">
        <f>Fluoro!S201</f>
        <v>0</v>
      </c>
      <c r="F58" s="343">
        <f>Fluoro!T201</f>
        <v>0</v>
      </c>
    </row>
    <row r="59" spans="1:6" x14ac:dyDescent="0.25">
      <c r="B59" s="343" t="str">
        <f>B6</f>
        <v/>
      </c>
      <c r="C59" s="343">
        <f>Fluoro!Q202</f>
        <v>0</v>
      </c>
      <c r="D59" s="343">
        <f>Fluoro!R202</f>
        <v>0</v>
      </c>
      <c r="E59" s="343">
        <f>Fluoro!S202</f>
        <v>0</v>
      </c>
      <c r="F59" s="343">
        <f>Fluoro!T202</f>
        <v>0</v>
      </c>
    </row>
    <row r="60" spans="1:6" x14ac:dyDescent="0.25">
      <c r="B60" s="343" t="str">
        <f>B7</f>
        <v/>
      </c>
      <c r="C60" s="343">
        <f>Fluoro!Q203</f>
        <v>0</v>
      </c>
      <c r="D60" s="343">
        <f>Fluoro!R203</f>
        <v>0</v>
      </c>
      <c r="E60" s="343">
        <f>Fluoro!S203</f>
        <v>0</v>
      </c>
      <c r="F60" s="343">
        <f>Fluoro!T203</f>
        <v>0</v>
      </c>
    </row>
    <row r="61" spans="1:6" x14ac:dyDescent="0.25">
      <c r="B61" s="343" t="str">
        <f>B8</f>
        <v/>
      </c>
      <c r="C61" s="343">
        <f>Fluoro!Q204</f>
        <v>0</v>
      </c>
      <c r="D61" s="343">
        <f>Fluoro!R204</f>
        <v>0</v>
      </c>
      <c r="E61" s="343">
        <f>Fluoro!S204</f>
        <v>0</v>
      </c>
      <c r="F61" s="343">
        <f>Fluoro!T204</f>
        <v>0</v>
      </c>
    </row>
    <row r="62" spans="1:6" x14ac:dyDescent="0.25">
      <c r="A62" t="s">
        <v>445</v>
      </c>
      <c r="B62" s="343" t="str">
        <f>B4</f>
        <v/>
      </c>
      <c r="C62" s="343">
        <f>Fluoro!Q214</f>
        <v>0</v>
      </c>
      <c r="D62" s="343">
        <f>Fluoro!R214</f>
        <v>0</v>
      </c>
      <c r="E62" s="343">
        <f>Fluoro!S214</f>
        <v>0</v>
      </c>
      <c r="F62" s="343">
        <f>Fluoro!T214</f>
        <v>0</v>
      </c>
    </row>
    <row r="63" spans="1:6" x14ac:dyDescent="0.25">
      <c r="B63" s="343" t="str">
        <f>B5</f>
        <v/>
      </c>
      <c r="C63" s="343">
        <f>Fluoro!Q215</f>
        <v>0</v>
      </c>
      <c r="D63" s="343">
        <f>Fluoro!R215</f>
        <v>0</v>
      </c>
      <c r="E63" s="343">
        <f>Fluoro!S215</f>
        <v>0</v>
      </c>
      <c r="F63" s="343">
        <f>Fluoro!T215</f>
        <v>0</v>
      </c>
    </row>
    <row r="64" spans="1:6" x14ac:dyDescent="0.25">
      <c r="B64" s="343" t="str">
        <f>B6</f>
        <v/>
      </c>
      <c r="C64" s="343">
        <f>Fluoro!Q216</f>
        <v>0</v>
      </c>
      <c r="D64" s="343">
        <f>Fluoro!R216</f>
        <v>0</v>
      </c>
      <c r="E64" s="343">
        <f>Fluoro!S216</f>
        <v>0</v>
      </c>
      <c r="F64" s="343">
        <f>Fluoro!T216</f>
        <v>0</v>
      </c>
    </row>
    <row r="65" spans="1:6" x14ac:dyDescent="0.25">
      <c r="B65" s="343" t="str">
        <f>B7</f>
        <v/>
      </c>
      <c r="C65" s="343">
        <f>Fluoro!Q217</f>
        <v>0</v>
      </c>
      <c r="D65" s="343">
        <f>Fluoro!R217</f>
        <v>0</v>
      </c>
      <c r="E65" s="343">
        <f>Fluoro!S217</f>
        <v>0</v>
      </c>
      <c r="F65" s="343">
        <f>Fluoro!T217</f>
        <v>0</v>
      </c>
    </row>
    <row r="66" spans="1:6" x14ac:dyDescent="0.25">
      <c r="B66" s="343" t="str">
        <f>B8</f>
        <v/>
      </c>
      <c r="C66" s="343">
        <f>Fluoro!Q218</f>
        <v>0</v>
      </c>
      <c r="D66" s="343">
        <f>Fluoro!R218</f>
        <v>0</v>
      </c>
      <c r="E66" s="343">
        <f>Fluoro!S218</f>
        <v>0</v>
      </c>
      <c r="F66" s="343">
        <f>Fluoro!T218</f>
        <v>0</v>
      </c>
    </row>
    <row r="67" spans="1:6" x14ac:dyDescent="0.25">
      <c r="B67" s="343" t="str">
        <f>B4</f>
        <v/>
      </c>
      <c r="C67" s="343">
        <f>Fluoro!Q219</f>
        <v>0</v>
      </c>
      <c r="D67" s="343">
        <f>Fluoro!R219</f>
        <v>0</v>
      </c>
      <c r="E67" s="343">
        <f>Fluoro!S219</f>
        <v>0</v>
      </c>
      <c r="F67" s="343">
        <f>Fluoro!T219</f>
        <v>0</v>
      </c>
    </row>
    <row r="68" spans="1:6" x14ac:dyDescent="0.25">
      <c r="B68" s="343" t="str">
        <f>B5</f>
        <v/>
      </c>
      <c r="C68" s="343">
        <f>Fluoro!Q220</f>
        <v>0</v>
      </c>
      <c r="D68" s="343">
        <f>Fluoro!R220</f>
        <v>0</v>
      </c>
      <c r="E68" s="343">
        <f>Fluoro!S220</f>
        <v>0</v>
      </c>
      <c r="F68" s="343">
        <f>Fluoro!T220</f>
        <v>0</v>
      </c>
    </row>
    <row r="69" spans="1:6" x14ac:dyDescent="0.25">
      <c r="B69" s="343" t="str">
        <f>B6</f>
        <v/>
      </c>
      <c r="C69" s="343">
        <f>Fluoro!Q221</f>
        <v>0</v>
      </c>
      <c r="D69" s="343">
        <f>Fluoro!R221</f>
        <v>0</v>
      </c>
      <c r="E69" s="343">
        <f>Fluoro!S221</f>
        <v>0</v>
      </c>
      <c r="F69" s="343">
        <f>Fluoro!T221</f>
        <v>0</v>
      </c>
    </row>
    <row r="70" spans="1:6" x14ac:dyDescent="0.25">
      <c r="B70" s="343" t="str">
        <f>B7</f>
        <v/>
      </c>
      <c r="C70" s="343">
        <f>Fluoro!Q222</f>
        <v>0</v>
      </c>
      <c r="D70" s="343">
        <f>Fluoro!R222</f>
        <v>0</v>
      </c>
      <c r="E70" s="343">
        <f>Fluoro!S222</f>
        <v>0</v>
      </c>
      <c r="F70" s="343">
        <f>Fluoro!T222</f>
        <v>0</v>
      </c>
    </row>
    <row r="71" spans="1:6" x14ac:dyDescent="0.25">
      <c r="B71" s="343" t="str">
        <f>B8</f>
        <v/>
      </c>
      <c r="C71" s="343">
        <f>Fluoro!Q223</f>
        <v>0</v>
      </c>
      <c r="D71" s="343">
        <f>Fluoro!R223</f>
        <v>0</v>
      </c>
      <c r="E71" s="343">
        <f>Fluoro!S223</f>
        <v>0</v>
      </c>
      <c r="F71" s="343">
        <f>Fluoro!T223</f>
        <v>0</v>
      </c>
    </row>
    <row r="72" spans="1:6" x14ac:dyDescent="0.25">
      <c r="B72" s="343" t="str">
        <f>B4</f>
        <v/>
      </c>
      <c r="C72" s="343">
        <f>Fluoro!Q224</f>
        <v>0</v>
      </c>
      <c r="D72" s="343">
        <f>Fluoro!R224</f>
        <v>0</v>
      </c>
      <c r="E72" s="343">
        <f>Fluoro!S224</f>
        <v>0</v>
      </c>
      <c r="F72" s="343">
        <f>Fluoro!T224</f>
        <v>0</v>
      </c>
    </row>
    <row r="73" spans="1:6" x14ac:dyDescent="0.25">
      <c r="B73" s="343" t="str">
        <f>B5</f>
        <v/>
      </c>
      <c r="C73" s="343">
        <f>Fluoro!Q225</f>
        <v>0</v>
      </c>
      <c r="D73" s="343">
        <f>Fluoro!R225</f>
        <v>0</v>
      </c>
      <c r="E73" s="343">
        <f>Fluoro!S225</f>
        <v>0</v>
      </c>
      <c r="F73" s="343">
        <f>Fluoro!T225</f>
        <v>0</v>
      </c>
    </row>
    <row r="74" spans="1:6" x14ac:dyDescent="0.25">
      <c r="B74" s="343" t="str">
        <f>B6</f>
        <v/>
      </c>
      <c r="C74" s="343">
        <f>Fluoro!Q226</f>
        <v>0</v>
      </c>
      <c r="D74" s="343">
        <f>Fluoro!R226</f>
        <v>0</v>
      </c>
      <c r="E74" s="343">
        <f>Fluoro!S226</f>
        <v>0</v>
      </c>
      <c r="F74" s="343">
        <f>Fluoro!T226</f>
        <v>0</v>
      </c>
    </row>
    <row r="75" spans="1:6" x14ac:dyDescent="0.25">
      <c r="B75" s="343" t="str">
        <f>B7</f>
        <v/>
      </c>
      <c r="C75" s="343">
        <f>Fluoro!Q227</f>
        <v>0</v>
      </c>
      <c r="D75" s="343">
        <f>Fluoro!R227</f>
        <v>0</v>
      </c>
      <c r="E75" s="343">
        <f>Fluoro!S227</f>
        <v>0</v>
      </c>
      <c r="F75" s="343">
        <f>Fluoro!T227</f>
        <v>0</v>
      </c>
    </row>
    <row r="76" spans="1:6" x14ac:dyDescent="0.25">
      <c r="B76" s="343" t="str">
        <f>B8</f>
        <v/>
      </c>
      <c r="C76" s="343">
        <f>Fluoro!Q228</f>
        <v>0</v>
      </c>
      <c r="D76" s="343">
        <f>Fluoro!R228</f>
        <v>0</v>
      </c>
      <c r="E76" s="343">
        <f>Fluoro!S228</f>
        <v>0</v>
      </c>
      <c r="F76" s="343">
        <f>Fluoro!T228</f>
        <v>0</v>
      </c>
    </row>
    <row r="77" spans="1:6" x14ac:dyDescent="0.25">
      <c r="A77" t="s">
        <v>446</v>
      </c>
      <c r="B77" s="343" t="str">
        <f>B4</f>
        <v/>
      </c>
      <c r="C77" s="343" t="str">
        <f>Fluoro!J401</f>
        <v/>
      </c>
    </row>
    <row r="78" spans="1:6" x14ac:dyDescent="0.25">
      <c r="B78" s="343" t="str">
        <f>B5</f>
        <v/>
      </c>
      <c r="C78" s="343" t="str">
        <f>Fluoro!J402</f>
        <v/>
      </c>
    </row>
    <row r="79" spans="1:6" x14ac:dyDescent="0.25">
      <c r="B79" s="343" t="str">
        <f>B6</f>
        <v/>
      </c>
      <c r="C79" s="343" t="str">
        <f>Fluoro!J403</f>
        <v/>
      </c>
    </row>
    <row r="80" spans="1:6" x14ac:dyDescent="0.25">
      <c r="B80" s="343" t="str">
        <f>B7</f>
        <v/>
      </c>
      <c r="C80" s="343" t="str">
        <f>Fluoro!J404</f>
        <v/>
      </c>
    </row>
    <row r="81" spans="1:14" x14ac:dyDescent="0.25">
      <c r="B81" s="343" t="str">
        <f>B8</f>
        <v/>
      </c>
      <c r="C81" s="343" t="str">
        <f>Fluoro!J405</f>
        <v/>
      </c>
    </row>
    <row r="82" spans="1:14" x14ac:dyDescent="0.25">
      <c r="A82" t="s">
        <v>350</v>
      </c>
      <c r="B82" s="343" t="s">
        <v>441</v>
      </c>
      <c r="C82" s="343" t="s">
        <v>353</v>
      </c>
      <c r="D82" s="343" t="s">
        <v>354</v>
      </c>
      <c r="E82" s="343" t="s">
        <v>355</v>
      </c>
      <c r="F82" s="343" t="s">
        <v>356</v>
      </c>
      <c r="G82" s="343" t="s">
        <v>357</v>
      </c>
      <c r="H82" s="343" t="s">
        <v>358</v>
      </c>
      <c r="I82" s="343" t="s">
        <v>359</v>
      </c>
      <c r="J82" s="343" t="s">
        <v>360</v>
      </c>
      <c r="K82" s="343" t="s">
        <v>361</v>
      </c>
      <c r="L82" s="343" t="s">
        <v>362</v>
      </c>
      <c r="M82" s="343" t="s">
        <v>363</v>
      </c>
      <c r="N82" s="343" t="s">
        <v>364</v>
      </c>
    </row>
    <row r="83" spans="1:14" x14ac:dyDescent="0.25">
      <c r="B83" s="343" t="str">
        <f>B4</f>
        <v/>
      </c>
      <c r="C83" s="343" t="str">
        <f>Fluoro!D415</f>
        <v/>
      </c>
      <c r="D83" s="343" t="str">
        <f>Fluoro!D416</f>
        <v/>
      </c>
      <c r="E83" s="343" t="str">
        <f>Fluoro!D417</f>
        <v/>
      </c>
      <c r="F83" s="343" t="str">
        <f>Fluoro!D418</f>
        <v/>
      </c>
      <c r="G83" s="343" t="str">
        <f>Fluoro!D419</f>
        <v/>
      </c>
      <c r="H83" s="343" t="str">
        <f>Fluoro!D420</f>
        <v/>
      </c>
      <c r="I83" s="343" t="str">
        <f>Fluoro!D421</f>
        <v/>
      </c>
      <c r="J83" s="343" t="str">
        <f>Fluoro!D422</f>
        <v/>
      </c>
      <c r="K83" s="343" t="str">
        <f>Fluoro!D423</f>
        <v/>
      </c>
      <c r="L83" s="343" t="str">
        <f>Fluoro!D424</f>
        <v/>
      </c>
      <c r="M83" s="343" t="str">
        <f>Fluoro!D425</f>
        <v/>
      </c>
      <c r="N83" s="343" t="str">
        <f>Fluoro!D426</f>
        <v/>
      </c>
    </row>
    <row r="84" spans="1:14" x14ac:dyDescent="0.25">
      <c r="B84" s="343" t="str">
        <f>B5</f>
        <v/>
      </c>
      <c r="C84" s="343" t="str">
        <f>Fluoro!E415</f>
        <v/>
      </c>
      <c r="D84" s="343" t="str">
        <f>Fluoro!E416</f>
        <v/>
      </c>
      <c r="E84" s="343" t="str">
        <f>Fluoro!E417</f>
        <v/>
      </c>
      <c r="F84" s="343" t="str">
        <f>Fluoro!E418</f>
        <v/>
      </c>
      <c r="G84" s="343" t="str">
        <f>Fluoro!E419</f>
        <v/>
      </c>
      <c r="H84" s="343" t="str">
        <f>Fluoro!E420</f>
        <v/>
      </c>
      <c r="I84" s="343" t="str">
        <f>Fluoro!E421</f>
        <v/>
      </c>
      <c r="J84" s="343" t="str">
        <f>Fluoro!E422</f>
        <v/>
      </c>
      <c r="K84" s="343" t="str">
        <f>Fluoro!E423</f>
        <v/>
      </c>
      <c r="L84" s="343" t="str">
        <f>Fluoro!E424</f>
        <v/>
      </c>
      <c r="M84" s="343" t="str">
        <f>Fluoro!E425</f>
        <v/>
      </c>
      <c r="N84" s="343" t="str">
        <f>Fluoro!E426</f>
        <v/>
      </c>
    </row>
    <row r="85" spans="1:14" x14ac:dyDescent="0.25">
      <c r="B85" s="343" t="str">
        <f>B6</f>
        <v/>
      </c>
      <c r="C85" s="343" t="str">
        <f>Fluoro!F415</f>
        <v/>
      </c>
      <c r="D85" s="343" t="str">
        <f>Fluoro!F416</f>
        <v/>
      </c>
      <c r="E85" s="343" t="str">
        <f>Fluoro!F417</f>
        <v/>
      </c>
      <c r="F85" s="343" t="str">
        <f>Fluoro!F418</f>
        <v/>
      </c>
      <c r="G85" s="343" t="str">
        <f>Fluoro!F419</f>
        <v/>
      </c>
      <c r="H85" s="343" t="str">
        <f>Fluoro!F420</f>
        <v/>
      </c>
      <c r="I85" s="343" t="str">
        <f>Fluoro!F421</f>
        <v/>
      </c>
      <c r="J85" s="343" t="str">
        <f>Fluoro!F422</f>
        <v/>
      </c>
      <c r="K85" s="343" t="str">
        <f>Fluoro!F423</f>
        <v/>
      </c>
      <c r="L85" s="343" t="str">
        <f>Fluoro!F424</f>
        <v/>
      </c>
      <c r="M85" s="343" t="str">
        <f>Fluoro!F425</f>
        <v/>
      </c>
      <c r="N85" s="343" t="str">
        <f>Fluoro!F426</f>
        <v/>
      </c>
    </row>
    <row r="86" spans="1:14" x14ac:dyDescent="0.25">
      <c r="B86" s="343" t="str">
        <f>B7</f>
        <v/>
      </c>
      <c r="C86" s="343" t="str">
        <f>Fluoro!G415</f>
        <v/>
      </c>
      <c r="D86" s="343" t="str">
        <f>Fluoro!G416</f>
        <v/>
      </c>
      <c r="E86" s="343" t="str">
        <f>Fluoro!G417</f>
        <v/>
      </c>
      <c r="F86" s="343" t="str">
        <f>Fluoro!G418</f>
        <v/>
      </c>
      <c r="G86" s="343" t="str">
        <f>Fluoro!G419</f>
        <v/>
      </c>
      <c r="H86" s="343" t="str">
        <f>Fluoro!G420</f>
        <v/>
      </c>
      <c r="I86" s="343" t="str">
        <f>Fluoro!G421</f>
        <v/>
      </c>
      <c r="J86" s="343" t="str">
        <f>Fluoro!G422</f>
        <v/>
      </c>
      <c r="K86" s="343" t="str">
        <f>Fluoro!G423</f>
        <v/>
      </c>
      <c r="L86" s="343" t="str">
        <f>Fluoro!G424</f>
        <v/>
      </c>
      <c r="M86" s="343" t="str">
        <f>Fluoro!G425</f>
        <v/>
      </c>
      <c r="N86" s="343" t="str">
        <f>Fluoro!G426</f>
        <v/>
      </c>
    </row>
    <row r="87" spans="1:14" x14ac:dyDescent="0.25">
      <c r="B87" s="343" t="str">
        <f>B8</f>
        <v/>
      </c>
      <c r="C87" s="343" t="str">
        <f>Fluoro!H415</f>
        <v/>
      </c>
      <c r="D87" s="343" t="str">
        <f>Fluoro!H416</f>
        <v/>
      </c>
      <c r="E87" s="343" t="str">
        <f>Fluoro!H417</f>
        <v/>
      </c>
      <c r="F87" s="343" t="str">
        <f>Fluoro!H418</f>
        <v/>
      </c>
      <c r="G87" s="343" t="str">
        <f>Fluoro!H419</f>
        <v/>
      </c>
      <c r="H87" s="343" t="str">
        <f>Fluoro!H420</f>
        <v/>
      </c>
      <c r="I87" s="343" t="str">
        <f>Fluoro!H421</f>
        <v/>
      </c>
      <c r="J87" s="343" t="str">
        <f>Fluoro!H422</f>
        <v/>
      </c>
      <c r="K87" s="343" t="str">
        <f>Fluoro!H423</f>
        <v/>
      </c>
      <c r="L87" s="343" t="str">
        <f>Fluoro!H424</f>
        <v/>
      </c>
      <c r="M87" s="343" t="str">
        <f>Fluoro!H425</f>
        <v/>
      </c>
      <c r="N87" s="343" t="str">
        <f>Fluoro!H426</f>
        <v/>
      </c>
    </row>
    <row r="88" spans="1:14" x14ac:dyDescent="0.25">
      <c r="B88" s="343" t="str">
        <f>B4</f>
        <v/>
      </c>
      <c r="C88" s="343" t="str">
        <f>Fluoro!I415</f>
        <v/>
      </c>
      <c r="D88" s="343" t="str">
        <f>Fluoro!I416</f>
        <v/>
      </c>
      <c r="E88" s="343" t="str">
        <f>Fluoro!I417</f>
        <v/>
      </c>
      <c r="F88" s="343" t="str">
        <f>Fluoro!I418</f>
        <v/>
      </c>
      <c r="G88" s="343" t="str">
        <f>Fluoro!I419</f>
        <v/>
      </c>
      <c r="H88" s="343" t="str">
        <f>Fluoro!I420</f>
        <v/>
      </c>
      <c r="I88" s="343" t="str">
        <f>Fluoro!I421</f>
        <v/>
      </c>
      <c r="J88" s="343" t="str">
        <f>Fluoro!I422</f>
        <v/>
      </c>
      <c r="K88" s="343" t="str">
        <f>Fluoro!I423</f>
        <v/>
      </c>
      <c r="L88" s="343" t="str">
        <f>Fluoro!I424</f>
        <v/>
      </c>
      <c r="M88" s="343" t="str">
        <f>Fluoro!I425</f>
        <v/>
      </c>
      <c r="N88" s="343" t="str">
        <f>Fluoro!I426</f>
        <v/>
      </c>
    </row>
    <row r="89" spans="1:14" x14ac:dyDescent="0.25">
      <c r="B89" s="347" t="str">
        <f>B5</f>
        <v/>
      </c>
      <c r="C89" s="343" t="str">
        <f>Fluoro!J415</f>
        <v/>
      </c>
      <c r="D89" s="343" t="str">
        <f>Fluoro!J416</f>
        <v/>
      </c>
      <c r="E89" s="343" t="str">
        <f>Fluoro!J417</f>
        <v/>
      </c>
      <c r="F89" s="343" t="str">
        <f>Fluoro!J418</f>
        <v/>
      </c>
      <c r="G89" s="343" t="str">
        <f>Fluoro!J419</f>
        <v/>
      </c>
      <c r="H89" s="343" t="str">
        <f>Fluoro!J420</f>
        <v/>
      </c>
      <c r="I89" s="343" t="str">
        <f>Fluoro!J421</f>
        <v/>
      </c>
      <c r="J89" s="343" t="str">
        <f>Fluoro!J422</f>
        <v/>
      </c>
      <c r="K89" s="343" t="str">
        <f>Fluoro!J423</f>
        <v/>
      </c>
      <c r="L89" s="343" t="str">
        <f>Fluoro!J424</f>
        <v/>
      </c>
      <c r="M89" s="343" t="str">
        <f>Fluoro!J425</f>
        <v/>
      </c>
      <c r="N89" s="343" t="str">
        <f>Fluoro!J426</f>
        <v/>
      </c>
    </row>
    <row r="90" spans="1:14" x14ac:dyDescent="0.25">
      <c r="B90" s="343" t="str">
        <f>B6</f>
        <v/>
      </c>
      <c r="C90" s="343" t="str">
        <f>Fluoro!K415</f>
        <v/>
      </c>
      <c r="D90" s="343" t="str">
        <f>Fluoro!K416</f>
        <v/>
      </c>
      <c r="E90" s="343" t="str">
        <f>Fluoro!K417</f>
        <v/>
      </c>
      <c r="F90" s="343" t="str">
        <f>Fluoro!K418</f>
        <v/>
      </c>
      <c r="G90" s="343" t="str">
        <f>Fluoro!K419</f>
        <v/>
      </c>
      <c r="H90" s="343" t="str">
        <f>Fluoro!K420</f>
        <v/>
      </c>
      <c r="I90" s="343" t="str">
        <f>Fluoro!K421</f>
        <v/>
      </c>
      <c r="J90" s="343" t="str">
        <f>Fluoro!K422</f>
        <v/>
      </c>
      <c r="K90" s="343" t="str">
        <f>Fluoro!K423</f>
        <v/>
      </c>
      <c r="L90" s="343" t="str">
        <f>Fluoro!K424</f>
        <v/>
      </c>
      <c r="M90" s="343" t="str">
        <f>Fluoro!K425</f>
        <v/>
      </c>
      <c r="N90" s="343" t="str">
        <f>Fluoro!K426</f>
        <v/>
      </c>
    </row>
    <row r="91" spans="1:14" x14ac:dyDescent="0.25">
      <c r="B91" s="343" t="str">
        <f>B7</f>
        <v/>
      </c>
      <c r="C91" s="343" t="str">
        <f>Fluoro!L415</f>
        <v/>
      </c>
      <c r="D91" s="343" t="str">
        <f>Fluoro!L416</f>
        <v/>
      </c>
      <c r="E91" s="343" t="str">
        <f>Fluoro!L417</f>
        <v/>
      </c>
      <c r="F91" s="343" t="str">
        <f>Fluoro!L418</f>
        <v/>
      </c>
      <c r="G91" s="343" t="str">
        <f>Fluoro!L419</f>
        <v/>
      </c>
      <c r="H91" s="343" t="str">
        <f>Fluoro!L420</f>
        <v/>
      </c>
      <c r="I91" s="343" t="str">
        <f>Fluoro!L421</f>
        <v/>
      </c>
      <c r="J91" s="343" t="str">
        <f>Fluoro!L422</f>
        <v/>
      </c>
      <c r="K91" s="343" t="str">
        <f>Fluoro!L423</f>
        <v/>
      </c>
      <c r="L91" s="343" t="str">
        <f>Fluoro!L424</f>
        <v/>
      </c>
      <c r="M91" s="343" t="str">
        <f>Fluoro!L425</f>
        <v/>
      </c>
      <c r="N91" s="343" t="str">
        <f>Fluoro!L426</f>
        <v/>
      </c>
    </row>
    <row r="92" spans="1:14" x14ac:dyDescent="0.25">
      <c r="B92" s="343" t="str">
        <f>B8</f>
        <v/>
      </c>
      <c r="C92" s="343" t="str">
        <f>Fluoro!M415</f>
        <v/>
      </c>
      <c r="D92" s="343" t="str">
        <f>Fluoro!M416</f>
        <v/>
      </c>
      <c r="E92" s="343" t="str">
        <f>Fluoro!M417</f>
        <v/>
      </c>
      <c r="F92" s="343" t="str">
        <f>Fluoro!M418</f>
        <v/>
      </c>
      <c r="G92" s="343" t="str">
        <f>Fluoro!M419</f>
        <v/>
      </c>
      <c r="H92" s="343" t="str">
        <f>Fluoro!M420</f>
        <v/>
      </c>
      <c r="I92" s="343" t="str">
        <f>Fluoro!M421</f>
        <v/>
      </c>
      <c r="J92" s="343" t="str">
        <f>Fluoro!M422</f>
        <v/>
      </c>
      <c r="K92" s="343" t="str">
        <f>Fluoro!M423</f>
        <v/>
      </c>
      <c r="L92" s="343" t="str">
        <f>Fluoro!M424</f>
        <v/>
      </c>
      <c r="M92" s="343" t="str">
        <f>Fluoro!M425</f>
        <v/>
      </c>
      <c r="N92" s="343" t="str">
        <f>Fluoro!M426</f>
        <v/>
      </c>
    </row>
    <row r="93" spans="1:14" x14ac:dyDescent="0.25">
      <c r="A93" t="s">
        <v>447</v>
      </c>
      <c r="B93" s="343" t="str">
        <f>B4</f>
        <v/>
      </c>
      <c r="C93" s="343" t="str">
        <f>Fluoro!H401</f>
        <v/>
      </c>
    </row>
    <row r="94" spans="1:14" x14ac:dyDescent="0.25">
      <c r="B94" s="343" t="str">
        <f>B5</f>
        <v/>
      </c>
      <c r="C94" s="343" t="str">
        <f>Fluoro!H402</f>
        <v/>
      </c>
    </row>
    <row r="95" spans="1:14" x14ac:dyDescent="0.25">
      <c r="B95" s="343" t="str">
        <f>B6</f>
        <v/>
      </c>
      <c r="C95" s="343" t="str">
        <f>Fluoro!H403</f>
        <v/>
      </c>
    </row>
    <row r="96" spans="1:14" x14ac:dyDescent="0.25">
      <c r="B96" s="343" t="str">
        <f>B7</f>
        <v/>
      </c>
      <c r="C96" s="343" t="str">
        <f>Fluoro!H404</f>
        <v/>
      </c>
    </row>
    <row r="97" spans="2:3" x14ac:dyDescent="0.25">
      <c r="B97" s="343" t="str">
        <f>B8</f>
        <v/>
      </c>
      <c r="C97" s="34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2018-08-16T14:15:28Z</cp:lastPrinted>
  <dcterms:created xsi:type="dcterms:W3CDTF">2014-07-30T15:47:02Z</dcterms:created>
  <dcterms:modified xsi:type="dcterms:W3CDTF">2019-06-20T13:40:28Z</dcterms:modified>
  <dc:language>en-US</dc:language>
</cp:coreProperties>
</file>