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comments3.xml" ContentType="application/vnd.openxmlformats-officedocument.spreadsheetml.comments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xl/drawings/vmlDrawing1.vml" ContentType="application/vnd.openxmlformats-officedocument.vmlDrawin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  <sheet name="Sheet2" sheetId="2" state="visible" r:id="rId4"/>
    <sheet name="Tables" sheetId="3" state="visible" r:id="rId5"/>
    <sheet name="Data Entry" sheetId="4" state="visible" r:id="rId6"/>
  </sheets>
  <definedNames>
    <definedName function="false" hidden="false" name="ACRPhantom" vbProcedure="false">#REF!</definedName>
    <definedName function="false" hidden="false" name="AUTO_MANUAL" vbProcedure="false">Sheet1!$B$91</definedName>
    <definedName function="false" hidden="false" name="Comments" vbProcedure="false">#REF!</definedName>
    <definedName function="false" hidden="false" name="CTDI" vbProcedure="false">#REF!</definedName>
    <definedName function="false" hidden="false" name="DHALF" vbProcedure="false">Sheet1!$I$128:$I$131</definedName>
    <definedName function="false" hidden="false" name="First" vbProcedure="false">#REF!</definedName>
    <definedName function="false" hidden="false" name="Huttner" vbProcedure="false">#REF!</definedName>
    <definedName function="false" hidden="false" name="HVL_KV" vbProcedure="false">Sheet1!$B$127</definedName>
    <definedName function="false" hidden="false" name="LeedsMS" vbProcedure="false">#REF!</definedName>
    <definedName function="false" hidden="false" name="LeedsN3" vbProcedure="false">#REF!</definedName>
    <definedName function="false" hidden="false" name="LEEDS_KV" vbProcedure="false">Sheet1!$I$227</definedName>
    <definedName function="false" hidden="false" name="TO10Group" vbProcedure="false">#REF!</definedName>
    <definedName function="false" hidden="false" name="TO10kVAdj" vbProcedure="false">Tables!$A$30:$E$44</definedName>
    <definedName function="false" hidden="false" name="TO10Values" vbProcedure="false">#REF!</definedName>
    <definedName function="false" hidden="false" localSheetId="0" name="ALUM" vbProcedure="false">Sheet1!$J$128:$J$129</definedName>
    <definedName function="false" hidden="false" localSheetId="0" name="AUTO_MA" vbProcedure="false">Sheet1!$I$91</definedName>
    <definedName function="false" hidden="false" localSheetId="0" name="HVL" vbProcedure="false">Sheet1!$K$128</definedName>
    <definedName function="false" hidden="false" localSheetId="0" name="LNEXP" vbProcedure="false">Sheet1!$K$132:$K$133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3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A30" authorId="0">
      <text>
        <r>
          <rPr>
            <sz val="10"/>
            <rFont val="Arial"/>
            <family val="2"/>
          </rPr>
          <t xml:space="preserve">Eugene Mah:
</t>
        </r>
        <r>
          <rPr>
            <sz val="9"/>
            <color rgb="FF000000"/>
            <rFont val="Tahoma"/>
            <family val="2"/>
            <charset val="1"/>
          </rPr>
          <t xml:space="preserve">Nominal contrast values as a function of kVp</t>
        </r>
      </text>
    </comment>
    <comment ref="A46" authorId="0">
      <text>
        <r>
          <rPr>
            <sz val="10"/>
            <rFont val="Arial"/>
            <family val="2"/>
          </rPr>
          <t xml:space="preserve">Eugene Mah:
</t>
        </r>
        <r>
          <rPr>
            <sz val="9"/>
            <color rgb="FF000000"/>
            <rFont val="Tahoma"/>
            <family val="2"/>
            <charset val="1"/>
          </rPr>
          <t xml:space="preserve">TO.10 nominal contrast values</t>
        </r>
      </text>
    </comment>
    <comment ref="A60" authorId="0">
      <text>
        <r>
          <rPr>
            <sz val="10"/>
            <rFont val="Arial"/>
            <family val="2"/>
          </rPr>
          <t xml:space="preserve">Eugene Mah:
</t>
        </r>
        <r>
          <rPr>
            <sz val="9"/>
            <color rgb="FF000000"/>
            <rFont val="Tahoma"/>
            <family val="2"/>
            <charset val="1"/>
          </rPr>
          <t xml:space="preserve">TO.10 contrast values at the kVp specified in Sheet1!I229</t>
        </r>
      </text>
    </comment>
  </commentList>
</comments>
</file>

<file path=xl/sharedStrings.xml><?xml version="1.0" encoding="utf-8"?>
<sst xmlns="http://schemas.openxmlformats.org/spreadsheetml/2006/main" count="732" uniqueCount="447">
  <si>
    <t xml:space="preserve">Revision 1.0-20230427</t>
  </si>
  <si>
    <t xml:space="preserve">Print Area</t>
  </si>
  <si>
    <t xml:space="preserve">Medical University of South Carolina</t>
  </si>
  <si>
    <t xml:space="preserve">Charleston, South Carolina</t>
  </si>
  <si>
    <t xml:space="preserve">All:</t>
  </si>
  <si>
    <t xml:space="preserve">Page1,Page2,HVLPage,KAP_AKR,ExpChartFluoroPage,ExpChartDAPage,ImgQualityPage,Com1Page,Com2Page,OutputGraphFluoroPage,OutputGraphDAPage,LeedsTO10Page</t>
  </si>
  <si>
    <t xml:space="preserve">O-Arm System Compliance Inspection</t>
  </si>
  <si>
    <t xml:space="preserve">Date:</t>
  </si>
  <si>
    <t xml:space="preserve">Inspector:</t>
  </si>
  <si>
    <t xml:space="preserve">Measurement Parameter</t>
  </si>
  <si>
    <t xml:space="preserve">Last Year</t>
  </si>
  <si>
    <t xml:space="preserve">This Year</t>
  </si>
  <si>
    <t xml:space="preserve">Previous Date:</t>
  </si>
  <si>
    <t xml:space="preserve">System Information</t>
  </si>
  <si>
    <t xml:space="preserve">Date</t>
  </si>
  <si>
    <t xml:space="preserve">Location</t>
  </si>
  <si>
    <t xml:space="preserve">Input Changes Only</t>
  </si>
  <si>
    <t xml:space="preserve">Inspector</t>
  </si>
  <si>
    <t xml:space="preserve">Facility:</t>
  </si>
  <si>
    <t xml:space="preserve">Site Number:</t>
  </si>
  <si>
    <t xml:space="preserve">Department:</t>
  </si>
  <si>
    <t xml:space="preserve">Authorized Use:</t>
  </si>
  <si>
    <t xml:space="preserve">Area/Division:</t>
  </si>
  <si>
    <t xml:space="preserve">Date of Installation:</t>
  </si>
  <si>
    <t xml:space="preserve">Survey ID:</t>
  </si>
  <si>
    <t xml:space="preserve">Accession Number:</t>
  </si>
  <si>
    <t xml:space="preserve">Room Number:</t>
  </si>
  <si>
    <t xml:space="preserve">X-Ray Generator</t>
  </si>
  <si>
    <t xml:space="preserve">Manufacturer:</t>
  </si>
  <si>
    <t xml:space="preserve">Manufacture Date:</t>
  </si>
  <si>
    <t xml:space="preserve">Model:</t>
  </si>
  <si>
    <t xml:space="preserve">Serial Number:</t>
  </si>
  <si>
    <t xml:space="preserve">Max kVp:</t>
  </si>
  <si>
    <t xml:space="preserve">Max mA:</t>
  </si>
  <si>
    <t xml:space="preserve">Accesssion Number:</t>
  </si>
  <si>
    <t xml:space="preserve">Software Version:</t>
  </si>
  <si>
    <t xml:space="preserve">X-Ray Tube</t>
  </si>
  <si>
    <t xml:space="preserve">Tube Designation/Use:</t>
  </si>
  <si>
    <t xml:space="preserve">Focal Spot Sizes (mm)</t>
  </si>
  <si>
    <t xml:space="preserve">Large:</t>
  </si>
  <si>
    <t xml:space="preserve">Insert</t>
  </si>
  <si>
    <t xml:space="preserve">Small:</t>
  </si>
  <si>
    <t xml:space="preserve">Micro:</t>
  </si>
  <si>
    <t xml:space="preserve">Filtration</t>
  </si>
  <si>
    <t xml:space="preserve">Housing</t>
  </si>
  <si>
    <t xml:space="preserve">Inherent:</t>
  </si>
  <si>
    <t xml:space="preserve">X-Ray Tube 1</t>
  </si>
  <si>
    <t xml:space="preserve">Added:</t>
  </si>
  <si>
    <t xml:space="preserve">Enter 1 for YES, 2 for NO, 3 for NA</t>
  </si>
  <si>
    <t xml:space="preserve">Is this a new installation?</t>
  </si>
  <si>
    <t xml:space="preserve">Tube Number:</t>
  </si>
  <si>
    <t xml:space="preserve">**Input only one of the following</t>
  </si>
  <si>
    <t xml:space="preserve">Labels, Notices, Postings</t>
  </si>
  <si>
    <t xml:space="preserve">numbers or names</t>
  </si>
  <si>
    <t xml:space="preserve">DHEC Registration sticker is present, clearly visible and legible</t>
  </si>
  <si>
    <t xml:space="preserve">DHEC form SC-RHA-20 “Notice to Employees” posted or referenced</t>
  </si>
  <si>
    <t xml:space="preserve">Radiation warning label posted on the generator control panel</t>
  </si>
  <si>
    <t xml:space="preserve">Tube loading charts for each focal spot are posted</t>
  </si>
  <si>
    <t xml:space="preserve">AP</t>
  </si>
  <si>
    <t xml:space="preserve">New install:</t>
  </si>
  <si>
    <t xml:space="preserve">Tube loading charts are correct for installed tube(s).</t>
  </si>
  <si>
    <t xml:space="preserve">Front</t>
  </si>
  <si>
    <t xml:space="preserve">Operator manuals are available.</t>
  </si>
  <si>
    <t xml:space="preserve">Frontal</t>
  </si>
  <si>
    <t xml:space="preserve">Tube Designation:</t>
  </si>
  <si>
    <t xml:space="preserve">Monthly radiation monitoring reports are posted.</t>
  </si>
  <si>
    <t xml:space="preserve">Lat</t>
  </si>
  <si>
    <t xml:space="preserve">Lateral</t>
  </si>
  <si>
    <t xml:space="preserve">Fluoroscopy Systems</t>
  </si>
  <si>
    <t xml:space="preserve">Interlock systems function to prevent fluoro while II is parked</t>
  </si>
  <si>
    <t xml:space="preserve">The minimum Source Skin Distance &gt; 38 cm (20 cm for surgical applications)</t>
  </si>
  <si>
    <t xml:space="preserve">Minimum of 2.5 mm lead equivalent shielding (i.e. drapes or sliding panels)</t>
  </si>
  <si>
    <t xml:space="preserve">The useful beam is intercepted by the image assembly at any SID</t>
  </si>
  <si>
    <t xml:space="preserve">Fluoroscopy patient dose charts are posted</t>
  </si>
  <si>
    <t xml:space="preserve">Receptor Size</t>
  </si>
  <si>
    <t xml:space="preserve">Max Entrance Exposure rate &lt;= 88 mGy/min (auto) and &lt;= 44 mGy/min (manual)</t>
  </si>
  <si>
    <t xml:space="preserve">Normal:</t>
  </si>
  <si>
    <t xml:space="preserve">Max Entrance Exposure Rate &lt;= 176 mGy/min (high level)</t>
  </si>
  <si>
    <t xml:space="preserve">Mag 1:</t>
  </si>
  <si>
    <t xml:space="preserve">High contrast resolution within MUSC specifications</t>
  </si>
  <si>
    <t xml:space="preserve">Mag 2:</t>
  </si>
  <si>
    <t xml:space="preserve">Low contrast resolution within MUSC specifications</t>
  </si>
  <si>
    <t xml:space="preserve">Pt Dose Measured Fluoro</t>
  </si>
  <si>
    <t xml:space="preserve">Transmission through II &lt; 2 uGy/hr for each mGy/min at patient entrance</t>
  </si>
  <si>
    <t xml:space="preserve">Manual/Auto:</t>
  </si>
  <si>
    <t xml:space="preserve">Beam limiting device available (functioning) to restrict the x-ray field</t>
  </si>
  <si>
    <t xml:space="preserve">Lucite/Al:</t>
  </si>
  <si>
    <t xml:space="preserve">The useful beam is centered on the image receptor</t>
  </si>
  <si>
    <t xml:space="preserve"># dose rates:</t>
  </si>
  <si>
    <t xml:space="preserve">Collimator edges are visible at full open</t>
  </si>
  <si>
    <t xml:space="preserve">High level present:</t>
  </si>
  <si>
    <t xml:space="preserve">Elapsed timer (5 min maximum) functional</t>
  </si>
  <si>
    <t xml:space="preserve">cm/in:</t>
  </si>
  <si>
    <t xml:space="preserve">Fluoroscopic kV and mA meter present and functional</t>
  </si>
  <si>
    <t xml:space="preserve">Auto/mA:</t>
  </si>
  <si>
    <t xml:space="preserve">Test equipment:</t>
  </si>
  <si>
    <t xml:space="preserve">Radiation Safety</t>
  </si>
  <si>
    <t xml:space="preserve">Calibration date:</t>
  </si>
  <si>
    <t xml:space="preserve">Continuous pressure on exposure switch required to make an exposure with selected tube</t>
  </si>
  <si>
    <t xml:space="preserve">Calibration due:</t>
  </si>
  <si>
    <t xml:space="preserve">Operator has full visibility of the exposure factors and patient</t>
  </si>
  <si>
    <t xml:space="preserve">Technique 1:</t>
  </si>
  <si>
    <t xml:space="preserve">Lead aprons available</t>
  </si>
  <si>
    <t xml:space="preserve">Technique 2:</t>
  </si>
  <si>
    <t xml:space="preserve">Lead gloves available</t>
  </si>
  <si>
    <t xml:space="preserve">Technique 3:</t>
  </si>
  <si>
    <t xml:space="preserve">Properly designed and installed apron rack is present</t>
  </si>
  <si>
    <t xml:space="preserve">Maximum Dose Rates Fluoro</t>
  </si>
  <si>
    <t xml:space="preserve">Documentation of annual protective apparel integrity inspection is available</t>
  </si>
  <si>
    <t xml:space="preserve">kV:</t>
  </si>
  <si>
    <t xml:space="preserve">Patient restraint devices available</t>
  </si>
  <si>
    <t xml:space="preserve">mA:</t>
  </si>
  <si>
    <t xml:space="preserve">Gonadal shielding is present and functional</t>
  </si>
  <si>
    <t xml:space="preserve">mGy/min:</t>
  </si>
  <si>
    <t xml:space="preserve">Physical Inspection</t>
  </si>
  <si>
    <t xml:space="preserve">System clean and free of debris</t>
  </si>
  <si>
    <t xml:space="preserve">All cables free from excessive wear or restraints</t>
  </si>
  <si>
    <t xml:space="preserve">System free of missing or damaged components</t>
  </si>
  <si>
    <t xml:space="preserve">Tube support movements and locks are acceptable</t>
  </si>
  <si>
    <t xml:space="preserve">All other movements and locks functional</t>
  </si>
  <si>
    <t xml:space="preserve">HVL</t>
  </si>
  <si>
    <t xml:space="preserve">HVL Measured kV:</t>
  </si>
  <si>
    <t xml:space="preserve">HVL Measured:</t>
  </si>
  <si>
    <t xml:space="preserve">Automatic Brightness Control / Display Monitor</t>
  </si>
  <si>
    <t xml:space="preserve">Fluoro Scatter/Transmission</t>
  </si>
  <si>
    <t xml:space="preserve">Automatic Brightness Control maintains image brightness for varying attenuation</t>
  </si>
  <si>
    <t xml:space="preserve">Transmission:</t>
  </si>
  <si>
    <t xml:space="preserve">Display monitor is free of artifacts, shadows, bright spots, and burn-in</t>
  </si>
  <si>
    <t xml:space="preserve">Unshielded Scatter (eyes):</t>
  </si>
  <si>
    <t xml:space="preserve">Display monitor is free of distortion</t>
  </si>
  <si>
    <t xml:space="preserve">Unshielded Scatter (waist):</t>
  </si>
  <si>
    <t xml:space="preserve">Display monitor is free of excessive persistence (after-image)</t>
  </si>
  <si>
    <t xml:space="preserve">Shielded Scatter (eyes):</t>
  </si>
  <si>
    <t xml:space="preserve">Display monitor is free of static or rolling noise bands</t>
  </si>
  <si>
    <t xml:space="preserve">Shielded Scatter (waist):</t>
  </si>
  <si>
    <t xml:space="preserve">The last image hold (LIH) display is free of jitter or abnormal appearance</t>
  </si>
  <si>
    <t xml:space="preserve">Receptor Entr Exp Fluoro</t>
  </si>
  <si>
    <t xml:space="preserve">Entrance Exposure Rate</t>
  </si>
  <si>
    <t xml:space="preserve">Type 1 for manual, leave blank for auto</t>
  </si>
  <si>
    <t xml:space="preserve">Auto/mA mode</t>
  </si>
  <si>
    <t xml:space="preserve">Type 1 if using Lucite, leave blank if using Al</t>
  </si>
  <si>
    <t xml:space="preserve">Test equipment</t>
  </si>
  <si>
    <t xml:space="preserve">How many dose rate settings are present (exclusing High Level)?</t>
  </si>
  <si>
    <t xml:space="preserve">Calibration date</t>
  </si>
  <si>
    <t xml:space="preserve">Is High Level provided? (1=Yes, 2=No)</t>
  </si>
  <si>
    <t xml:space="preserve">Calibration due</t>
  </si>
  <si>
    <t xml:space="preserve">cm</t>
  </si>
  <si>
    <t xml:space="preserve">Unit for image receptor size</t>
  </si>
  <si>
    <t xml:space="preserve">Patient Entrance Exposure Rate (Fluoroscopy)*</t>
  </si>
  <si>
    <t xml:space="preserve">Leeds Phantom</t>
  </si>
  <si>
    <t xml:space="preserve">Image</t>
  </si>
  <si>
    <t xml:space="preserve">Acrylic</t>
  </si>
  <si>
    <t xml:space="preserve">kVp:</t>
  </si>
  <si>
    <t xml:space="preserve">Mode</t>
  </si>
  <si>
    <t xml:space="preserve">Attenuator</t>
  </si>
  <si>
    <t xml:space="preserve">Huttner Normal:</t>
  </si>
  <si>
    <t xml:space="preserve">(cm)</t>
  </si>
  <si>
    <t xml:space="preserve">kVp</t>
  </si>
  <si>
    <t xml:space="preserve">mA</t>
  </si>
  <si>
    <t xml:space="preserve">mGy/min</t>
  </si>
  <si>
    <t xml:space="preserve">Huttner Mag 1:</t>
  </si>
  <si>
    <t xml:space="preserve">Normal</t>
  </si>
  <si>
    <t xml:space="preserve">Huttner Mag 2:</t>
  </si>
  <si>
    <t xml:space="preserve">N3 Normal:</t>
  </si>
  <si>
    <t xml:space="preserve">N3 Mag 1:</t>
  </si>
  <si>
    <t xml:space="preserve">Mag 1</t>
  </si>
  <si>
    <t xml:space="preserve">N3 Mag 2</t>
  </si>
  <si>
    <t xml:space="preserve">Field Shape:</t>
  </si>
  <si>
    <t xml:space="preserve">SID:</t>
  </si>
  <si>
    <t xml:space="preserve">Mag 2</t>
  </si>
  <si>
    <t xml:space="preserve">Front:</t>
  </si>
  <si>
    <t xml:space="preserve">Back:</t>
  </si>
  <si>
    <t xml:space="preserve">Left:</t>
  </si>
  <si>
    <t xml:space="preserve">Max</t>
  </si>
  <si>
    <t xml:space="preserve">Right:</t>
  </si>
  <si>
    <t xml:space="preserve">Last Year:</t>
  </si>
  <si>
    <t xml:space="preserve">TO.10.A</t>
  </si>
  <si>
    <t xml:space="preserve">*Measured at:</t>
  </si>
  <si>
    <t xml:space="preserve">Acceptable:</t>
  </si>
  <si>
    <t xml:space="preserve">TO.10.B</t>
  </si>
  <si>
    <t xml:space="preserve">Undertable fluoroscopy units: 1 cm above table top</t>
  </si>
  <si>
    <t xml:space="preserve">TO.10.C</t>
  </si>
  <si>
    <t xml:space="preserve">Overhead tube fluoroscopy units: 30 cm above table top (Tube as close as possible to measuring point)</t>
  </si>
  <si>
    <t xml:space="preserve">TO.10.D</t>
  </si>
  <si>
    <t xml:space="preserve">C-arm fluoroscopy units: 30 cm from image receptor input (Tube at any ID, but spacer no closer than measuring point</t>
  </si>
  <si>
    <t xml:space="preserve">TO.10.E</t>
  </si>
  <si>
    <t xml:space="preserve">Lateral fluoroscopy units: 15 cm from center line of table and towards the tube (Position table and tube so spacer is as close as possible to measuring point)</t>
  </si>
  <si>
    <t xml:space="preserve">TO.10.F</t>
  </si>
  <si>
    <t xml:space="preserve">Criteria:</t>
  </si>
  <si>
    <t xml:space="preserve">Max Entrance Exposure Rate &lt;= 88 mGy/min (auto) and &lt;= 44 mGy/min (manual)</t>
  </si>
  <si>
    <t xml:space="preserve">TO.10.G</t>
  </si>
  <si>
    <t xml:space="preserve">TO.10.H</t>
  </si>
  <si>
    <t xml:space="preserve">Comments:</t>
  </si>
  <si>
    <t xml:space="preserve">TO.10.J</t>
  </si>
  <si>
    <t xml:space="preserve">Do not exceed 390 chars</t>
  </si>
  <si>
    <t xml:space="preserve">TO.10.K</t>
  </si>
  <si>
    <t xml:space="preserve">New:</t>
  </si>
  <si>
    <t xml:space="preserve">TO.10.L</t>
  </si>
  <si>
    <t xml:space="preserve">TO.10.M</t>
  </si>
  <si>
    <t xml:space="preserve">Half Value Layer</t>
  </si>
  <si>
    <t xml:space="preserve">Use DHEC standards? (Type 1 to base acceptance on DHEC criteria)</t>
  </si>
  <si>
    <t xml:space="preserve">kV</t>
  </si>
  <si>
    <t xml:space="preserve">mm Al</t>
  </si>
  <si>
    <t xml:space="preserve">Data Processing</t>
  </si>
  <si>
    <t xml:space="preserve">Avg Exp</t>
  </si>
  <si>
    <t xml:space="preserve">DATA(1/2)</t>
  </si>
  <si>
    <t xml:space="preserve">Data Al</t>
  </si>
  <si>
    <t xml:space="preserve">Data Exp</t>
  </si>
  <si>
    <t xml:space="preserve">LN(EXP)</t>
  </si>
  <si>
    <t xml:space="preserve">Acceptable (mm Al)</t>
  </si>
  <si>
    <t xml:space="preserve">Low</t>
  </si>
  <si>
    <t xml:space="preserve">Desired</t>
  </si>
  <si>
    <t xml:space="preserve">HVL Acceptable:</t>
  </si>
  <si>
    <t xml:space="preserve">High</t>
  </si>
  <si>
    <t xml:space="preserve">Kerma Area Product/Cumulative Air Kerma/Air Kerma Rate</t>
  </si>
  <si>
    <t xml:space="preserve">Source-PDC distance (cm)</t>
  </si>
  <si>
    <t xml:space="preserve">Source-Isocenter</t>
  </si>
  <si>
    <t xml:space="preserve">Source-Ref Pt distance (cm)</t>
  </si>
  <si>
    <t xml:space="preserve">Table-Isocenter</t>
  </si>
  <si>
    <t xml:space="preserve">Reference Point correction factor</t>
  </si>
  <si>
    <t xml:space="preserve">RefPt-Isocenter</t>
  </si>
  <si>
    <t xml:space="preserve">Start KAP</t>
  </si>
  <si>
    <t xml:space="preserve">End KAP</t>
  </si>
  <si>
    <t xml:space="preserve">Measured</t>
  </si>
  <si>
    <t xml:space="preserve">Meas KAP</t>
  </si>
  <si>
    <t xml:space="preserve">Indicated</t>
  </si>
  <si>
    <t xml:space="preserve">µGy·m²</t>
  </si>
  <si>
    <t xml:space="preserve">KAP</t>
  </si>
  <si>
    <t xml:space="preserve">@ Ref Pt</t>
  </si>
  <si>
    <t xml:space="preserve">Deviation</t>
  </si>
  <si>
    <t xml:space="preserve">Comments</t>
  </si>
  <si>
    <t xml:space="preserve">Pt Entr Exp Fluoro:</t>
  </si>
  <si>
    <t xml:space="preserve">Receptor Entr Exp Fluoro:</t>
  </si>
  <si>
    <t xml:space="preserve">Scatter/Transmission:</t>
  </si>
  <si>
    <t xml:space="preserve">Start AK</t>
  </si>
  <si>
    <t xml:space="preserve">End AK</t>
  </si>
  <si>
    <t xml:space="preserve">Meas CAK</t>
  </si>
  <si>
    <t xml:space="preserve">Leeds Phantom:</t>
  </si>
  <si>
    <t xml:space="preserve">mGy</t>
  </si>
  <si>
    <t xml:space="preserve">CAK</t>
  </si>
  <si>
    <t xml:space="preserve">TO.10:</t>
  </si>
  <si>
    <t xml:space="preserve">Beam Limitation:</t>
  </si>
  <si>
    <t xml:space="preserve">CT Measurement Protocols</t>
  </si>
  <si>
    <t xml:space="preserve">Protocol 1:</t>
  </si>
  <si>
    <t xml:space="preserve">Protocol name:</t>
  </si>
  <si>
    <t xml:space="preserve">Meas AKR</t>
  </si>
  <si>
    <t xml:space="preserve">AKR</t>
  </si>
  <si>
    <t xml:space="preserve">mAs:</t>
  </si>
  <si>
    <t xml:space="preserve">Time/rotation (s):</t>
  </si>
  <si>
    <t xml:space="preserve">Scan FOV (cm):</t>
  </si>
  <si>
    <t xml:space="preserve">Display FOV (cm):</t>
  </si>
  <si>
    <t xml:space="preserve">Z-Axis collimation:</t>
  </si>
  <si>
    <t xml:space="preserve"># of channels:</t>
  </si>
  <si>
    <t xml:space="preserve">Measured KAP/AK/AKR is within 40% of the displayed values</t>
  </si>
  <si>
    <t xml:space="preserve">Recon scan width (mm):</t>
  </si>
  <si>
    <t xml:space="preserve">Recon scan interval (mm):</t>
  </si>
  <si>
    <t xml:space="preserve">Scatter and Transmission</t>
  </si>
  <si>
    <t xml:space="preserve">Indiated CTDIvol (mGy):</t>
  </si>
  <si>
    <t xml:space="preserve">Pt Entrance</t>
  </si>
  <si>
    <t xml:space="preserve">Protocol 2:</t>
  </si>
  <si>
    <t xml:space="preserve">uGy/hr</t>
  </si>
  <si>
    <t xml:space="preserve">Acceptable</t>
  </si>
  <si>
    <t xml:space="preserve">Transmission* @ 10cm</t>
  </si>
  <si>
    <t xml:space="preserve">Unshielded</t>
  </si>
  <si>
    <t xml:space="preserve">Shielded</t>
  </si>
  <si>
    <t xml:space="preserve">uGy/min</t>
  </si>
  <si>
    <t xml:space="preserve">Scatter – Fluoro</t>
  </si>
  <si>
    <t xml:space="preserve">Eye level</t>
  </si>
  <si>
    <t xml:space="preserve">Waist level</t>
  </si>
  <si>
    <t xml:space="preserve">*Measured with 8” Lucite in beam</t>
  </si>
  <si>
    <t xml:space="preserve">Largest field size mode, highest dose rate mode</t>
  </si>
  <si>
    <t xml:space="preserve">Transmission through the image receptor is &lt; 2 uGy/hr at 10 cm for each mGy/min of patient entrance exposure</t>
  </si>
  <si>
    <t xml:space="preserve">Protocol 3:</t>
  </si>
  <si>
    <t xml:space="preserve">Image Receptor Entrance Exposure Rate – Fluoroscopy</t>
  </si>
  <si>
    <t xml:space="preserve">Dose</t>
  </si>
  <si>
    <t xml:space="preserve">Receptor</t>
  </si>
  <si>
    <t xml:space="preserve">Previous Year</t>
  </si>
  <si>
    <t xml:space="preserve">Level</t>
  </si>
  <si>
    <t xml:space="preserve">Size (cm)</t>
  </si>
  <si>
    <t xml:space="preserve">nGy/frame</t>
  </si>
  <si>
    <t xml:space="preserve">Measure using pancake probe placed against</t>
  </si>
  <si>
    <t xml:space="preserve">image receptor input window</t>
  </si>
  <si>
    <t xml:space="preserve">Use 1.5mm Cu filtration</t>
  </si>
  <si>
    <t xml:space="preserve">CTDI Measurements</t>
  </si>
  <si>
    <t xml:space="preserve">kV Accuracy and Reproducibility</t>
  </si>
  <si>
    <t xml:space="preserve">Test Equipment Used:</t>
  </si>
  <si>
    <t xml:space="preserve">Piranha</t>
  </si>
  <si>
    <t xml:space="preserve">Calibration Date:</t>
  </si>
  <si>
    <t xml:space="preserve">CB2-17090320</t>
  </si>
  <si>
    <t xml:space="preserve">Calibration Due:</t>
  </si>
  <si>
    <t xml:space="preserve">kV Accuracy</t>
  </si>
  <si>
    <t xml:space="preserve">Exposure</t>
  </si>
  <si>
    <t xml:space="preserve">Exp rate</t>
  </si>
  <si>
    <t xml:space="preserve">kV set</t>
  </si>
  <si>
    <t xml:space="preserve">mA Set</t>
  </si>
  <si>
    <t xml:space="preserve">(mGy)</t>
  </si>
  <si>
    <t xml:space="preserve">(mGy/min)</t>
  </si>
  <si>
    <t xml:space="preserve">Tot Filt</t>
  </si>
  <si>
    <t xml:space="preserve">kV % error</t>
  </si>
  <si>
    <t xml:space="preserve">kVp accurate to within 5% of indicated.</t>
  </si>
  <si>
    <t xml:space="preserve">kV/exposure reproducibility</t>
  </si>
  <si>
    <t xml:space="preserve">Air Kerma Rate Linearity</t>
  </si>
  <si>
    <t xml:space="preserve">kV Set:</t>
  </si>
  <si>
    <t xml:space="preserve">Coeff of Linearity:</t>
  </si>
  <si>
    <t xml:space="preserve">Mean:</t>
  </si>
  <si>
    <t xml:space="preserve">Std Dev:</t>
  </si>
  <si>
    <t xml:space="preserve">Coefficient of linearity &lt;= 10%.</t>
  </si>
  <si>
    <t xml:space="preserve">Coeff of Var:</t>
  </si>
  <si>
    <t xml:space="preserve">kVp coefficient of variation (std dev./mean) &lt;= 5%.</t>
  </si>
  <si>
    <t xml:space="preserve">MS1</t>
  </si>
  <si>
    <t xml:space="preserve">MS3</t>
  </si>
  <si>
    <t xml:space="preserve">MS4</t>
  </si>
  <si>
    <t xml:space="preserve">Huttner</t>
  </si>
  <si>
    <t xml:space="preserve">N3</t>
  </si>
  <si>
    <t xml:space="preserve">MS1-4</t>
  </si>
  <si>
    <t xml:space="preserve">Huttner: Enter col.row</t>
  </si>
  <si>
    <t xml:space="preserve">Clearly visible</t>
  </si>
  <si>
    <t xml:space="preserve">N3: Enter # of visible disks</t>
  </si>
  <si>
    <t xml:space="preserve">Visible</t>
  </si>
  <si>
    <t xml:space="preserve">Barely visible</t>
  </si>
  <si>
    <t xml:space="preserve">Not visible</t>
  </si>
  <si>
    <t xml:space="preserve">TO.10</t>
  </si>
  <si>
    <t xml:space="preserve">Field Size</t>
  </si>
  <si>
    <t xml:space="preserve">Row</t>
  </si>
  <si>
    <t xml:space="preserve">Type 1 for circular field, 2 for square field</t>
  </si>
  <si>
    <t xml:space="preserve">A</t>
  </si>
  <si>
    <t xml:space="preserve">B</t>
  </si>
  <si>
    <t xml:space="preserve">C</t>
  </si>
  <si>
    <t xml:space="preserve">Horizontal:</t>
  </si>
  <si>
    <t xml:space="preserve">D</t>
  </si>
  <si>
    <t xml:space="preserve">Vertical:</t>
  </si>
  <si>
    <t xml:space="preserve">E</t>
  </si>
  <si>
    <t xml:space="preserve">Diagonal:</t>
  </si>
  <si>
    <t xml:space="preserve">F</t>
  </si>
  <si>
    <t xml:space="preserve">G</t>
  </si>
  <si>
    <t xml:space="preserve">Criteria: </t>
  </si>
  <si>
    <t xml:space="preserve">Measured field size is at least 85% of nominal field size</t>
  </si>
  <si>
    <t xml:space="preserve">H</t>
  </si>
  <si>
    <t xml:space="preserve">J</t>
  </si>
  <si>
    <t xml:space="preserve">K</t>
  </si>
  <si>
    <t xml:space="preserve">L</t>
  </si>
  <si>
    <t xml:space="preserve">M</t>
  </si>
  <si>
    <t xml:space="preserve">Useful Beam Limitation</t>
  </si>
  <si>
    <t xml:space="preserve">SID (cm)</t>
  </si>
  <si>
    <t xml:space="preserve">Difference</t>
  </si>
  <si>
    <t xml:space="preserve">Sum</t>
  </si>
  <si>
    <t xml:space="preserve">T</t>
  </si>
  <si>
    <t xml:space="preserve">R</t>
  </si>
  <si>
    <t xml:space="preserve">Top:</t>
  </si>
  <si>
    <t xml:space="preserve">Visible:</t>
  </si>
  <si>
    <t xml:space="preserve">Bottom:</t>
  </si>
  <si>
    <t xml:space="preserve">X-ray:</t>
  </si>
  <si>
    <t xml:space="preserve">SOD:</t>
  </si>
  <si>
    <t xml:space="preserve">Difference between x-ray field and visible image area is less than 2% SID</t>
  </si>
  <si>
    <t xml:space="preserve">SID/SOD:</t>
  </si>
  <si>
    <t xml:space="preserve">Sum of length and width differences is less than 4% SID</t>
  </si>
  <si>
    <t xml:space="preserve">Dosimetry</t>
  </si>
  <si>
    <t xml:space="preserve">Planar Average Dose</t>
  </si>
  <si>
    <t xml:space="preserve">Protocol 1</t>
  </si>
  <si>
    <t xml:space="preserve">Protocol 2</t>
  </si>
  <si>
    <t xml:space="preserve">Protocol 3</t>
  </si>
  <si>
    <t xml:space="preserve">Indicated CTDI (mGy):</t>
  </si>
  <si>
    <t xml:space="preserve">Protocol:</t>
  </si>
  <si>
    <t xml:space="preserve">Meter:</t>
  </si>
  <si>
    <t xml:space="preserve">Indicated CTDIvol (mGy):</t>
  </si>
  <si>
    <t xml:space="preserve">Serial #:</t>
  </si>
  <si>
    <t xml:space="preserve">Phantom size indicated (cm):</t>
  </si>
  <si>
    <t xml:space="preserve">Probe:</t>
  </si>
  <si>
    <t xml:space="preserve">Beam width (mm):</t>
  </si>
  <si>
    <t xml:space="preserve">Phantom size used (cm):</t>
  </si>
  <si>
    <t xml:space="preserve">Probe SN:</t>
  </si>
  <si>
    <t xml:space="preserve">Chamber length (mm):</t>
  </si>
  <si>
    <t xml:space="preserve">Dose Profile (mGy)</t>
  </si>
  <si>
    <t xml:space="preserve">Center:</t>
  </si>
  <si>
    <t xml:space="preserve">Chamber correction factor:</t>
  </si>
  <si>
    <t xml:space="preserve">Reference</t>
  </si>
  <si>
    <t xml:space="preserve">Pass/Fail</t>
  </si>
  <si>
    <t xml:space="preserve">Planar average dose based on AAPM TG 238 report</t>
  </si>
  <si>
    <t xml:space="preserve">Center (mGy)</t>
  </si>
  <si>
    <t xml:space="preserve">Adult Abdomen</t>
  </si>
  <si>
    <t xml:space="preserve">Adult Head:</t>
  </si>
  <si>
    <t xml:space="preserve">Planar avg dose (mGy):</t>
  </si>
  <si>
    <t xml:space="preserve">Ped Abd (16cm)</t>
  </si>
  <si>
    <t xml:space="preserve">Previous year:</t>
  </si>
  <si>
    <t xml:space="preserve">Center CTDI (mGy):</t>
  </si>
  <si>
    <t xml:space="preserve">Ped Abd (32cm)</t>
  </si>
  <si>
    <t xml:space="preserve">Variation from prev year:</t>
  </si>
  <si>
    <t xml:space="preserve">Periphery (mGy)</t>
  </si>
  <si>
    <t xml:space="preserve">Pediatric Head:</t>
  </si>
  <si>
    <t xml:space="preserve">Variation from indicated:</t>
  </si>
  <si>
    <t xml:space="preserve">Periphery CTDI (mGy):</t>
  </si>
  <si>
    <t xml:space="preserve">CTDIw (mGy):</t>
  </si>
  <si>
    <t xml:space="preserve">Free-In-Air Dose</t>
  </si>
  <si>
    <t xml:space="preserve">Added filtration:</t>
  </si>
  <si>
    <t xml:space="preserve">Use 3mm Cu filtration at the x-ray tube</t>
  </si>
  <si>
    <t xml:space="preserve">Dair (mGy):</t>
  </si>
  <si>
    <t xml:space="preserve">Average Dair (mGy):</t>
  </si>
  <si>
    <t xml:space="preserve">CTDIw/100 mAs:</t>
  </si>
  <si>
    <t xml:space="preserve">Prev CTDIw/100 mAs:</t>
  </si>
  <si>
    <t xml:space="preserve">CBCT CTDI</t>
  </si>
  <si>
    <t xml:space="preserve">Average</t>
  </si>
  <si>
    <t xml:space="preserve">f(0)</t>
  </si>
  <si>
    <t xml:space="preserve">f(center)</t>
  </si>
  <si>
    <t xml:space="preserve">Top</t>
  </si>
  <si>
    <t xml:space="preserve">f(top)</t>
  </si>
  <si>
    <t xml:space="preserve">Left</t>
  </si>
  <si>
    <t xml:space="preserve">f(left)</t>
  </si>
  <si>
    <t xml:space="preserve">Right</t>
  </si>
  <si>
    <t xml:space="preserve">f(right)</t>
  </si>
  <si>
    <t xml:space="preserve">Bottom</t>
  </si>
  <si>
    <t xml:space="preserve">f(bottom)</t>
  </si>
  <si>
    <t xml:space="preserve">Top-left</t>
  </si>
  <si>
    <t xml:space="preserve">f(TL)</t>
  </si>
  <si>
    <t xml:space="preserve">Top-right</t>
  </si>
  <si>
    <t xml:space="preserve">f(TR)</t>
  </si>
  <si>
    <t xml:space="preserve">Bottom-left</t>
  </si>
  <si>
    <t xml:space="preserve">f(BL)</t>
  </si>
  <si>
    <t xml:space="preserve">Bottom-right</t>
  </si>
  <si>
    <t xml:space="preserve">f(BR)</t>
  </si>
  <si>
    <t xml:space="preserve">Leeds MS</t>
  </si>
  <si>
    <t xml:space="preserve">Huttner Grating</t>
  </si>
  <si>
    <t xml:space="preserve">Leeds N3</t>
  </si>
  <si>
    <t xml:space="preserve">Nominal</t>
  </si>
  <si>
    <t xml:space="preserve">TO.10 kV Adj</t>
  </si>
  <si>
    <t xml:space="preserve">.</t>
  </si>
  <si>
    <t xml:space="preserve">Diameter (mm)</t>
  </si>
  <si>
    <t xml:space="preserve">sqrt(Area)</t>
  </si>
  <si>
    <t xml:space="preserve">TO.10 Values</t>
  </si>
  <si>
    <t xml:space="preserve">DHEC</t>
  </si>
  <si>
    <t xml:space="preserve">MUSC</t>
  </si>
  <si>
    <t xml:space="preserve">HVL Graph</t>
  </si>
  <si>
    <t xml:space="preserve">Min HVL</t>
  </si>
  <si>
    <t xml:space="preserve">Max HVL</t>
  </si>
  <si>
    <t xml:space="preserve">(mm Al)</t>
  </si>
  <si>
    <t xml:space="preserve">Measurements</t>
  </si>
  <si>
    <t xml:space="preserve">Set kV(kV)</t>
  </si>
  <si>
    <t xml:space="preserve">Set mA(mA)</t>
  </si>
  <si>
    <t xml:space="preserve">Tube voltage(kV)</t>
  </si>
  <si>
    <t xml:space="preserve">Exposure(mGy)</t>
  </si>
  <si>
    <t xml:space="preserve">Exposure rate(mGy/min)</t>
  </si>
  <si>
    <t xml:space="preserve">HVL(mm Al)</t>
  </si>
  <si>
    <t xml:space="preserve">Total filtr.(mm Al)</t>
  </si>
  <si>
    <t xml:space="preserve">Set frames/s(FPS)</t>
  </si>
  <si>
    <t xml:space="preserve">Frames/s(FPS)</t>
  </si>
  <si>
    <t xml:space="preserve">Exposure/frame(µGy/frame)</t>
  </si>
  <si>
    <t xml:space="preserve">Frame exp. rate(mGy/s)</t>
  </si>
  <si>
    <t xml:space="preserve">Pulse width(ms)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</si>
</sst>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.00"/>
    <numFmt numFmtId="166" formatCode="General"/>
    <numFmt numFmtId="167" formatCode="0.0"/>
    <numFmt numFmtId="168" formatCode="0.00%"/>
    <numFmt numFmtId="169" formatCode="0%"/>
    <numFmt numFmtId="170" formatCode="[$-409]d/mmm/yyyy;@"/>
  </numFmts>
  <fonts count="19">
    <font>
      <sz val="12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Times New Roman"/>
      <family val="1"/>
      <charset val="1"/>
    </font>
    <font>
      <sz val="12"/>
      <color theme="1"/>
      <name val="Times New Roman"/>
      <family val="1"/>
      <charset val="1"/>
    </font>
    <font>
      <sz val="12"/>
      <color rgb="FFFF0000"/>
      <name val="Times New Roman"/>
      <family val="1"/>
      <charset val="1"/>
    </font>
    <font>
      <b val="true"/>
      <sz val="12"/>
      <color theme="1"/>
      <name val="Times New Roman"/>
      <family val="1"/>
      <charset val="1"/>
    </font>
    <font>
      <b val="true"/>
      <sz val="10"/>
      <color theme="1"/>
      <name val="Times New Roman"/>
      <family val="1"/>
      <charset val="1"/>
    </font>
    <font>
      <sz val="10"/>
      <color theme="1"/>
      <name val="Times New Roman"/>
      <family val="1"/>
      <charset val="1"/>
    </font>
    <font>
      <b val="true"/>
      <u val="single"/>
      <sz val="12"/>
      <color theme="1"/>
      <name val="Times New Roman"/>
      <family val="1"/>
      <charset val="1"/>
    </font>
    <font>
      <sz val="10"/>
      <color theme="5"/>
      <name val="Times New Roman"/>
      <family val="1"/>
      <charset val="1"/>
    </font>
    <font>
      <sz val="10"/>
      <name val="Times New Roman"/>
      <family val="1"/>
      <charset val="1"/>
    </font>
    <font>
      <sz val="9"/>
      <name val="Times New Roman"/>
      <family val="1"/>
      <charset val="1"/>
    </font>
    <font>
      <b val="true"/>
      <sz val="12"/>
      <name val="Times New Roman"/>
      <family val="1"/>
      <charset val="1"/>
    </font>
    <font>
      <b val="true"/>
      <u val="single"/>
      <sz val="12"/>
      <color theme="1"/>
      <name val="Calibri"/>
      <family val="2"/>
      <charset val="1"/>
    </font>
    <font>
      <sz val="10"/>
      <name val="Arial"/>
      <family val="2"/>
    </font>
    <font>
      <sz val="9"/>
      <color rgb="FF000000"/>
      <name val="Tahoma"/>
      <family val="2"/>
      <charset val="1"/>
    </font>
    <font>
      <b val="true"/>
      <sz val="12"/>
      <color rgb="FFFFFFFF"/>
      <name val="Times New Roman"/>
      <family val="1"/>
      <charset val="1"/>
    </font>
  </fonts>
  <fills count="7">
    <fill>
      <patternFill patternType="none"/>
    </fill>
    <fill>
      <patternFill patternType="gray125"/>
    </fill>
    <fill>
      <patternFill patternType="solid">
        <fgColor rgb="FF23B8DC"/>
        <bgColor rgb="FF00CCFF"/>
      </patternFill>
    </fill>
    <fill>
      <patternFill patternType="solid">
        <fgColor theme="0" tint="-0.25"/>
        <bgColor rgb="FFCCCCFF"/>
      </patternFill>
    </fill>
    <fill>
      <patternFill patternType="solid">
        <fgColor rgb="FFFFFF99"/>
        <bgColor rgb="FFCCFFCC"/>
      </patternFill>
    </fill>
    <fill>
      <patternFill patternType="solid">
        <fgColor rgb="FFE6E6E6"/>
        <bgColor rgb="FFFFFFFF"/>
      </patternFill>
    </fill>
    <fill>
      <patternFill patternType="solid">
        <fgColor rgb="FF000000"/>
        <bgColor rgb="FF003300"/>
      </patternFill>
    </fill>
  </fills>
  <borders count="84">
    <border diagonalUp="false" diagonalDown="false">
      <left/>
      <right/>
      <top/>
      <bottom/>
      <diagonal/>
    </border>
    <border diagonalUp="false" diagonalDown="false">
      <left style="double"/>
      <right/>
      <top style="double"/>
      <bottom/>
      <diagonal/>
    </border>
    <border diagonalUp="false" diagonalDown="false">
      <left/>
      <right/>
      <top style="double"/>
      <bottom/>
      <diagonal/>
    </border>
    <border diagonalUp="false" diagonalDown="false">
      <left/>
      <right style="double"/>
      <top style="double"/>
      <bottom/>
      <diagonal/>
    </border>
    <border diagonalUp="false" diagonalDown="false">
      <left style="double"/>
      <right/>
      <top/>
      <bottom/>
      <diagonal/>
    </border>
    <border diagonalUp="false" diagonalDown="false">
      <left/>
      <right style="double"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double"/>
      <right/>
      <top/>
      <bottom style="double"/>
      <diagonal/>
    </border>
    <border diagonalUp="false" diagonalDown="false">
      <left/>
      <right/>
      <top/>
      <bottom style="double"/>
      <diagonal/>
    </border>
    <border diagonalUp="false" diagonalDown="false">
      <left/>
      <right style="double"/>
      <top/>
      <bottom style="double"/>
      <diagonal/>
    </border>
    <border diagonalUp="false" diagonalDown="false">
      <left/>
      <right/>
      <top/>
      <bottom style="hair"/>
      <diagonal/>
    </border>
    <border diagonalUp="false" diagonalDown="false">
      <left style="double"/>
      <right/>
      <top/>
      <bottom style="thin"/>
      <diagonal/>
    </border>
    <border diagonalUp="false" diagonalDown="false">
      <left style="medium"/>
      <right style="hair"/>
      <top style="medium"/>
      <bottom style="hair"/>
      <diagonal/>
    </border>
    <border diagonalUp="false" diagonalDown="false">
      <left style="hair"/>
      <right style="medium"/>
      <top style="medium"/>
      <bottom style="hair"/>
      <diagonal/>
    </border>
    <border diagonalUp="false" diagonalDown="false">
      <left style="medium"/>
      <right style="hair"/>
      <top style="hair"/>
      <bottom style="hair"/>
      <diagonal/>
    </border>
    <border diagonalUp="false" diagonalDown="false">
      <left style="hair"/>
      <right style="medium"/>
      <top style="hair"/>
      <bottom style="hair"/>
      <diagonal/>
    </border>
    <border diagonalUp="false" diagonalDown="false">
      <left style="medium"/>
      <right style="hair"/>
      <top style="hair"/>
      <bottom style="medium"/>
      <diagonal/>
    </border>
    <border diagonalUp="false" diagonalDown="false">
      <left style="hair"/>
      <right style="medium"/>
      <top style="hair"/>
      <bottom style="medium"/>
      <diagonal/>
    </border>
    <border diagonalUp="false" diagonalDown="false">
      <left style="double"/>
      <right style="medium"/>
      <top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/>
      <top/>
      <bottom style="thin"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/>
      <diagonal/>
    </border>
    <border diagonalUp="false" diagonalDown="false">
      <left style="double"/>
      <right style="medium"/>
      <top style="medium"/>
      <bottom/>
      <diagonal/>
    </border>
    <border diagonalUp="false" diagonalDown="false">
      <left style="medium"/>
      <right style="medium"/>
      <top style="medium"/>
      <bottom style="hair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 style="double"/>
      <right style="medium"/>
      <top/>
      <bottom style="thin"/>
      <diagonal/>
    </border>
    <border diagonalUp="false" diagonalDown="false">
      <left style="medium"/>
      <right style="medium"/>
      <top style="hair"/>
      <bottom style="hair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double"/>
      <right style="medium"/>
      <top/>
      <bottom style="medium"/>
      <diagonal/>
    </border>
    <border diagonalUp="false" diagonalDown="false">
      <left style="medium"/>
      <right style="medium"/>
      <top style="hair"/>
      <bottom style="medium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double"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double"/>
      <right style="thin"/>
      <top style="medium"/>
      <bottom style="thin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/>
      <right style="thin"/>
      <top/>
      <bottom/>
      <diagonal/>
    </border>
    <border diagonalUp="false" diagonalDown="false">
      <left style="hair"/>
      <right style="hair"/>
      <top style="hair"/>
      <bottom style="thin"/>
      <diagonal/>
    </border>
    <border diagonalUp="false" diagonalDown="false">
      <left style="double"/>
      <right/>
      <top style="thin"/>
      <bottom style="thin"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double"/>
      <right style="thin"/>
      <top style="thin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double"/>
      <right style="thin"/>
      <top style="thin"/>
      <bottom style="medium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/>
      <right style="medium"/>
      <top style="thin"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double"/>
      <right style="thin"/>
      <top style="medium"/>
      <bottom style="medium"/>
      <diagonal/>
    </border>
    <border diagonalUp="false" diagonalDown="false">
      <left style="double"/>
      <right style="thin"/>
      <top style="medium"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 style="double"/>
      <right style="medium"/>
      <top style="medium"/>
      <bottom style="medium"/>
      <diagonal/>
    </border>
    <border diagonalUp="false" diagonalDown="false">
      <left style="double"/>
      <right style="thin"/>
      <top/>
      <bottom style="thin"/>
      <diagonal/>
    </border>
    <border diagonalUp="false" diagonalDown="false">
      <left style="medium"/>
      <right/>
      <top style="medium"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 style="medium"/>
      <right/>
      <top style="thin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4" fillId="0" borderId="0" applyFont="true" applyBorder="true" applyAlignment="true" applyProtection="true">
      <alignment horizontal="center" vertical="center" textRotation="0" wrapText="false" indent="0" shrinkToFit="false"/>
      <protection locked="true" hidden="false"/>
    </xf>
  </cellStyleXfs>
  <cellXfs count="20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2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3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5" fillId="0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3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1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3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4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3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3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3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9" fillId="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2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2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4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4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4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4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4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4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4" borderId="3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4" borderId="3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4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4" borderId="3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3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3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4" borderId="3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4" borderId="4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4" borderId="4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4" borderId="4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4" borderId="4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4" borderId="4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4" borderId="4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4" borderId="4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4" borderId="4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4" borderId="4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4" borderId="4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4" borderId="5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4" borderId="5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4" borderId="5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4" borderId="5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5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4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4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4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4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4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5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5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11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5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5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5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0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3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6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0" borderId="3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2" fillId="0" borderId="3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2" fillId="0" borderId="3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2" fillId="0" borderId="6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4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0" borderId="4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4" borderId="4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2" fillId="0" borderId="3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4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6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2" fillId="0" borderId="5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5" borderId="6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6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6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4" borderId="2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5" fillId="0" borderId="6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4" borderId="6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3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4" borderId="3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5" fillId="0" borderId="68" xfId="19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4" borderId="6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4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4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4" borderId="4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5" fillId="0" borderId="61" xfId="19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8" fontId="5" fillId="0" borderId="70" xfId="19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8" fontId="5" fillId="0" borderId="71" xfId="19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8" fontId="5" fillId="0" borderId="72" xfId="19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8" fontId="5" fillId="0" borderId="28" xfId="19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8" fontId="5" fillId="0" borderId="35" xfId="19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8" fontId="5" fillId="0" borderId="47" xfId="19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8" fillId="0" borderId="4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5" fillId="2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6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7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5" fillId="0" borderId="7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7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7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6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7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4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7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3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4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4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7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5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70" fontId="5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5" fillId="2" borderId="7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5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5" fillId="0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6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6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4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5" fillId="0" borderId="7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5" fillId="0" borderId="6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8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5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5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3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5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3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8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7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8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7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8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7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3" borderId="3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3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3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2" borderId="7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4" borderId="3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6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33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3" borderId="3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3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8" fillId="6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dxfs count="1"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E6E6E6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23B8DC"/>
      <rgbColor rgb="FF99CC00"/>
      <rgbColor rgb="FFFFCC00"/>
      <rgbColor rgb="FFFF9900"/>
      <rgbColor rgb="FFED7D3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AB304"/>
  <sheetViews>
    <sheetView showFormulas="false" showGridLines="true" showRowColHeaders="true" showZeros="true" rightToLeft="false" tabSelected="true" showOutlineSymbols="true" defaultGridColor="true" view="normal" topLeftCell="A262" colorId="64" zoomScale="100" zoomScaleNormal="100" zoomScalePageLayoutView="100" workbookViewId="0">
      <selection pane="topLeft" activeCell="J306" activeCellId="0" sqref="J306"/>
    </sheetView>
  </sheetViews>
  <sheetFormatPr defaultColWidth="10.625" defaultRowHeight="15" zeroHeight="false" outlineLevelRow="0" outlineLevelCol="0"/>
  <cols>
    <col collapsed="false" customWidth="false" hidden="false" outlineLevel="0" max="16" min="1" style="1" width="10.62"/>
    <col collapsed="false" customWidth="false" hidden="false" outlineLevel="0" max="17" min="17" style="2" width="10.62"/>
    <col collapsed="false" customWidth="false" hidden="false" outlineLevel="0" max="18" min="18" style="3" width="10.62"/>
    <col collapsed="false" customWidth="false" hidden="false" outlineLevel="0" max="19" min="19" style="2" width="10.62"/>
    <col collapsed="false" customWidth="false" hidden="false" outlineLevel="0" max="16384" min="20" style="1" width="10.62"/>
  </cols>
  <sheetData>
    <row r="1" customFormat="false" ht="15" hidden="false" customHeight="false" outlineLevel="0" collapsed="false">
      <c r="B1" s="4" t="s">
        <v>0</v>
      </c>
      <c r="C1" s="5"/>
      <c r="D1" s="5"/>
      <c r="E1" s="5"/>
      <c r="F1" s="5"/>
      <c r="G1" s="5"/>
      <c r="H1" s="5"/>
      <c r="I1" s="5"/>
      <c r="J1" s="5"/>
      <c r="K1" s="5"/>
      <c r="L1" s="5"/>
      <c r="M1" s="6"/>
      <c r="P1" s="1" t="s">
        <v>1</v>
      </c>
    </row>
    <row r="2" customFormat="false" ht="15" hidden="false" customHeight="false" outlineLevel="0" collapsed="false">
      <c r="B2" s="7"/>
      <c r="C2" s="8"/>
      <c r="D2" s="8"/>
      <c r="E2" s="8"/>
      <c r="F2" s="8"/>
      <c r="G2" s="9" t="s">
        <v>2</v>
      </c>
      <c r="H2" s="8"/>
      <c r="I2" s="8"/>
      <c r="J2" s="8"/>
      <c r="K2" s="8"/>
      <c r="L2" s="8"/>
      <c r="M2" s="10"/>
      <c r="P2" s="11"/>
    </row>
    <row r="3" customFormat="false" ht="15" hidden="false" customHeight="false" outlineLevel="0" collapsed="false">
      <c r="B3" s="7"/>
      <c r="C3" s="8"/>
      <c r="D3" s="8"/>
      <c r="E3" s="8"/>
      <c r="F3" s="8"/>
      <c r="G3" s="9" t="s">
        <v>3</v>
      </c>
      <c r="H3" s="8"/>
      <c r="I3" s="8"/>
      <c r="J3" s="8"/>
      <c r="K3" s="8"/>
      <c r="L3" s="8"/>
      <c r="M3" s="10"/>
      <c r="P3" s="12" t="str">
        <f aca="false">IF(Q7="","",Q7)</f>
        <v/>
      </c>
    </row>
    <row r="4" customFormat="false" ht="15" hidden="false" customHeight="false" outlineLevel="0" collapsed="false">
      <c r="B4" s="7"/>
      <c r="C4" s="8"/>
      <c r="D4" s="8"/>
      <c r="E4" s="8"/>
      <c r="F4" s="8"/>
      <c r="G4" s="13"/>
      <c r="H4" s="8"/>
      <c r="I4" s="8"/>
      <c r="J4" s="8"/>
      <c r="K4" s="8"/>
      <c r="L4" s="8"/>
      <c r="M4" s="10"/>
      <c r="P4" s="14" t="s">
        <v>4</v>
      </c>
      <c r="Q4" s="1" t="s">
        <v>5</v>
      </c>
    </row>
    <row r="5" customFormat="false" ht="15" hidden="false" customHeight="false" outlineLevel="0" collapsed="false">
      <c r="B5" s="15"/>
      <c r="C5" s="16"/>
      <c r="D5" s="16"/>
      <c r="E5" s="16"/>
      <c r="F5" s="16"/>
      <c r="G5" s="17" t="s">
        <v>6</v>
      </c>
      <c r="H5" s="16"/>
      <c r="I5" s="16"/>
      <c r="J5" s="16"/>
      <c r="K5" s="16"/>
      <c r="L5" s="16"/>
      <c r="M5" s="18"/>
    </row>
    <row r="6" customFormat="false" ht="15" hidden="false" customHeight="false" outlineLevel="0" collapsed="false">
      <c r="C6" s="14" t="s">
        <v>7</v>
      </c>
      <c r="D6" s="11"/>
      <c r="J6" s="14" t="s">
        <v>8</v>
      </c>
      <c r="K6" s="12" t="str">
        <f aca="false">IF(L6&lt;&gt;"",L6,IF(Q9="","",Q9))</f>
        <v/>
      </c>
      <c r="L6" s="11"/>
      <c r="P6" s="19" t="s">
        <v>9</v>
      </c>
      <c r="Q6" s="20" t="s">
        <v>10</v>
      </c>
      <c r="S6" s="20" t="s">
        <v>11</v>
      </c>
    </row>
    <row r="7" customFormat="false" ht="15" hidden="false" customHeight="false" outlineLevel="0" collapsed="false">
      <c r="C7" s="14" t="s">
        <v>12</v>
      </c>
      <c r="D7" s="21" t="str">
        <f aca="false">IF(Q8="","",Q8)</f>
        <v/>
      </c>
      <c r="P7" s="14" t="s">
        <v>1</v>
      </c>
      <c r="Q7" s="22"/>
      <c r="R7" s="3" t="str">
        <f aca="false">IF(Q7&lt;&gt;S7,"Change","")</f>
        <v/>
      </c>
      <c r="S7" s="23" t="str">
        <f aca="false">IF(OR(P2="",P2=0),"",P2)</f>
        <v/>
      </c>
    </row>
    <row r="8" customFormat="false" ht="15" hidden="false" customHeight="false" outlineLevel="0" collapsed="false">
      <c r="B8" s="4"/>
      <c r="C8" s="5"/>
      <c r="D8" s="5"/>
      <c r="E8" s="5"/>
      <c r="F8" s="5"/>
      <c r="G8" s="24" t="s">
        <v>13</v>
      </c>
      <c r="H8" s="5"/>
      <c r="I8" s="5"/>
      <c r="J8" s="5"/>
      <c r="K8" s="5"/>
      <c r="L8" s="5"/>
      <c r="M8" s="6"/>
      <c r="P8" s="14" t="s">
        <v>14</v>
      </c>
      <c r="Q8" s="22"/>
      <c r="S8" s="25" t="str">
        <f aca="false">IF(D6="","",D6)</f>
        <v/>
      </c>
    </row>
    <row r="9" customFormat="false" ht="15" hidden="false" customHeight="false" outlineLevel="0" collapsed="false">
      <c r="B9" s="7"/>
      <c r="C9" s="26" t="s">
        <v>15</v>
      </c>
      <c r="D9" s="8"/>
      <c r="E9" s="27" t="s">
        <v>16</v>
      </c>
      <c r="F9" s="8"/>
      <c r="G9" s="8"/>
      <c r="H9" s="8"/>
      <c r="I9" s="8"/>
      <c r="J9" s="27" t="s">
        <v>16</v>
      </c>
      <c r="K9" s="8"/>
      <c r="L9" s="8"/>
      <c r="M9" s="10"/>
      <c r="P9" s="14" t="s">
        <v>17</v>
      </c>
      <c r="Q9" s="22"/>
      <c r="S9" s="25" t="str">
        <f aca="false">IF(L6="","",L6)</f>
        <v/>
      </c>
    </row>
    <row r="10" customFormat="false" ht="15" hidden="false" customHeight="false" outlineLevel="0" collapsed="false">
      <c r="B10" s="7"/>
      <c r="C10" s="28" t="s">
        <v>18</v>
      </c>
      <c r="D10" s="12" t="str">
        <f aca="false">IF(E10&lt;&gt;"",E10,IF(Q10="","",Q10))</f>
        <v/>
      </c>
      <c r="E10" s="11"/>
      <c r="F10" s="8"/>
      <c r="G10" s="8"/>
      <c r="H10" s="28" t="s">
        <v>19</v>
      </c>
      <c r="I10" s="12" t="str">
        <f aca="false">IF(J10&lt;&gt;"",J10,IF(Q15="","",Q15))</f>
        <v/>
      </c>
      <c r="J10" s="11"/>
      <c r="K10" s="8"/>
      <c r="L10" s="8"/>
      <c r="M10" s="10"/>
      <c r="P10" s="14" t="s">
        <v>18</v>
      </c>
      <c r="Q10" s="22"/>
      <c r="S10" s="25" t="str">
        <f aca="false">IF(E10="","",E10)</f>
        <v/>
      </c>
    </row>
    <row r="11" customFormat="false" ht="15" hidden="false" customHeight="false" outlineLevel="0" collapsed="false">
      <c r="B11" s="7"/>
      <c r="C11" s="28" t="s">
        <v>20</v>
      </c>
      <c r="D11" s="12" t="str">
        <f aca="false">IF(E11&lt;&gt;"",E11,IF(Q11="","",Q11))</f>
        <v/>
      </c>
      <c r="E11" s="11"/>
      <c r="F11" s="8"/>
      <c r="G11" s="8"/>
      <c r="H11" s="28" t="s">
        <v>21</v>
      </c>
      <c r="I11" s="12" t="str">
        <f aca="false">IF(J11&lt;&gt;"",J11,IF(Q16="","",Q16))</f>
        <v/>
      </c>
      <c r="J11" s="11"/>
      <c r="K11" s="8"/>
      <c r="L11" s="8"/>
      <c r="M11" s="10"/>
      <c r="P11" s="14" t="s">
        <v>20</v>
      </c>
      <c r="Q11" s="22"/>
      <c r="S11" s="25" t="str">
        <f aca="false">IF(E11="","",E11)</f>
        <v/>
      </c>
    </row>
    <row r="12" customFormat="false" ht="15" hidden="false" customHeight="false" outlineLevel="0" collapsed="false">
      <c r="B12" s="7"/>
      <c r="C12" s="28" t="s">
        <v>22</v>
      </c>
      <c r="D12" s="12" t="str">
        <f aca="false">IF(E12&lt;&gt;"",E12,IF(Q12="","",Q12))</f>
        <v/>
      </c>
      <c r="E12" s="11"/>
      <c r="F12" s="8"/>
      <c r="G12" s="8"/>
      <c r="H12" s="28" t="s">
        <v>23</v>
      </c>
      <c r="I12" s="12" t="str">
        <f aca="false">IF(J12&lt;&gt;"",J12,IF(Q17="","",Q17))</f>
        <v/>
      </c>
      <c r="J12" s="11"/>
      <c r="K12" s="8"/>
      <c r="L12" s="8"/>
      <c r="M12" s="10"/>
      <c r="P12" s="14" t="s">
        <v>22</v>
      </c>
      <c r="Q12" s="22"/>
      <c r="S12" s="25" t="str">
        <f aca="false">IF(E12="","",E12)</f>
        <v/>
      </c>
    </row>
    <row r="13" customFormat="false" ht="15" hidden="false" customHeight="false" outlineLevel="0" collapsed="false">
      <c r="B13" s="7"/>
      <c r="C13" s="28" t="s">
        <v>24</v>
      </c>
      <c r="D13" s="12" t="str">
        <f aca="false">IF(E13&lt;&gt;"",E13,IF(Q13="","",Q13))</f>
        <v/>
      </c>
      <c r="E13" s="11"/>
      <c r="F13" s="8"/>
      <c r="G13" s="8"/>
      <c r="H13" s="28" t="s">
        <v>25</v>
      </c>
      <c r="I13" s="12" t="str">
        <f aca="false">IF(J13&lt;&gt;"",J13,IF(Q18="","",Q18))</f>
        <v/>
      </c>
      <c r="J13" s="11"/>
      <c r="K13" s="8"/>
      <c r="L13" s="8"/>
      <c r="M13" s="10"/>
      <c r="P13" s="14" t="s">
        <v>24</v>
      </c>
      <c r="Q13" s="22"/>
      <c r="S13" s="25" t="str">
        <f aca="false">IF(E13="","",E13)</f>
        <v/>
      </c>
    </row>
    <row r="14" customFormat="false" ht="15" hidden="false" customHeight="false" outlineLevel="0" collapsed="false">
      <c r="B14" s="7"/>
      <c r="C14" s="28" t="s">
        <v>26</v>
      </c>
      <c r="D14" s="12" t="str">
        <f aca="false">IF(E14&lt;&gt;"",E14,IF(Q14="","",Q14))</f>
        <v/>
      </c>
      <c r="E14" s="11"/>
      <c r="F14" s="8"/>
      <c r="G14" s="8"/>
      <c r="H14" s="8"/>
      <c r="I14" s="8"/>
      <c r="J14" s="8"/>
      <c r="K14" s="8"/>
      <c r="L14" s="8"/>
      <c r="M14" s="10"/>
      <c r="P14" s="14" t="s">
        <v>26</v>
      </c>
      <c r="Q14" s="22"/>
      <c r="S14" s="25" t="str">
        <f aca="false">IF(E14="","",E14)</f>
        <v/>
      </c>
    </row>
    <row r="15" customFormat="false" ht="15" hidden="false" customHeight="false" outlineLevel="0" collapsed="false">
      <c r="B15" s="7"/>
      <c r="C15" s="26" t="s">
        <v>27</v>
      </c>
      <c r="D15" s="8"/>
      <c r="E15" s="8"/>
      <c r="F15" s="8"/>
      <c r="G15" s="8"/>
      <c r="H15" s="8"/>
      <c r="I15" s="8"/>
      <c r="J15" s="8"/>
      <c r="K15" s="8"/>
      <c r="L15" s="8"/>
      <c r="M15" s="10"/>
      <c r="P15" s="14" t="s">
        <v>19</v>
      </c>
      <c r="Q15" s="22"/>
      <c r="S15" s="25" t="str">
        <f aca="false">IF(J10="","",J10)</f>
        <v/>
      </c>
    </row>
    <row r="16" customFormat="false" ht="15" hidden="false" customHeight="false" outlineLevel="0" collapsed="false">
      <c r="B16" s="7"/>
      <c r="C16" s="28" t="s">
        <v>28</v>
      </c>
      <c r="D16" s="12" t="str">
        <f aca="false">IF(E16&lt;&gt;"",E16,IF(Q20="","",Q20))</f>
        <v/>
      </c>
      <c r="E16" s="11"/>
      <c r="F16" s="8"/>
      <c r="G16" s="8"/>
      <c r="H16" s="28" t="s">
        <v>29</v>
      </c>
      <c r="I16" s="12" t="str">
        <f aca="false">IF(J16&lt;&gt;"",J16,IF(Q23="","",Q23))</f>
        <v/>
      </c>
      <c r="J16" s="11"/>
      <c r="K16" s="8"/>
      <c r="L16" s="8"/>
      <c r="M16" s="10"/>
      <c r="P16" s="14" t="s">
        <v>21</v>
      </c>
      <c r="Q16" s="22"/>
      <c r="S16" s="25" t="str">
        <f aca="false">IF(J11="","",J11)</f>
        <v/>
      </c>
    </row>
    <row r="17" customFormat="false" ht="15" hidden="false" customHeight="false" outlineLevel="0" collapsed="false">
      <c r="B17" s="7"/>
      <c r="C17" s="28" t="s">
        <v>30</v>
      </c>
      <c r="D17" s="12" t="str">
        <f aca="false">IF(E17&lt;&gt;"",E17,IF(Q21="","",Q21))</f>
        <v/>
      </c>
      <c r="E17" s="11"/>
      <c r="F17" s="8"/>
      <c r="G17" s="8"/>
      <c r="H17" s="28" t="s">
        <v>31</v>
      </c>
      <c r="I17" s="12" t="str">
        <f aca="false">IF(J17&lt;&gt;"",J17,IF(Q24="","",Q24))</f>
        <v/>
      </c>
      <c r="J17" s="11"/>
      <c r="K17" s="8"/>
      <c r="L17" s="8"/>
      <c r="M17" s="10"/>
      <c r="P17" s="14" t="s">
        <v>23</v>
      </c>
      <c r="Q17" s="22"/>
      <c r="S17" s="25" t="str">
        <f aca="false">IF(J12="","",J12)</f>
        <v/>
      </c>
    </row>
    <row r="18" customFormat="false" ht="15" hidden="false" customHeight="false" outlineLevel="0" collapsed="false">
      <c r="B18" s="7"/>
      <c r="C18" s="28" t="s">
        <v>32</v>
      </c>
      <c r="D18" s="12" t="str">
        <f aca="false">IF(E18&lt;&gt;"",E18,IF(Q22="","",Q22))</f>
        <v/>
      </c>
      <c r="E18" s="11"/>
      <c r="F18" s="8"/>
      <c r="G18" s="8"/>
      <c r="H18" s="28" t="s">
        <v>33</v>
      </c>
      <c r="I18" s="12" t="str">
        <f aca="false">IF(J18&lt;&gt;"",J18,IF(Q25="","",Q25))</f>
        <v/>
      </c>
      <c r="J18" s="11"/>
      <c r="K18" s="8"/>
      <c r="L18" s="8"/>
      <c r="M18" s="10"/>
      <c r="P18" s="14" t="s">
        <v>34</v>
      </c>
      <c r="Q18" s="22"/>
      <c r="S18" s="25" t="str">
        <f aca="false">IF(J13="","",J13)</f>
        <v/>
      </c>
    </row>
    <row r="19" customFormat="false" ht="15" hidden="false" customHeight="false" outlineLevel="0" collapsed="false">
      <c r="B19" s="7"/>
      <c r="C19" s="8"/>
      <c r="D19" s="8"/>
      <c r="E19" s="8"/>
      <c r="F19" s="8"/>
      <c r="G19" s="8"/>
      <c r="H19" s="28" t="s">
        <v>35</v>
      </c>
      <c r="I19" s="12" t="str">
        <f aca="false">IF(J19&lt;&gt;"",J19,IF(Q26="","",Q26))</f>
        <v/>
      </c>
      <c r="J19" s="11"/>
      <c r="K19" s="8"/>
      <c r="L19" s="8"/>
      <c r="M19" s="10"/>
      <c r="P19" s="19" t="s">
        <v>27</v>
      </c>
    </row>
    <row r="20" customFormat="false" ht="15" hidden="false" customHeight="false" outlineLevel="0" collapsed="false">
      <c r="B20" s="7"/>
      <c r="C20" s="26" t="s">
        <v>36</v>
      </c>
      <c r="D20" s="8"/>
      <c r="E20" s="8"/>
      <c r="F20" s="8"/>
      <c r="G20" s="8"/>
      <c r="H20" s="8"/>
      <c r="I20" s="8"/>
      <c r="J20" s="8"/>
      <c r="K20" s="8"/>
      <c r="L20" s="8"/>
      <c r="M20" s="10"/>
      <c r="P20" s="14" t="s">
        <v>28</v>
      </c>
      <c r="Q20" s="22"/>
      <c r="S20" s="25" t="str">
        <f aca="false">IF(E16="","",E16)</f>
        <v/>
      </c>
    </row>
    <row r="21" customFormat="false" ht="15" hidden="false" customHeight="false" outlineLevel="0" collapsed="false">
      <c r="B21" s="7"/>
      <c r="C21" s="28" t="s">
        <v>37</v>
      </c>
      <c r="D21" s="12" t="str">
        <f aca="false">IF(E21&lt;&gt;"",E21,IF(Q28="","",Q28))</f>
        <v/>
      </c>
      <c r="E21" s="11"/>
      <c r="F21" s="8"/>
      <c r="G21" s="8"/>
      <c r="H21" s="26" t="s">
        <v>38</v>
      </c>
      <c r="I21" s="8"/>
      <c r="J21" s="8"/>
      <c r="K21" s="8"/>
      <c r="L21" s="8"/>
      <c r="M21" s="10"/>
      <c r="P21" s="14" t="s">
        <v>30</v>
      </c>
      <c r="Q21" s="22"/>
      <c r="S21" s="25" t="str">
        <f aca="false">IF(E17="","",E17)</f>
        <v/>
      </c>
    </row>
    <row r="22" customFormat="false" ht="15" hidden="false" customHeight="false" outlineLevel="0" collapsed="false">
      <c r="B22" s="7"/>
      <c r="C22" s="28" t="s">
        <v>29</v>
      </c>
      <c r="D22" s="12" t="str">
        <f aca="false">IF(E22&lt;&gt;"",E22,IF(Q29="","",Q29))</f>
        <v/>
      </c>
      <c r="E22" s="11"/>
      <c r="F22" s="8"/>
      <c r="G22" s="8"/>
      <c r="H22" s="28" t="s">
        <v>39</v>
      </c>
      <c r="I22" s="12" t="str">
        <f aca="false">IF(J22&lt;&gt;"",J22,IF(Q36="","",Q36))</f>
        <v/>
      </c>
      <c r="J22" s="11"/>
      <c r="K22" s="8"/>
      <c r="L22" s="8"/>
      <c r="M22" s="10"/>
      <c r="P22" s="14" t="s">
        <v>32</v>
      </c>
      <c r="Q22" s="22"/>
      <c r="S22" s="25" t="str">
        <f aca="false">IF(E18="","",E18)</f>
        <v/>
      </c>
    </row>
    <row r="23" customFormat="false" ht="15" hidden="false" customHeight="false" outlineLevel="0" collapsed="false">
      <c r="B23" s="7"/>
      <c r="C23" s="26" t="s">
        <v>40</v>
      </c>
      <c r="D23" s="8"/>
      <c r="E23" s="8"/>
      <c r="F23" s="8"/>
      <c r="G23" s="8"/>
      <c r="H23" s="28" t="s">
        <v>41</v>
      </c>
      <c r="I23" s="12" t="str">
        <f aca="false">IF(J23&lt;&gt;"",J23,IF(Q37="","",Q37))</f>
        <v/>
      </c>
      <c r="J23" s="11"/>
      <c r="K23" s="8"/>
      <c r="L23" s="8"/>
      <c r="M23" s="10"/>
      <c r="P23" s="14" t="s">
        <v>29</v>
      </c>
      <c r="Q23" s="22"/>
      <c r="S23" s="25" t="str">
        <f aca="false">IF(J16="","",J16)</f>
        <v/>
      </c>
    </row>
    <row r="24" customFormat="false" ht="15" hidden="false" customHeight="false" outlineLevel="0" collapsed="false">
      <c r="B24" s="7"/>
      <c r="C24" s="28" t="s">
        <v>28</v>
      </c>
      <c r="D24" s="12" t="str">
        <f aca="false">IF(E24&lt;&gt;"",E24,IF(Q30="","",Q30))</f>
        <v/>
      </c>
      <c r="E24" s="11"/>
      <c r="F24" s="8"/>
      <c r="G24" s="8"/>
      <c r="H24" s="28" t="s">
        <v>42</v>
      </c>
      <c r="I24" s="12" t="str">
        <f aca="false">IF(J24&lt;&gt;"",J24,IF(Q38="","",Q38))</f>
        <v/>
      </c>
      <c r="J24" s="11"/>
      <c r="K24" s="8"/>
      <c r="L24" s="8"/>
      <c r="M24" s="10"/>
      <c r="P24" s="14" t="s">
        <v>31</v>
      </c>
      <c r="Q24" s="22"/>
      <c r="S24" s="25" t="str">
        <f aca="false">IF(J17="","",J17)</f>
        <v/>
      </c>
    </row>
    <row r="25" customFormat="false" ht="15" hidden="false" customHeight="false" outlineLevel="0" collapsed="false">
      <c r="B25" s="7"/>
      <c r="C25" s="28" t="s">
        <v>30</v>
      </c>
      <c r="D25" s="12" t="str">
        <f aca="false">IF(E25&lt;&gt;"",E25,IF(Q31="","",Q31))</f>
        <v/>
      </c>
      <c r="E25" s="11"/>
      <c r="F25" s="8"/>
      <c r="G25" s="8"/>
      <c r="H25" s="8"/>
      <c r="I25" s="8"/>
      <c r="J25" s="8"/>
      <c r="K25" s="8"/>
      <c r="L25" s="8"/>
      <c r="M25" s="10"/>
      <c r="P25" s="14" t="s">
        <v>33</v>
      </c>
      <c r="Q25" s="22"/>
      <c r="S25" s="25" t="str">
        <f aca="false">IF(J18="","",J18)</f>
        <v/>
      </c>
    </row>
    <row r="26" customFormat="false" ht="15" hidden="false" customHeight="false" outlineLevel="0" collapsed="false">
      <c r="B26" s="7"/>
      <c r="C26" s="28" t="s">
        <v>31</v>
      </c>
      <c r="D26" s="12" t="str">
        <f aca="false">IF(E26&lt;&gt;"",E26,IF(Q32="","",Q32))</f>
        <v/>
      </c>
      <c r="E26" s="11"/>
      <c r="F26" s="8"/>
      <c r="G26" s="8"/>
      <c r="H26" s="26" t="s">
        <v>43</v>
      </c>
      <c r="I26" s="8"/>
      <c r="J26" s="8"/>
      <c r="K26" s="8"/>
      <c r="L26" s="8"/>
      <c r="M26" s="10"/>
      <c r="P26" s="14" t="s">
        <v>35</v>
      </c>
      <c r="Q26" s="22"/>
      <c r="S26" s="25" t="str">
        <f aca="false">IF(J19="","",J19)</f>
        <v/>
      </c>
    </row>
    <row r="27" customFormat="false" ht="15" hidden="false" customHeight="false" outlineLevel="0" collapsed="false">
      <c r="B27" s="7"/>
      <c r="C27" s="26" t="s">
        <v>44</v>
      </c>
      <c r="D27" s="8"/>
      <c r="E27" s="8"/>
      <c r="F27" s="8"/>
      <c r="G27" s="8"/>
      <c r="H27" s="28" t="s">
        <v>45</v>
      </c>
      <c r="I27" s="12" t="str">
        <f aca="false">IF(J27&lt;&gt;"",J27,IF(Q39="","",Q39))</f>
        <v/>
      </c>
      <c r="J27" s="11"/>
      <c r="K27" s="8"/>
      <c r="L27" s="8"/>
      <c r="M27" s="10"/>
      <c r="P27" s="19" t="s">
        <v>46</v>
      </c>
    </row>
    <row r="28" customFormat="false" ht="15" hidden="false" customHeight="false" outlineLevel="0" collapsed="false">
      <c r="B28" s="7"/>
      <c r="C28" s="28" t="s">
        <v>28</v>
      </c>
      <c r="D28" s="12" t="str">
        <f aca="false">IF(E28&lt;&gt;"",E28,IF(Q33="","",Q33))</f>
        <v/>
      </c>
      <c r="E28" s="11"/>
      <c r="F28" s="8"/>
      <c r="G28" s="8"/>
      <c r="H28" s="28" t="s">
        <v>47</v>
      </c>
      <c r="I28" s="12" t="str">
        <f aca="false">IF(J28&lt;&gt;"",J28,IF(Q40="","",Q40))</f>
        <v/>
      </c>
      <c r="J28" s="11"/>
      <c r="K28" s="8"/>
      <c r="L28" s="8"/>
      <c r="M28" s="10"/>
      <c r="P28" s="14" t="s">
        <v>37</v>
      </c>
      <c r="Q28" s="22"/>
      <c r="S28" s="25" t="str">
        <f aca="false">IF(E21="","",E21)</f>
        <v/>
      </c>
    </row>
    <row r="29" customFormat="false" ht="15" hidden="false" customHeight="false" outlineLevel="0" collapsed="false">
      <c r="B29" s="7"/>
      <c r="C29" s="28" t="s">
        <v>30</v>
      </c>
      <c r="D29" s="12" t="str">
        <f aca="false">IF(E29&lt;&gt;"",E29,IF(Q34="","",Q34))</f>
        <v/>
      </c>
      <c r="E29" s="11"/>
      <c r="F29" s="8"/>
      <c r="G29" s="8"/>
      <c r="H29" s="8"/>
      <c r="I29" s="8"/>
      <c r="J29" s="8"/>
      <c r="K29" s="8"/>
      <c r="L29" s="8"/>
      <c r="M29" s="10"/>
      <c r="P29" s="14" t="s">
        <v>29</v>
      </c>
      <c r="Q29" s="22"/>
      <c r="S29" s="25" t="str">
        <f aca="false">IF(E22="","",E22)</f>
        <v/>
      </c>
    </row>
    <row r="30" customFormat="false" ht="15" hidden="false" customHeight="false" outlineLevel="0" collapsed="false">
      <c r="B30" s="7"/>
      <c r="C30" s="28" t="s">
        <v>31</v>
      </c>
      <c r="D30" s="12" t="str">
        <f aca="false">IF(E30&lt;&gt;"",E30,IF(Q35="","",Q35))</f>
        <v/>
      </c>
      <c r="E30" s="11"/>
      <c r="F30" s="8"/>
      <c r="G30" s="8"/>
      <c r="H30" s="8"/>
      <c r="I30" s="8"/>
      <c r="J30" s="8"/>
      <c r="K30" s="8"/>
      <c r="L30" s="8"/>
      <c r="M30" s="10"/>
      <c r="P30" s="14" t="s">
        <v>28</v>
      </c>
      <c r="Q30" s="22"/>
      <c r="S30" s="25" t="str">
        <f aca="false">IF(E24="","",E24)</f>
        <v/>
      </c>
    </row>
    <row r="31" customFormat="false" ht="15" hidden="false" customHeight="false" outlineLevel="0" collapsed="false">
      <c r="B31" s="15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8"/>
      <c r="P31" s="14" t="s">
        <v>30</v>
      </c>
      <c r="Q31" s="22"/>
      <c r="S31" s="25" t="str">
        <f aca="false">IF(E25="","",E25)</f>
        <v/>
      </c>
    </row>
    <row r="32" customFormat="false" ht="15" hidden="false" customHeight="false" outlineLevel="0" collapsed="false">
      <c r="P32" s="14" t="s">
        <v>31</v>
      </c>
      <c r="Q32" s="22"/>
      <c r="S32" s="25" t="str">
        <f aca="false">IF(E26="","",E26)</f>
        <v/>
      </c>
    </row>
    <row r="33" customFormat="false" ht="15" hidden="false" customHeight="false" outlineLevel="0" collapsed="false">
      <c r="P33" s="14" t="s">
        <v>28</v>
      </c>
      <c r="Q33" s="22"/>
      <c r="S33" s="25" t="str">
        <f aca="false">IF(E28="","",E28)</f>
        <v/>
      </c>
    </row>
    <row r="34" customFormat="false" ht="15" hidden="false" customHeight="false" outlineLevel="0" collapsed="false">
      <c r="B34" s="29" t="s">
        <v>48</v>
      </c>
      <c r="C34" s="5"/>
      <c r="D34" s="5"/>
      <c r="E34" s="5"/>
      <c r="F34" s="5"/>
      <c r="G34" s="5"/>
      <c r="H34" s="5"/>
      <c r="I34" s="5"/>
      <c r="J34" s="5"/>
      <c r="K34" s="5"/>
      <c r="L34" s="5"/>
      <c r="M34" s="6"/>
      <c r="P34" s="14" t="s">
        <v>30</v>
      </c>
      <c r="Q34" s="22"/>
      <c r="S34" s="25" t="str">
        <f aca="false">IF(E29="","",E29)</f>
        <v/>
      </c>
    </row>
    <row r="35" customFormat="false" ht="15" hidden="false" customHeight="false" outlineLevel="0" collapsed="false">
      <c r="B35" s="30" t="str">
        <f aca="false">IF(C35&lt;&gt;"",C35,IF(OR(Q41=0,Q41=""),"",Q41))</f>
        <v/>
      </c>
      <c r="C35" s="31"/>
      <c r="D35" s="8" t="s">
        <v>49</v>
      </c>
      <c r="E35" s="8"/>
      <c r="F35" s="8"/>
      <c r="G35" s="8"/>
      <c r="H35" s="8"/>
      <c r="I35" s="28" t="s">
        <v>50</v>
      </c>
      <c r="J35" s="32" t="str">
        <f aca="false">IF(K35&lt;&gt;"",K35,IF(Q42="","",Q42))</f>
        <v/>
      </c>
      <c r="K35" s="31"/>
      <c r="L35" s="8"/>
      <c r="M35" s="10"/>
      <c r="P35" s="14" t="s">
        <v>31</v>
      </c>
      <c r="Q35" s="22"/>
      <c r="S35" s="25" t="str">
        <f aca="false">IF(E30="","",E30)</f>
        <v/>
      </c>
    </row>
    <row r="36" customFormat="false" ht="15" hidden="false" customHeight="false" outlineLevel="0" collapsed="false">
      <c r="B36" s="7"/>
      <c r="C36" s="8"/>
      <c r="D36" s="8"/>
      <c r="E36" s="8"/>
      <c r="F36" s="8"/>
      <c r="G36" s="8"/>
      <c r="H36" s="8"/>
      <c r="I36" s="8"/>
      <c r="J36" s="8" t="s">
        <v>51</v>
      </c>
      <c r="K36" s="8"/>
      <c r="L36" s="8"/>
      <c r="M36" s="10"/>
      <c r="P36" s="14" t="s">
        <v>39</v>
      </c>
      <c r="Q36" s="22"/>
      <c r="S36" s="25" t="str">
        <f aca="false">IF(J22="","",J22)</f>
        <v/>
      </c>
    </row>
    <row r="37" customFormat="false" ht="15" hidden="false" customHeight="false" outlineLevel="0" collapsed="false">
      <c r="B37" s="33" t="s">
        <v>52</v>
      </c>
      <c r="C37" s="8"/>
      <c r="D37" s="8"/>
      <c r="E37" s="8"/>
      <c r="F37" s="8"/>
      <c r="G37" s="8"/>
      <c r="H37" s="8"/>
      <c r="I37" s="8"/>
      <c r="J37" s="8" t="s">
        <v>53</v>
      </c>
      <c r="K37" s="8"/>
      <c r="L37" s="8"/>
      <c r="M37" s="10"/>
      <c r="P37" s="14" t="s">
        <v>41</v>
      </c>
      <c r="Q37" s="22"/>
      <c r="S37" s="25" t="str">
        <f aca="false">IF(J23="","",J23)</f>
        <v/>
      </c>
    </row>
    <row r="38" customFormat="false" ht="15" hidden="false" customHeight="false" outlineLevel="0" collapsed="false">
      <c r="B38" s="34"/>
      <c r="C38" s="8" t="s">
        <v>54</v>
      </c>
      <c r="D38" s="8"/>
      <c r="E38" s="8"/>
      <c r="F38" s="8"/>
      <c r="G38" s="8"/>
      <c r="H38" s="8"/>
      <c r="I38" s="8"/>
      <c r="J38" s="35" t="n">
        <f aca="false">IF(K38&lt;&gt;"",K38,IF(Q43="","",Q43))</f>
        <v>1</v>
      </c>
      <c r="K38" s="36" t="n">
        <v>1</v>
      </c>
      <c r="L38" s="8"/>
      <c r="M38" s="10"/>
      <c r="P38" s="14" t="s">
        <v>42</v>
      </c>
      <c r="Q38" s="22"/>
      <c r="S38" s="25" t="str">
        <f aca="false">IF(J24="","",J24)</f>
        <v/>
      </c>
    </row>
    <row r="39" customFormat="false" ht="15" hidden="false" customHeight="false" outlineLevel="0" collapsed="false">
      <c r="B39" s="34"/>
      <c r="C39" s="8" t="s">
        <v>55</v>
      </c>
      <c r="D39" s="8"/>
      <c r="E39" s="8"/>
      <c r="F39" s="8"/>
      <c r="G39" s="8"/>
      <c r="H39" s="8"/>
      <c r="I39" s="8"/>
      <c r="J39" s="37" t="n">
        <f aca="false">IF(K39&lt;&gt;"",K39,IF(Q44="","",Q44))</f>
        <v>2</v>
      </c>
      <c r="K39" s="38" t="n">
        <v>2</v>
      </c>
      <c r="L39" s="8"/>
      <c r="M39" s="10"/>
      <c r="P39" s="14" t="s">
        <v>45</v>
      </c>
      <c r="Q39" s="22"/>
    </row>
    <row r="40" customFormat="false" ht="15" hidden="false" customHeight="false" outlineLevel="0" collapsed="false">
      <c r="B40" s="34"/>
      <c r="C40" s="8" t="s">
        <v>56</v>
      </c>
      <c r="D40" s="8"/>
      <c r="E40" s="8"/>
      <c r="F40" s="8"/>
      <c r="G40" s="8"/>
      <c r="H40" s="8"/>
      <c r="I40" s="8"/>
      <c r="J40" s="37" t="n">
        <f aca="false">IF(K40&lt;&gt;"",K40,IF(Q45="","",Q45))</f>
        <v>3</v>
      </c>
      <c r="K40" s="38" t="n">
        <v>3</v>
      </c>
      <c r="L40" s="8"/>
      <c r="M40" s="10"/>
      <c r="P40" s="14" t="s">
        <v>47</v>
      </c>
      <c r="Q40" s="22"/>
      <c r="S40" s="25" t="str">
        <f aca="false">IF(J27="","",J27)</f>
        <v/>
      </c>
    </row>
    <row r="41" customFormat="false" ht="15" hidden="false" customHeight="false" outlineLevel="0" collapsed="false">
      <c r="B41" s="34"/>
      <c r="C41" s="8" t="s">
        <v>57</v>
      </c>
      <c r="D41" s="8"/>
      <c r="E41" s="8"/>
      <c r="F41" s="8"/>
      <c r="G41" s="8"/>
      <c r="H41" s="8"/>
      <c r="I41" s="8"/>
      <c r="J41" s="37" t="str">
        <f aca="false">IF(K41&lt;&gt;"",K41,IF(Q46="","",Q46))</f>
        <v>AP</v>
      </c>
      <c r="K41" s="38" t="s">
        <v>58</v>
      </c>
      <c r="L41" s="8"/>
      <c r="M41" s="10"/>
      <c r="P41" s="14" t="s">
        <v>59</v>
      </c>
      <c r="Q41" s="22"/>
      <c r="S41" s="25" t="str">
        <f aca="false">IF(C35="","",C35)</f>
        <v/>
      </c>
    </row>
    <row r="42" customFormat="false" ht="15" hidden="false" customHeight="false" outlineLevel="0" collapsed="false">
      <c r="B42" s="34"/>
      <c r="C42" s="8" t="s">
        <v>60</v>
      </c>
      <c r="D42" s="8"/>
      <c r="E42" s="8"/>
      <c r="F42" s="8"/>
      <c r="G42" s="8"/>
      <c r="H42" s="8"/>
      <c r="I42" s="8"/>
      <c r="J42" s="37" t="str">
        <f aca="false">IF(K42&lt;&gt;"",K42,IF(Q47="","",Q47))</f>
        <v>Front</v>
      </c>
      <c r="K42" s="38" t="s">
        <v>61</v>
      </c>
      <c r="L42" s="8"/>
      <c r="M42" s="10"/>
      <c r="P42" s="14" t="s">
        <v>50</v>
      </c>
      <c r="Q42" s="22"/>
      <c r="S42" s="25" t="str">
        <f aca="false">IF(K35="","",K35)</f>
        <v/>
      </c>
    </row>
    <row r="43" customFormat="false" ht="15" hidden="false" customHeight="false" outlineLevel="0" collapsed="false">
      <c r="B43" s="34"/>
      <c r="C43" s="8" t="s">
        <v>62</v>
      </c>
      <c r="D43" s="8"/>
      <c r="E43" s="8"/>
      <c r="F43" s="8"/>
      <c r="G43" s="8"/>
      <c r="H43" s="8"/>
      <c r="I43" s="8"/>
      <c r="J43" s="37" t="str">
        <f aca="false">IF(K43&lt;&gt;"",K43,IF(Q48="","",Q48))</f>
        <v>Frontal</v>
      </c>
      <c r="K43" s="38" t="s">
        <v>63</v>
      </c>
      <c r="L43" s="8"/>
      <c r="M43" s="10"/>
      <c r="P43" s="19" t="s">
        <v>64</v>
      </c>
      <c r="Q43" s="22"/>
      <c r="S43" s="25" t="n">
        <f aca="false">IF(K38="","",K38)</f>
        <v>1</v>
      </c>
    </row>
    <row r="44" customFormat="false" ht="15" hidden="false" customHeight="false" outlineLevel="0" collapsed="false">
      <c r="B44" s="34"/>
      <c r="C44" s="8" t="s">
        <v>65</v>
      </c>
      <c r="D44" s="8"/>
      <c r="E44" s="8"/>
      <c r="F44" s="8"/>
      <c r="G44" s="8"/>
      <c r="H44" s="8"/>
      <c r="I44" s="8"/>
      <c r="J44" s="37" t="str">
        <f aca="false">IF(K44&lt;&gt;"",K44,IF(Q49="","",Q49))</f>
        <v>Lat</v>
      </c>
      <c r="K44" s="38" t="s">
        <v>66</v>
      </c>
      <c r="L44" s="8"/>
      <c r="M44" s="10"/>
      <c r="Q44" s="22"/>
      <c r="S44" s="25" t="n">
        <f aca="false">IF(K39="","",K39)</f>
        <v>2</v>
      </c>
    </row>
    <row r="45" customFormat="false" ht="15" hidden="false" customHeight="false" outlineLevel="0" collapsed="false">
      <c r="B45" s="7"/>
      <c r="C45" s="8"/>
      <c r="D45" s="8"/>
      <c r="E45" s="8"/>
      <c r="F45" s="8"/>
      <c r="G45" s="8"/>
      <c r="H45" s="8"/>
      <c r="I45" s="8"/>
      <c r="J45" s="39" t="str">
        <f aca="false">IF(K45&lt;&gt;"",K45,IF(Q50="","",Q50))</f>
        <v>Lateral</v>
      </c>
      <c r="K45" s="40" t="s">
        <v>67</v>
      </c>
      <c r="L45" s="8"/>
      <c r="M45" s="10"/>
      <c r="Q45" s="22"/>
      <c r="S45" s="25" t="n">
        <f aca="false">IF(K40="","",K40)</f>
        <v>3</v>
      </c>
    </row>
    <row r="46" customFormat="false" ht="15" hidden="false" customHeight="false" outlineLevel="0" collapsed="false">
      <c r="B46" s="33" t="s">
        <v>68</v>
      </c>
      <c r="C46" s="8"/>
      <c r="D46" s="8"/>
      <c r="E46" s="8"/>
      <c r="F46" s="8"/>
      <c r="G46" s="8"/>
      <c r="H46" s="8"/>
      <c r="I46" s="8"/>
      <c r="J46" s="8"/>
      <c r="K46" s="8"/>
      <c r="L46" s="8"/>
      <c r="M46" s="10"/>
      <c r="Q46" s="22"/>
      <c r="S46" s="25" t="str">
        <f aca="false">IF(K41="","",K41)</f>
        <v>AP</v>
      </c>
    </row>
    <row r="47" customFormat="false" ht="15" hidden="false" customHeight="false" outlineLevel="0" collapsed="false">
      <c r="B47" s="34"/>
      <c r="C47" s="8" t="s">
        <v>69</v>
      </c>
      <c r="D47" s="8"/>
      <c r="E47" s="8"/>
      <c r="F47" s="8"/>
      <c r="G47" s="8"/>
      <c r="H47" s="8"/>
      <c r="I47" s="8"/>
      <c r="J47" s="8"/>
      <c r="K47" s="8"/>
      <c r="L47" s="8"/>
      <c r="M47" s="10"/>
      <c r="Q47" s="22"/>
      <c r="S47" s="25" t="str">
        <f aca="false">IF(K42="","",K42)</f>
        <v>Front</v>
      </c>
    </row>
    <row r="48" customFormat="false" ht="15" hidden="false" customHeight="false" outlineLevel="0" collapsed="false">
      <c r="B48" s="34"/>
      <c r="C48" s="8" t="s">
        <v>70</v>
      </c>
      <c r="D48" s="8"/>
      <c r="E48" s="8"/>
      <c r="F48" s="8"/>
      <c r="G48" s="8"/>
      <c r="H48" s="8"/>
      <c r="I48" s="8"/>
      <c r="J48" s="8"/>
      <c r="K48" s="8"/>
      <c r="L48" s="8"/>
      <c r="M48" s="10"/>
      <c r="Q48" s="22"/>
      <c r="S48" s="25" t="str">
        <f aca="false">IF(K43="","",K43)</f>
        <v>Frontal</v>
      </c>
    </row>
    <row r="49" customFormat="false" ht="15" hidden="false" customHeight="false" outlineLevel="0" collapsed="false">
      <c r="B49" s="34"/>
      <c r="C49" s="8" t="s">
        <v>71</v>
      </c>
      <c r="D49" s="8"/>
      <c r="E49" s="8"/>
      <c r="F49" s="8"/>
      <c r="G49" s="8"/>
      <c r="H49" s="8"/>
      <c r="I49" s="8"/>
      <c r="J49" s="8"/>
      <c r="K49" s="8"/>
      <c r="L49" s="8"/>
      <c r="M49" s="10"/>
      <c r="Q49" s="22"/>
      <c r="S49" s="25" t="str">
        <f aca="false">IF(K44="","",K44)</f>
        <v>Lat</v>
      </c>
    </row>
    <row r="50" customFormat="false" ht="15" hidden="false" customHeight="false" outlineLevel="0" collapsed="false">
      <c r="B50" s="34"/>
      <c r="C50" s="8" t="s">
        <v>72</v>
      </c>
      <c r="D50" s="8"/>
      <c r="E50" s="8"/>
      <c r="F50" s="8"/>
      <c r="G50" s="8"/>
      <c r="H50" s="8"/>
      <c r="I50" s="8"/>
      <c r="J50" s="8"/>
      <c r="K50" s="8"/>
      <c r="L50" s="8"/>
      <c r="M50" s="10"/>
      <c r="Q50" s="22"/>
      <c r="S50" s="25" t="str">
        <f aca="false">IF(K45="","",K45)</f>
        <v>Lateral</v>
      </c>
    </row>
    <row r="51" customFormat="false" ht="15" hidden="false" customHeight="false" outlineLevel="0" collapsed="false">
      <c r="B51" s="34"/>
      <c r="C51" s="8" t="s">
        <v>73</v>
      </c>
      <c r="D51" s="8"/>
      <c r="E51" s="8"/>
      <c r="F51" s="8"/>
      <c r="G51" s="8"/>
      <c r="H51" s="8"/>
      <c r="I51" s="8"/>
      <c r="J51" s="8"/>
      <c r="K51" s="8"/>
      <c r="L51" s="8"/>
      <c r="M51" s="10"/>
      <c r="P51" s="19" t="s">
        <v>74</v>
      </c>
    </row>
    <row r="52" customFormat="false" ht="15" hidden="false" customHeight="false" outlineLevel="0" collapsed="false">
      <c r="B52" s="34"/>
      <c r="C52" s="8" t="s">
        <v>75</v>
      </c>
      <c r="D52" s="8"/>
      <c r="E52" s="8"/>
      <c r="F52" s="8"/>
      <c r="G52" s="8"/>
      <c r="H52" s="8"/>
      <c r="I52" s="8"/>
      <c r="J52" s="8"/>
      <c r="K52" s="8"/>
      <c r="L52" s="8"/>
      <c r="M52" s="10"/>
      <c r="P52" s="14" t="s">
        <v>76</v>
      </c>
      <c r="Q52" s="22"/>
      <c r="S52" s="25" t="str">
        <f aca="false">IF(B103="","",B103)</f>
        <v/>
      </c>
    </row>
    <row r="53" customFormat="false" ht="15" hidden="false" customHeight="false" outlineLevel="0" collapsed="false">
      <c r="B53" s="34"/>
      <c r="C53" s="8" t="s">
        <v>77</v>
      </c>
      <c r="D53" s="8"/>
      <c r="E53" s="8"/>
      <c r="F53" s="8"/>
      <c r="G53" s="8"/>
      <c r="H53" s="8"/>
      <c r="I53" s="8"/>
      <c r="J53" s="8"/>
      <c r="K53" s="8"/>
      <c r="L53" s="8"/>
      <c r="M53" s="10"/>
      <c r="P53" s="14" t="s">
        <v>78</v>
      </c>
      <c r="Q53" s="22"/>
      <c r="S53" s="25" t="str">
        <f aca="false">IF(B106="","",B106)</f>
        <v/>
      </c>
    </row>
    <row r="54" customFormat="false" ht="15" hidden="false" customHeight="false" outlineLevel="0" collapsed="false">
      <c r="B54" s="34"/>
      <c r="C54" s="8" t="s">
        <v>79</v>
      </c>
      <c r="D54" s="8"/>
      <c r="E54" s="8"/>
      <c r="F54" s="8"/>
      <c r="G54" s="8"/>
      <c r="H54" s="8"/>
      <c r="I54" s="8"/>
      <c r="J54" s="8"/>
      <c r="K54" s="8"/>
      <c r="L54" s="8"/>
      <c r="M54" s="10"/>
      <c r="P54" s="14" t="s">
        <v>80</v>
      </c>
      <c r="Q54" s="22"/>
      <c r="S54" s="25" t="str">
        <f aca="false">IF(B109="","",B109)</f>
        <v/>
      </c>
    </row>
    <row r="55" customFormat="false" ht="15" hidden="false" customHeight="false" outlineLevel="0" collapsed="false">
      <c r="B55" s="34"/>
      <c r="C55" s="8" t="s">
        <v>81</v>
      </c>
      <c r="D55" s="8"/>
      <c r="E55" s="8"/>
      <c r="F55" s="8"/>
      <c r="G55" s="8"/>
      <c r="H55" s="8"/>
      <c r="I55" s="8"/>
      <c r="J55" s="8"/>
      <c r="K55" s="8"/>
      <c r="L55" s="8"/>
      <c r="M55" s="10"/>
      <c r="P55" s="19" t="s">
        <v>82</v>
      </c>
    </row>
    <row r="56" customFormat="false" ht="15" hidden="false" customHeight="false" outlineLevel="0" collapsed="false">
      <c r="B56" s="34"/>
      <c r="C56" s="8" t="s">
        <v>83</v>
      </c>
      <c r="D56" s="8"/>
      <c r="E56" s="8"/>
      <c r="F56" s="8"/>
      <c r="G56" s="8"/>
      <c r="H56" s="8"/>
      <c r="I56" s="8"/>
      <c r="J56" s="8"/>
      <c r="K56" s="8"/>
      <c r="L56" s="8"/>
      <c r="M56" s="10"/>
      <c r="P56" s="14" t="s">
        <v>84</v>
      </c>
      <c r="Q56" s="22"/>
      <c r="S56" s="25" t="str">
        <f aca="false">IF(C91="","",C91)</f>
        <v/>
      </c>
    </row>
    <row r="57" customFormat="false" ht="15" hidden="false" customHeight="false" outlineLevel="0" collapsed="false">
      <c r="B57" s="34"/>
      <c r="C57" s="8" t="s">
        <v>85</v>
      </c>
      <c r="D57" s="8"/>
      <c r="E57" s="8"/>
      <c r="F57" s="8"/>
      <c r="G57" s="8"/>
      <c r="H57" s="8"/>
      <c r="I57" s="8"/>
      <c r="J57" s="8"/>
      <c r="K57" s="8"/>
      <c r="L57" s="8"/>
      <c r="M57" s="10"/>
      <c r="P57" s="14" t="s">
        <v>86</v>
      </c>
      <c r="Q57" s="22"/>
      <c r="S57" s="25"/>
    </row>
    <row r="58" customFormat="false" ht="15" hidden="false" customHeight="false" outlineLevel="0" collapsed="false">
      <c r="B58" s="34"/>
      <c r="C58" s="8" t="s">
        <v>87</v>
      </c>
      <c r="D58" s="8"/>
      <c r="E58" s="8"/>
      <c r="F58" s="8"/>
      <c r="G58" s="8"/>
      <c r="H58" s="8"/>
      <c r="I58" s="8"/>
      <c r="J58" s="8"/>
      <c r="K58" s="8"/>
      <c r="L58" s="8"/>
      <c r="M58" s="10"/>
      <c r="P58" s="14" t="s">
        <v>88</v>
      </c>
      <c r="Q58" s="22"/>
      <c r="S58" s="25"/>
    </row>
    <row r="59" customFormat="false" ht="15" hidden="false" customHeight="false" outlineLevel="0" collapsed="false">
      <c r="B59" s="34"/>
      <c r="C59" s="8" t="s">
        <v>89</v>
      </c>
      <c r="D59" s="8"/>
      <c r="E59" s="8"/>
      <c r="F59" s="8"/>
      <c r="G59" s="8"/>
      <c r="H59" s="8"/>
      <c r="I59" s="8"/>
      <c r="J59" s="8"/>
      <c r="K59" s="8"/>
      <c r="L59" s="8"/>
      <c r="M59" s="10"/>
      <c r="P59" s="14" t="s">
        <v>90</v>
      </c>
      <c r="Q59" s="22"/>
      <c r="S59" s="25"/>
    </row>
    <row r="60" customFormat="false" ht="15" hidden="false" customHeight="false" outlineLevel="0" collapsed="false">
      <c r="B60" s="34"/>
      <c r="C60" s="8" t="s">
        <v>91</v>
      </c>
      <c r="D60" s="8"/>
      <c r="E60" s="8"/>
      <c r="F60" s="8"/>
      <c r="G60" s="8"/>
      <c r="H60" s="8"/>
      <c r="I60" s="8"/>
      <c r="J60" s="8"/>
      <c r="K60" s="8"/>
      <c r="L60" s="8"/>
      <c r="M60" s="10"/>
      <c r="P60" s="14" t="s">
        <v>92</v>
      </c>
      <c r="Q60" s="22"/>
      <c r="S60" s="25"/>
    </row>
    <row r="61" customFormat="false" ht="15" hidden="false" customHeight="false" outlineLevel="0" collapsed="false">
      <c r="B61" s="34"/>
      <c r="C61" s="8" t="s">
        <v>93</v>
      </c>
      <c r="D61" s="8"/>
      <c r="E61" s="8"/>
      <c r="F61" s="8"/>
      <c r="G61" s="8"/>
      <c r="H61" s="8"/>
      <c r="I61" s="8"/>
      <c r="J61" s="8"/>
      <c r="K61" s="8"/>
      <c r="L61" s="8"/>
      <c r="M61" s="10"/>
      <c r="P61" s="14" t="s">
        <v>94</v>
      </c>
      <c r="Q61" s="22"/>
      <c r="S61" s="25" t="str">
        <f aca="false">IF(J91="","",J91)</f>
        <v/>
      </c>
    </row>
    <row r="62" customFormat="false" ht="15" hidden="false" customHeight="false" outlineLevel="0" collapsed="false">
      <c r="B62" s="7"/>
      <c r="C62" s="8"/>
      <c r="D62" s="8"/>
      <c r="E62" s="8"/>
      <c r="F62" s="8"/>
      <c r="G62" s="8"/>
      <c r="H62" s="8"/>
      <c r="I62" s="8"/>
      <c r="J62" s="8"/>
      <c r="K62" s="8"/>
      <c r="L62" s="8"/>
      <c r="M62" s="10"/>
      <c r="P62" s="14" t="s">
        <v>95</v>
      </c>
      <c r="Q62" s="22"/>
      <c r="S62" s="25" t="str">
        <f aca="false">IF(J92="","",J92)</f>
        <v/>
      </c>
    </row>
    <row r="63" customFormat="false" ht="15" hidden="false" customHeight="false" outlineLevel="0" collapsed="false">
      <c r="B63" s="33" t="s">
        <v>96</v>
      </c>
      <c r="C63" s="8"/>
      <c r="D63" s="8"/>
      <c r="E63" s="8"/>
      <c r="F63" s="8"/>
      <c r="G63" s="8"/>
      <c r="H63" s="8"/>
      <c r="I63" s="8"/>
      <c r="J63" s="8"/>
      <c r="K63" s="8"/>
      <c r="L63" s="8"/>
      <c r="M63" s="10"/>
      <c r="P63" s="14" t="s">
        <v>97</v>
      </c>
      <c r="Q63" s="22"/>
      <c r="S63" s="25" t="str">
        <f aca="false">IF(J93="","",J93)</f>
        <v/>
      </c>
    </row>
    <row r="64" customFormat="false" ht="15" hidden="false" customHeight="false" outlineLevel="0" collapsed="false">
      <c r="B64" s="34"/>
      <c r="C64" s="8" t="s">
        <v>98</v>
      </c>
      <c r="D64" s="8"/>
      <c r="E64" s="8"/>
      <c r="F64" s="8"/>
      <c r="G64" s="8"/>
      <c r="H64" s="8"/>
      <c r="I64" s="8"/>
      <c r="J64" s="8"/>
      <c r="K64" s="8"/>
      <c r="L64" s="8"/>
      <c r="M64" s="10"/>
      <c r="P64" s="14" t="s">
        <v>99</v>
      </c>
      <c r="Q64" s="22"/>
      <c r="S64" s="25" t="str">
        <f aca="false">IF(J94="","",J94)</f>
        <v/>
      </c>
    </row>
    <row r="65" customFormat="false" ht="15" hidden="false" customHeight="false" outlineLevel="0" collapsed="false">
      <c r="B65" s="34"/>
      <c r="C65" s="8" t="s">
        <v>100</v>
      </c>
      <c r="D65" s="8"/>
      <c r="E65" s="8"/>
      <c r="F65" s="8"/>
      <c r="G65" s="8"/>
      <c r="H65" s="8"/>
      <c r="I65" s="8"/>
      <c r="J65" s="8"/>
      <c r="K65" s="8"/>
      <c r="L65" s="8"/>
      <c r="M65" s="10"/>
      <c r="P65" s="14" t="s">
        <v>101</v>
      </c>
      <c r="Q65" s="22"/>
      <c r="S65" s="25" t="str">
        <f aca="false">IF(E98="","",E98)</f>
        <v/>
      </c>
    </row>
    <row r="66" customFormat="false" ht="15" hidden="false" customHeight="false" outlineLevel="0" collapsed="false">
      <c r="B66" s="34"/>
      <c r="C66" s="8" t="s">
        <v>102</v>
      </c>
      <c r="D66" s="8"/>
      <c r="E66" s="8"/>
      <c r="F66" s="8"/>
      <c r="G66" s="8"/>
      <c r="H66" s="8"/>
      <c r="I66" s="8"/>
      <c r="J66" s="8"/>
      <c r="K66" s="8"/>
      <c r="L66" s="8"/>
      <c r="M66" s="10"/>
      <c r="P66" s="14" t="s">
        <v>103</v>
      </c>
      <c r="Q66" s="22"/>
      <c r="S66" s="25" t="str">
        <f aca="false">IF(H98="","",H98)</f>
        <v/>
      </c>
    </row>
    <row r="67" customFormat="false" ht="15" hidden="false" customHeight="false" outlineLevel="0" collapsed="false">
      <c r="B67" s="34"/>
      <c r="C67" s="8" t="s">
        <v>104</v>
      </c>
      <c r="D67" s="8"/>
      <c r="E67" s="8"/>
      <c r="F67" s="8"/>
      <c r="G67" s="8"/>
      <c r="H67" s="8"/>
      <c r="I67" s="8"/>
      <c r="J67" s="8"/>
      <c r="K67" s="8"/>
      <c r="L67" s="8"/>
      <c r="M67" s="10"/>
      <c r="P67" s="14" t="s">
        <v>105</v>
      </c>
      <c r="Q67" s="22"/>
      <c r="S67" s="25" t="str">
        <f aca="false">IF(K98="","",K98)</f>
        <v/>
      </c>
    </row>
    <row r="68" customFormat="false" ht="15" hidden="false" customHeight="false" outlineLevel="0" collapsed="false">
      <c r="B68" s="34"/>
      <c r="C68" s="8" t="s">
        <v>106</v>
      </c>
      <c r="D68" s="8"/>
      <c r="E68" s="8"/>
      <c r="F68" s="8"/>
      <c r="G68" s="8"/>
      <c r="H68" s="8"/>
      <c r="I68" s="8"/>
      <c r="J68" s="8"/>
      <c r="K68" s="8"/>
      <c r="L68" s="8"/>
      <c r="M68" s="10"/>
      <c r="P68" s="19" t="s">
        <v>107</v>
      </c>
    </row>
    <row r="69" customFormat="false" ht="15" hidden="false" customHeight="false" outlineLevel="0" collapsed="false">
      <c r="B69" s="34"/>
      <c r="C69" s="8" t="s">
        <v>108</v>
      </c>
      <c r="D69" s="8"/>
      <c r="E69" s="8"/>
      <c r="F69" s="8"/>
      <c r="G69" s="8"/>
      <c r="H69" s="8"/>
      <c r="I69" s="8"/>
      <c r="J69" s="8"/>
      <c r="K69" s="8"/>
      <c r="L69" s="8"/>
      <c r="M69" s="10"/>
      <c r="P69" s="14" t="s">
        <v>109</v>
      </c>
      <c r="Q69" s="22"/>
      <c r="S69" s="25" t="n">
        <f aca="false">IF(D110="","",D110)</f>
        <v>0</v>
      </c>
    </row>
    <row r="70" customFormat="false" ht="15" hidden="false" customHeight="false" outlineLevel="0" collapsed="false">
      <c r="B70" s="34"/>
      <c r="C70" s="8" t="s">
        <v>110</v>
      </c>
      <c r="D70" s="8"/>
      <c r="E70" s="8"/>
      <c r="F70" s="8"/>
      <c r="G70" s="8"/>
      <c r="H70" s="8"/>
      <c r="I70" s="8"/>
      <c r="J70" s="8"/>
      <c r="K70" s="8"/>
      <c r="L70" s="8"/>
      <c r="M70" s="10"/>
      <c r="P70" s="14" t="s">
        <v>111</v>
      </c>
      <c r="Q70" s="22"/>
      <c r="S70" s="25" t="n">
        <f aca="false">IF(E110="","",E110)</f>
        <v>0</v>
      </c>
    </row>
    <row r="71" customFormat="false" ht="15" hidden="false" customHeight="false" outlineLevel="0" collapsed="false">
      <c r="B71" s="34"/>
      <c r="C71" s="8" t="s">
        <v>112</v>
      </c>
      <c r="D71" s="8"/>
      <c r="E71" s="8"/>
      <c r="F71" s="8"/>
      <c r="G71" s="8"/>
      <c r="H71" s="8"/>
      <c r="I71" s="8"/>
      <c r="J71" s="8"/>
      <c r="K71" s="8"/>
      <c r="L71" s="8"/>
      <c r="M71" s="10"/>
      <c r="P71" s="14" t="s">
        <v>113</v>
      </c>
      <c r="Q71" s="22"/>
      <c r="S71" s="25" t="n">
        <f aca="false">IF(F110="","",F110)</f>
        <v>0</v>
      </c>
    </row>
    <row r="72" customFormat="false" ht="15" hidden="false" customHeight="false" outlineLevel="0" collapsed="false">
      <c r="B72" s="7"/>
      <c r="C72" s="8"/>
      <c r="D72" s="8"/>
      <c r="E72" s="8"/>
      <c r="F72" s="8"/>
      <c r="G72" s="8"/>
      <c r="H72" s="8"/>
      <c r="I72" s="8"/>
      <c r="J72" s="8"/>
      <c r="K72" s="8"/>
      <c r="L72" s="8"/>
      <c r="M72" s="10"/>
      <c r="P72" s="14" t="s">
        <v>109</v>
      </c>
      <c r="Q72" s="22"/>
      <c r="S72" s="25" t="n">
        <f aca="false">IF(G110="","",G110)</f>
        <v>0</v>
      </c>
    </row>
    <row r="73" customFormat="false" ht="15" hidden="false" customHeight="false" outlineLevel="0" collapsed="false">
      <c r="B73" s="33" t="s">
        <v>114</v>
      </c>
      <c r="C73" s="8"/>
      <c r="D73" s="8"/>
      <c r="E73" s="8"/>
      <c r="F73" s="8"/>
      <c r="G73" s="8"/>
      <c r="H73" s="8"/>
      <c r="I73" s="8"/>
      <c r="J73" s="8"/>
      <c r="K73" s="8"/>
      <c r="L73" s="8"/>
      <c r="M73" s="10"/>
      <c r="P73" s="14" t="s">
        <v>111</v>
      </c>
      <c r="Q73" s="22"/>
      <c r="S73" s="25" t="n">
        <f aca="false">IF(H110="","",H110)</f>
        <v>0</v>
      </c>
    </row>
    <row r="74" customFormat="false" ht="15" hidden="false" customHeight="false" outlineLevel="0" collapsed="false">
      <c r="B74" s="34"/>
      <c r="C74" s="8" t="s">
        <v>115</v>
      </c>
      <c r="D74" s="8"/>
      <c r="E74" s="8"/>
      <c r="F74" s="8"/>
      <c r="G74" s="8"/>
      <c r="H74" s="8"/>
      <c r="I74" s="8"/>
      <c r="J74" s="8"/>
      <c r="K74" s="8"/>
      <c r="L74" s="8"/>
      <c r="M74" s="10"/>
      <c r="P74" s="14" t="s">
        <v>113</v>
      </c>
      <c r="Q74" s="22"/>
      <c r="S74" s="25" t="n">
        <f aca="false">IF(I110="","",I110)</f>
        <v>0</v>
      </c>
    </row>
    <row r="75" customFormat="false" ht="15" hidden="false" customHeight="false" outlineLevel="0" collapsed="false">
      <c r="B75" s="34"/>
      <c r="C75" s="8" t="s">
        <v>116</v>
      </c>
      <c r="D75" s="8"/>
      <c r="E75" s="8"/>
      <c r="F75" s="8"/>
      <c r="G75" s="8"/>
      <c r="H75" s="8"/>
      <c r="I75" s="8"/>
      <c r="J75" s="8"/>
      <c r="K75" s="8"/>
      <c r="L75" s="8"/>
      <c r="M75" s="10"/>
      <c r="P75" s="14" t="s">
        <v>109</v>
      </c>
      <c r="Q75" s="22"/>
      <c r="S75" s="25" t="n">
        <f aca="false">IF(J110="","",J110)</f>
        <v>0</v>
      </c>
    </row>
    <row r="76" customFormat="false" ht="15" hidden="false" customHeight="false" outlineLevel="0" collapsed="false">
      <c r="B76" s="34"/>
      <c r="C76" s="8" t="s">
        <v>117</v>
      </c>
      <c r="D76" s="8"/>
      <c r="E76" s="8"/>
      <c r="F76" s="8"/>
      <c r="G76" s="8"/>
      <c r="H76" s="8"/>
      <c r="I76" s="8"/>
      <c r="J76" s="8"/>
      <c r="K76" s="8"/>
      <c r="L76" s="8"/>
      <c r="M76" s="10"/>
      <c r="P76" s="14" t="s">
        <v>111</v>
      </c>
      <c r="Q76" s="22"/>
      <c r="S76" s="25" t="n">
        <f aca="false">IF(J110="","",K110)</f>
        <v>0</v>
      </c>
    </row>
    <row r="77" customFormat="false" ht="15" hidden="false" customHeight="false" outlineLevel="0" collapsed="false">
      <c r="B77" s="34"/>
      <c r="C77" s="8" t="s">
        <v>118</v>
      </c>
      <c r="D77" s="8"/>
      <c r="E77" s="8"/>
      <c r="F77" s="8"/>
      <c r="G77" s="8"/>
      <c r="H77" s="8"/>
      <c r="I77" s="8"/>
      <c r="J77" s="8"/>
      <c r="K77" s="8"/>
      <c r="L77" s="8"/>
      <c r="M77" s="10"/>
      <c r="P77" s="14" t="s">
        <v>113</v>
      </c>
      <c r="Q77" s="22"/>
      <c r="S77" s="25" t="n">
        <f aca="false">IF(L110="","",L110)</f>
        <v>0</v>
      </c>
    </row>
    <row r="78" customFormat="false" ht="15" hidden="false" customHeight="false" outlineLevel="0" collapsed="false">
      <c r="B78" s="34"/>
      <c r="C78" s="8" t="s">
        <v>119</v>
      </c>
      <c r="D78" s="8"/>
      <c r="E78" s="8"/>
      <c r="F78" s="8"/>
      <c r="G78" s="8"/>
      <c r="H78" s="8"/>
      <c r="I78" s="8"/>
      <c r="J78" s="8"/>
      <c r="K78" s="8"/>
      <c r="L78" s="8"/>
      <c r="M78" s="10"/>
      <c r="P78" s="19" t="s">
        <v>120</v>
      </c>
    </row>
    <row r="79" customFormat="false" ht="15" hidden="false" customHeight="false" outlineLevel="0" collapsed="false">
      <c r="B79" s="34"/>
      <c r="C79" s="8" t="str">
        <f aca="false">IF(OR(B35="",B35=1),"Unit installed as shown on shielding plan","")</f>
        <v>Unit installed as shown on shielding plan</v>
      </c>
      <c r="D79" s="8"/>
      <c r="E79" s="8"/>
      <c r="F79" s="8"/>
      <c r="G79" s="8"/>
      <c r="H79" s="8"/>
      <c r="I79" s="8"/>
      <c r="J79" s="8"/>
      <c r="K79" s="8"/>
      <c r="L79" s="8"/>
      <c r="M79" s="10"/>
      <c r="P79" s="14" t="s">
        <v>121</v>
      </c>
      <c r="Q79" s="22"/>
      <c r="S79" s="25" t="n">
        <f aca="false">IF(HVL_KV="","",HVL_KV)</f>
        <v>80</v>
      </c>
    </row>
    <row r="80" customFormat="false" ht="15" hidden="false" customHeight="false" outlineLevel="0" collapsed="false">
      <c r="B80" s="7"/>
      <c r="C80" s="8"/>
      <c r="D80" s="8"/>
      <c r="E80" s="8"/>
      <c r="F80" s="8"/>
      <c r="G80" s="8"/>
      <c r="H80" s="8"/>
      <c r="I80" s="8"/>
      <c r="J80" s="8"/>
      <c r="K80" s="8"/>
      <c r="L80" s="8"/>
      <c r="M80" s="10"/>
      <c r="P80" s="14" t="s">
        <v>122</v>
      </c>
      <c r="Q80" s="22"/>
      <c r="S80" s="25" t="str">
        <f aca="false">IF(HVL="","",HVL)</f>
        <v>TBD</v>
      </c>
    </row>
    <row r="81" customFormat="false" ht="15" hidden="false" customHeight="false" outlineLevel="0" collapsed="false">
      <c r="B81" s="33" t="s">
        <v>123</v>
      </c>
      <c r="C81" s="8"/>
      <c r="D81" s="8"/>
      <c r="E81" s="8"/>
      <c r="F81" s="8"/>
      <c r="G81" s="8"/>
      <c r="H81" s="8"/>
      <c r="I81" s="8"/>
      <c r="J81" s="8"/>
      <c r="K81" s="8"/>
      <c r="L81" s="8"/>
      <c r="M81" s="10"/>
      <c r="P81" s="19" t="s">
        <v>124</v>
      </c>
    </row>
    <row r="82" customFormat="false" ht="15" hidden="false" customHeight="false" outlineLevel="0" collapsed="false">
      <c r="B82" s="34"/>
      <c r="C82" s="8" t="s">
        <v>125</v>
      </c>
      <c r="D82" s="8"/>
      <c r="E82" s="8"/>
      <c r="F82" s="8"/>
      <c r="G82" s="8"/>
      <c r="H82" s="8"/>
      <c r="I82" s="8"/>
      <c r="J82" s="8"/>
      <c r="K82" s="8"/>
      <c r="L82" s="8"/>
      <c r="M82" s="10"/>
      <c r="P82" s="14" t="s">
        <v>126</v>
      </c>
      <c r="Q82" s="22"/>
      <c r="S82" s="25" t="n">
        <f aca="false">IF(G171="","",G171)</f>
        <v>0</v>
      </c>
    </row>
    <row r="83" customFormat="false" ht="15" hidden="false" customHeight="false" outlineLevel="0" collapsed="false">
      <c r="B83" s="34"/>
      <c r="C83" s="8" t="s">
        <v>127</v>
      </c>
      <c r="D83" s="8"/>
      <c r="E83" s="8"/>
      <c r="F83" s="8"/>
      <c r="G83" s="8"/>
      <c r="H83" s="8"/>
      <c r="I83" s="8"/>
      <c r="J83" s="8"/>
      <c r="K83" s="8"/>
      <c r="L83" s="8"/>
      <c r="M83" s="10"/>
      <c r="P83" s="14" t="s">
        <v>128</v>
      </c>
      <c r="Q83" s="22"/>
      <c r="S83" s="25" t="str">
        <f aca="false">IF(H174="","",H174)</f>
        <v/>
      </c>
    </row>
    <row r="84" customFormat="false" ht="15" hidden="false" customHeight="false" outlineLevel="0" collapsed="false">
      <c r="B84" s="34"/>
      <c r="C84" s="8" t="s">
        <v>129</v>
      </c>
      <c r="D84" s="8"/>
      <c r="E84" s="8"/>
      <c r="F84" s="8"/>
      <c r="G84" s="8"/>
      <c r="H84" s="8"/>
      <c r="I84" s="8"/>
      <c r="J84" s="8"/>
      <c r="K84" s="8"/>
      <c r="L84" s="8"/>
      <c r="M84" s="10"/>
      <c r="P84" s="14" t="s">
        <v>130</v>
      </c>
      <c r="Q84" s="22"/>
      <c r="S84" s="25" t="str">
        <f aca="false">IF(H175="","",H175)</f>
        <v/>
      </c>
    </row>
    <row r="85" customFormat="false" ht="15" hidden="false" customHeight="false" outlineLevel="0" collapsed="false">
      <c r="B85" s="34"/>
      <c r="C85" s="8" t="s">
        <v>131</v>
      </c>
      <c r="D85" s="8"/>
      <c r="E85" s="8"/>
      <c r="F85" s="8"/>
      <c r="G85" s="8"/>
      <c r="H85" s="8"/>
      <c r="I85" s="8"/>
      <c r="J85" s="8"/>
      <c r="K85" s="8"/>
      <c r="L85" s="8"/>
      <c r="M85" s="10"/>
      <c r="P85" s="14" t="s">
        <v>132</v>
      </c>
      <c r="Q85" s="22"/>
      <c r="S85" s="25" t="str">
        <f aca="false">IF(I174="","",I174)</f>
        <v/>
      </c>
    </row>
    <row r="86" customFormat="false" ht="15" hidden="false" customHeight="false" outlineLevel="0" collapsed="false">
      <c r="B86" s="34"/>
      <c r="C86" s="8" t="s">
        <v>133</v>
      </c>
      <c r="D86" s="8"/>
      <c r="E86" s="8"/>
      <c r="F86" s="8"/>
      <c r="G86" s="8"/>
      <c r="H86" s="8"/>
      <c r="I86" s="8"/>
      <c r="J86" s="8"/>
      <c r="K86" s="8"/>
      <c r="L86" s="8"/>
      <c r="M86" s="10"/>
      <c r="P86" s="14" t="s">
        <v>134</v>
      </c>
      <c r="Q86" s="22"/>
      <c r="S86" s="25" t="str">
        <f aca="false">IF(I175="","",I175)</f>
        <v/>
      </c>
    </row>
    <row r="87" customFormat="false" ht="15" hidden="false" customHeight="false" outlineLevel="0" collapsed="false">
      <c r="B87" s="34"/>
      <c r="C87" s="8" t="s">
        <v>135</v>
      </c>
      <c r="D87" s="8"/>
      <c r="E87" s="8"/>
      <c r="F87" s="8"/>
      <c r="G87" s="8"/>
      <c r="H87" s="8"/>
      <c r="I87" s="8"/>
      <c r="J87" s="8"/>
      <c r="K87" s="8"/>
      <c r="L87" s="8"/>
      <c r="M87" s="10"/>
      <c r="P87" s="19" t="s">
        <v>136</v>
      </c>
    </row>
    <row r="88" customFormat="false" ht="15" hidden="false" customHeight="false" outlineLevel="0" collapsed="false">
      <c r="B88" s="15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8"/>
      <c r="P88" s="14" t="str">
        <f aca="false">$D$99&amp;" Normal:"</f>
        <v> Normal:</v>
      </c>
      <c r="Q88" s="22"/>
      <c r="S88" s="25" t="str">
        <f aca="false">IF(G186="","",G186)</f>
        <v/>
      </c>
    </row>
    <row r="89" customFormat="false" ht="15" hidden="false" customHeight="false" outlineLevel="0" collapsed="false">
      <c r="B89" s="4"/>
      <c r="C89" s="5"/>
      <c r="D89" s="5"/>
      <c r="E89" s="5"/>
      <c r="F89" s="5"/>
      <c r="G89" s="5"/>
      <c r="H89" s="5"/>
      <c r="I89" s="5"/>
      <c r="J89" s="5"/>
      <c r="K89" s="5"/>
      <c r="L89" s="5"/>
      <c r="M89" s="6"/>
      <c r="P89" s="14" t="str">
        <f aca="false">$D$99&amp;" Mag 1:"</f>
        <v> Mag 1:</v>
      </c>
      <c r="Q89" s="22"/>
      <c r="S89" s="25" t="str">
        <f aca="false">IF(G187="","",G187)</f>
        <v/>
      </c>
    </row>
    <row r="90" customFormat="false" ht="15" hidden="false" customHeight="false" outlineLevel="0" collapsed="false">
      <c r="B90" s="33" t="s">
        <v>137</v>
      </c>
      <c r="C90" s="8"/>
      <c r="D90" s="8"/>
      <c r="E90" s="8"/>
      <c r="F90" s="8"/>
      <c r="G90" s="8"/>
      <c r="H90" s="8"/>
      <c r="I90" s="8"/>
      <c r="J90" s="8"/>
      <c r="K90" s="8"/>
      <c r="L90" s="8"/>
      <c r="M90" s="10"/>
      <c r="P90" s="14" t="str">
        <f aca="false">$D$99&amp;" Mag 2:"</f>
        <v> Mag 2:</v>
      </c>
      <c r="Q90" s="22"/>
      <c r="S90" s="25" t="str">
        <f aca="false">IF(G188="","",G188)</f>
        <v/>
      </c>
    </row>
    <row r="91" customFormat="false" ht="15" hidden="false" customHeight="false" outlineLevel="0" collapsed="false">
      <c r="B91" s="30" t="str">
        <f aca="false">IF(C91&lt;&gt;"",C91,IF(Q56="","",Q56))</f>
        <v/>
      </c>
      <c r="C91" s="31"/>
      <c r="D91" s="41" t="s">
        <v>138</v>
      </c>
      <c r="E91" s="8"/>
      <c r="F91" s="8"/>
      <c r="G91" s="8"/>
      <c r="H91" s="8"/>
      <c r="I91" s="32" t="str">
        <f aca="false">IF(J91&lt;&gt;"",J91,IF(Q61="","",Q61))</f>
        <v/>
      </c>
      <c r="J91" s="31"/>
      <c r="K91" s="41" t="s">
        <v>139</v>
      </c>
      <c r="L91" s="8"/>
      <c r="M91" s="10"/>
      <c r="P91" s="14" t="str">
        <f aca="false">$G$99&amp;" Normal:"</f>
        <v> Normal:</v>
      </c>
      <c r="Q91" s="22"/>
      <c r="S91" s="25" t="str">
        <f aca="false">IF(G189="","",G189)</f>
        <v/>
      </c>
    </row>
    <row r="92" customFormat="false" ht="15" hidden="false" customHeight="false" outlineLevel="0" collapsed="false">
      <c r="B92" s="30" t="str">
        <f aca="false">IF(C92&lt;&gt;"",C92,IF(Q57="","",Q57))</f>
        <v/>
      </c>
      <c r="C92" s="31"/>
      <c r="D92" s="41" t="s">
        <v>140</v>
      </c>
      <c r="E92" s="8"/>
      <c r="F92" s="8"/>
      <c r="G92" s="8"/>
      <c r="H92" s="8"/>
      <c r="I92" s="32" t="str">
        <f aca="false">IF(J92&lt;&gt;"",J92,IF(Q62="","",Q62))</f>
        <v/>
      </c>
      <c r="J92" s="31"/>
      <c r="K92" s="41" t="s">
        <v>141</v>
      </c>
      <c r="L92" s="8"/>
      <c r="M92" s="10"/>
      <c r="P92" s="14" t="str">
        <f aca="false">$G$99&amp;" Mag 1:"</f>
        <v> Mag 1:</v>
      </c>
      <c r="Q92" s="22"/>
      <c r="S92" s="25" t="str">
        <f aca="false">IF(G190="","",G190)</f>
        <v/>
      </c>
    </row>
    <row r="93" customFormat="false" ht="15" hidden="false" customHeight="false" outlineLevel="0" collapsed="false">
      <c r="B93" s="30" t="str">
        <f aca="false">IF(C93&lt;&gt;"",C93,IF(Q58="","",Q58))</f>
        <v/>
      </c>
      <c r="C93" s="31"/>
      <c r="D93" s="41" t="s">
        <v>142</v>
      </c>
      <c r="E93" s="8"/>
      <c r="F93" s="8"/>
      <c r="G93" s="8"/>
      <c r="H93" s="8"/>
      <c r="I93" s="32" t="str">
        <f aca="false">IF(J93&lt;&gt;"",J93,IF(Q63="","",Q63))</f>
        <v/>
      </c>
      <c r="J93" s="31"/>
      <c r="K93" s="41" t="s">
        <v>143</v>
      </c>
      <c r="L93" s="8"/>
      <c r="M93" s="10"/>
      <c r="P93" s="14" t="str">
        <f aca="false">$G$99&amp;" Mag 2:"</f>
        <v> Mag 2:</v>
      </c>
      <c r="Q93" s="22"/>
      <c r="S93" s="25" t="str">
        <f aca="false">IF(G191="","",G191)</f>
        <v/>
      </c>
    </row>
    <row r="94" customFormat="false" ht="15" hidden="false" customHeight="false" outlineLevel="0" collapsed="false">
      <c r="B94" s="30" t="str">
        <f aca="false">IF(C94&lt;&gt;"",C94,IF(Q59="","",Q59))</f>
        <v/>
      </c>
      <c r="C94" s="31"/>
      <c r="D94" s="41" t="s">
        <v>144</v>
      </c>
      <c r="E94" s="8"/>
      <c r="F94" s="8"/>
      <c r="G94" s="8"/>
      <c r="H94" s="8"/>
      <c r="I94" s="32" t="str">
        <f aca="false">IF(J94&lt;&gt;"",J94,IF(Q64="","",Q64))</f>
        <v/>
      </c>
      <c r="J94" s="31"/>
      <c r="K94" s="41" t="s">
        <v>145</v>
      </c>
      <c r="L94" s="8"/>
      <c r="M94" s="10"/>
      <c r="P94" s="14" t="str">
        <f aca="false">$J$99&amp;" Normal:"</f>
        <v> Normal:</v>
      </c>
      <c r="Q94" s="22"/>
      <c r="S94" s="25" t="str">
        <f aca="false">IF(G192="","",G192)</f>
        <v/>
      </c>
    </row>
    <row r="95" customFormat="false" ht="15" hidden="false" customHeight="false" outlineLevel="0" collapsed="false">
      <c r="B95" s="30" t="str">
        <f aca="false">IF(C95&lt;&gt;"",C95,IF(Q60="","",Q60))</f>
        <v>cm</v>
      </c>
      <c r="C95" s="31" t="s">
        <v>146</v>
      </c>
      <c r="D95" s="41" t="s">
        <v>147</v>
      </c>
      <c r="E95" s="8"/>
      <c r="F95" s="8"/>
      <c r="G95" s="8"/>
      <c r="H95" s="8"/>
      <c r="I95" s="8"/>
      <c r="J95" s="8"/>
      <c r="K95" s="8"/>
      <c r="L95" s="8"/>
      <c r="M95" s="10"/>
      <c r="P95" s="14" t="str">
        <f aca="false">$J$99&amp;" Mag 1:"</f>
        <v> Mag 1:</v>
      </c>
      <c r="Q95" s="22"/>
      <c r="S95" s="25" t="str">
        <f aca="false">IF(G193="","",G193)</f>
        <v/>
      </c>
    </row>
    <row r="96" customFormat="false" ht="15" hidden="false" customHeight="false" outlineLevel="0" collapsed="false">
      <c r="B96" s="42" t="str">
        <f aca="false">IF(AND(B93&gt;2,B94=1),"NOTE:  Record data for lowest and highest regular dose rate settings, and the ""High Level"" setting",IF(AND(B93&gt;2,B94=2),"NOTE:  Record data for lowest, medium, and highest regular dose rate settings.","Blank"))</f>
        <v>Blank</v>
      </c>
      <c r="C96" s="8"/>
      <c r="D96" s="8"/>
      <c r="E96" s="8"/>
      <c r="F96" s="8"/>
      <c r="G96" s="8"/>
      <c r="H96" s="8"/>
      <c r="I96" s="8"/>
      <c r="J96" s="8"/>
      <c r="K96" s="8"/>
      <c r="L96" s="8"/>
      <c r="M96" s="10"/>
      <c r="P96" s="14" t="str">
        <f aca="false">$J$99&amp;" Mag 2:"</f>
        <v> Mag 2:</v>
      </c>
      <c r="Q96" s="22"/>
      <c r="S96" s="25" t="str">
        <f aca="false">IF(G194="","",G194)</f>
        <v/>
      </c>
    </row>
    <row r="97" customFormat="false" ht="15" hidden="false" customHeight="false" outlineLevel="0" collapsed="false">
      <c r="B97" s="43" t="s">
        <v>148</v>
      </c>
      <c r="C97" s="8"/>
      <c r="D97" s="8"/>
      <c r="E97" s="8"/>
      <c r="F97" s="8"/>
      <c r="G97" s="8"/>
      <c r="H97" s="8"/>
      <c r="I97" s="8"/>
      <c r="J97" s="8"/>
      <c r="K97" s="8"/>
      <c r="L97" s="8"/>
      <c r="M97" s="10"/>
      <c r="P97" s="19" t="s">
        <v>149</v>
      </c>
    </row>
    <row r="98" customFormat="false" ht="15" hidden="false" customHeight="false" outlineLevel="0" collapsed="false">
      <c r="B98" s="44" t="s">
        <v>150</v>
      </c>
      <c r="C98" s="45" t="s">
        <v>151</v>
      </c>
      <c r="D98" s="46" t="str">
        <f aca="false">IF(E98&lt;&gt;"",E98,IF(Q65="","",Q65))</f>
        <v/>
      </c>
      <c r="E98" s="11"/>
      <c r="F98" s="47"/>
      <c r="G98" s="46" t="str">
        <f aca="false">IF(H98&lt;&gt;"",H98,IF(Q66="","",Q66))</f>
        <v/>
      </c>
      <c r="H98" s="11"/>
      <c r="I98" s="47"/>
      <c r="J98" s="12" t="str">
        <f aca="false">IF(K98&lt;&gt;"",K98,IF(Q67="","",Q67))</f>
        <v/>
      </c>
      <c r="K98" s="11"/>
      <c r="L98" s="47"/>
      <c r="M98" s="10"/>
      <c r="P98" s="14" t="s">
        <v>152</v>
      </c>
      <c r="Q98" s="22"/>
      <c r="S98" s="25" t="n">
        <f aca="false">IF(LEEDS_KV="","",LEEDS_KV)</f>
        <v>70</v>
      </c>
    </row>
    <row r="99" customFormat="false" ht="15" hidden="false" customHeight="false" outlineLevel="0" collapsed="false">
      <c r="B99" s="44" t="s">
        <v>153</v>
      </c>
      <c r="C99" s="45" t="s">
        <v>154</v>
      </c>
      <c r="D99" s="45" t="str">
        <f aca="false">IF(D98&lt;&gt;"",D98,IF(AUTO_MANUAL=1,"Manual 1",IF(AUTO_MA="","",AUTO_MA&amp;" 1")))</f>
        <v/>
      </c>
      <c r="E99" s="45"/>
      <c r="F99" s="45"/>
      <c r="G99" s="45" t="str">
        <f aca="false">IF(G98&lt;&gt;"",G98,IF(AUTO_MANUAL=1,"Manual 1",IF(AUTO_MA="","",AUTO_MA&amp;" 1")))</f>
        <v/>
      </c>
      <c r="H99" s="45"/>
      <c r="I99" s="45"/>
      <c r="J99" s="48" t="str">
        <f aca="false">IF(J98&lt;&gt;"",J98,IF(AUTO_MANUAL=1,"Manual 1",IF(AUTO_MA="","",AUTO_MA&amp;" 1")))</f>
        <v/>
      </c>
      <c r="K99" s="48"/>
      <c r="L99" s="48"/>
      <c r="M99" s="10"/>
      <c r="P99" s="14" t="s">
        <v>155</v>
      </c>
      <c r="Q99" s="22"/>
      <c r="S99" s="25"/>
    </row>
    <row r="100" customFormat="false" ht="15" hidden="false" customHeight="false" outlineLevel="0" collapsed="false">
      <c r="B100" s="44" t="s">
        <v>156</v>
      </c>
      <c r="C100" s="45" t="s">
        <v>156</v>
      </c>
      <c r="D100" s="49" t="s">
        <v>157</v>
      </c>
      <c r="E100" s="13" t="s">
        <v>158</v>
      </c>
      <c r="F100" s="48" t="s">
        <v>159</v>
      </c>
      <c r="G100" s="49" t="s">
        <v>157</v>
      </c>
      <c r="H100" s="13" t="s">
        <v>158</v>
      </c>
      <c r="I100" s="48" t="s">
        <v>159</v>
      </c>
      <c r="J100" s="13" t="s">
        <v>157</v>
      </c>
      <c r="K100" s="13" t="s">
        <v>158</v>
      </c>
      <c r="L100" s="48" t="s">
        <v>159</v>
      </c>
      <c r="M100" s="10"/>
      <c r="P100" s="14" t="s">
        <v>160</v>
      </c>
      <c r="Q100" s="22"/>
      <c r="S100" s="25"/>
    </row>
    <row r="101" customFormat="false" ht="15" hidden="false" customHeight="false" outlineLevel="0" collapsed="false">
      <c r="B101" s="50" t="s">
        <v>161</v>
      </c>
      <c r="C101" s="51" t="n">
        <v>10</v>
      </c>
      <c r="D101" s="52" t="n">
        <f aca="false">'Data Entry'!C5</f>
        <v>0</v>
      </c>
      <c r="E101" s="53" t="n">
        <f aca="false">'Data Entry'!D5</f>
        <v>0</v>
      </c>
      <c r="F101" s="54" t="n">
        <f aca="false">'Data Entry'!E5</f>
        <v>0</v>
      </c>
      <c r="G101" s="52" t="n">
        <f aca="false">'Data Entry'!F5</f>
        <v>0</v>
      </c>
      <c r="H101" s="53" t="n">
        <f aca="false">'Data Entry'!G5</f>
        <v>0</v>
      </c>
      <c r="I101" s="55" t="n">
        <f aca="false">'Data Entry'!H5</f>
        <v>0</v>
      </c>
      <c r="J101" s="56" t="n">
        <f aca="false">'Data Entry'!I5</f>
        <v>0</v>
      </c>
      <c r="K101" s="53" t="n">
        <f aca="false">'Data Entry'!J5</f>
        <v>0</v>
      </c>
      <c r="L101" s="55" t="n">
        <f aca="false">'Data Entry'!K5</f>
        <v>0</v>
      </c>
      <c r="M101" s="10"/>
      <c r="P101" s="14" t="s">
        <v>162</v>
      </c>
      <c r="Q101" s="22"/>
      <c r="S101" s="25"/>
    </row>
    <row r="102" customFormat="false" ht="15" hidden="false" customHeight="false" outlineLevel="0" collapsed="false">
      <c r="B102" s="57" t="str">
        <f aca="false">IF(B103&lt;&gt;"",B103,IF(Q52="","",Q52))</f>
        <v/>
      </c>
      <c r="C102" s="58" t="n">
        <v>20</v>
      </c>
      <c r="D102" s="59" t="n">
        <f aca="false">'Data Entry'!C6</f>
        <v>0</v>
      </c>
      <c r="E102" s="60" t="n">
        <f aca="false">'Data Entry'!D6</f>
        <v>0</v>
      </c>
      <c r="F102" s="61" t="n">
        <f aca="false">'Data Entry'!E6</f>
        <v>0</v>
      </c>
      <c r="G102" s="59" t="n">
        <f aca="false">'Data Entry'!F6</f>
        <v>0</v>
      </c>
      <c r="H102" s="60" t="n">
        <f aca="false">'Data Entry'!G6</f>
        <v>0</v>
      </c>
      <c r="I102" s="62" t="n">
        <f aca="false">'Data Entry'!H6</f>
        <v>0</v>
      </c>
      <c r="J102" s="63" t="n">
        <f aca="false">'Data Entry'!I6</f>
        <v>0</v>
      </c>
      <c r="K102" s="60" t="n">
        <f aca="false">'Data Entry'!J6</f>
        <v>0</v>
      </c>
      <c r="L102" s="62" t="n">
        <f aca="false">'Data Entry'!K6</f>
        <v>0</v>
      </c>
      <c r="M102" s="10"/>
      <c r="P102" s="14" t="s">
        <v>163</v>
      </c>
      <c r="Q102" s="22"/>
      <c r="S102" s="25"/>
    </row>
    <row r="103" customFormat="false" ht="15" hidden="false" customHeight="false" outlineLevel="0" collapsed="false">
      <c r="B103" s="64"/>
      <c r="C103" s="65" t="n">
        <v>30</v>
      </c>
      <c r="D103" s="66" t="n">
        <f aca="false">'Data Entry'!C7</f>
        <v>0</v>
      </c>
      <c r="E103" s="67" t="n">
        <f aca="false">'Data Entry'!D7</f>
        <v>0</v>
      </c>
      <c r="F103" s="68" t="n">
        <f aca="false">'Data Entry'!E7</f>
        <v>0</v>
      </c>
      <c r="G103" s="66" t="n">
        <f aca="false">'Data Entry'!F7</f>
        <v>0</v>
      </c>
      <c r="H103" s="67" t="n">
        <f aca="false">'Data Entry'!G7</f>
        <v>0</v>
      </c>
      <c r="I103" s="69" t="n">
        <f aca="false">'Data Entry'!H7</f>
        <v>0</v>
      </c>
      <c r="J103" s="70" t="n">
        <f aca="false">'Data Entry'!I7</f>
        <v>0</v>
      </c>
      <c r="K103" s="67" t="n">
        <f aca="false">'Data Entry'!J7</f>
        <v>0</v>
      </c>
      <c r="L103" s="69" t="n">
        <f aca="false">'Data Entry'!K7</f>
        <v>0</v>
      </c>
      <c r="M103" s="10"/>
      <c r="P103" s="14" t="s">
        <v>164</v>
      </c>
      <c r="Q103" s="22"/>
      <c r="S103" s="25"/>
    </row>
    <row r="104" customFormat="false" ht="15" hidden="false" customHeight="false" outlineLevel="0" collapsed="false">
      <c r="B104" s="50" t="s">
        <v>165</v>
      </c>
      <c r="C104" s="51" t="n">
        <v>10</v>
      </c>
      <c r="D104" s="52" t="n">
        <f aca="false">'Data Entry'!C8</f>
        <v>0</v>
      </c>
      <c r="E104" s="53" t="n">
        <f aca="false">'Data Entry'!D8</f>
        <v>0</v>
      </c>
      <c r="F104" s="54" t="n">
        <f aca="false">'Data Entry'!E8</f>
        <v>0</v>
      </c>
      <c r="G104" s="52" t="n">
        <f aca="false">'Data Entry'!F8</f>
        <v>0</v>
      </c>
      <c r="H104" s="53" t="n">
        <f aca="false">'Data Entry'!G8</f>
        <v>0</v>
      </c>
      <c r="I104" s="55" t="n">
        <f aca="false">'Data Entry'!H8</f>
        <v>0</v>
      </c>
      <c r="J104" s="56" t="n">
        <f aca="false">'Data Entry'!I8</f>
        <v>0</v>
      </c>
      <c r="K104" s="53" t="n">
        <f aca="false">'Data Entry'!J8</f>
        <v>0</v>
      </c>
      <c r="L104" s="55" t="n">
        <f aca="false">'Data Entry'!K8</f>
        <v>0</v>
      </c>
      <c r="M104" s="10"/>
      <c r="P104" s="14" t="s">
        <v>166</v>
      </c>
      <c r="Q104" s="22"/>
      <c r="S104" s="25"/>
    </row>
    <row r="105" customFormat="false" ht="15" hidden="false" customHeight="false" outlineLevel="0" collapsed="false">
      <c r="B105" s="57" t="str">
        <f aca="false">IF(B106&lt;&gt;"",B106,IF(Q53="","",Q53))</f>
        <v/>
      </c>
      <c r="C105" s="58" t="n">
        <v>20</v>
      </c>
      <c r="D105" s="59" t="n">
        <f aca="false">'Data Entry'!C9</f>
        <v>0</v>
      </c>
      <c r="E105" s="60" t="n">
        <f aca="false">'Data Entry'!D9</f>
        <v>0</v>
      </c>
      <c r="F105" s="61" t="n">
        <f aca="false">'Data Entry'!E9</f>
        <v>0</v>
      </c>
      <c r="G105" s="59" t="n">
        <f aca="false">'Data Entry'!F9</f>
        <v>0</v>
      </c>
      <c r="H105" s="60" t="n">
        <f aca="false">'Data Entry'!G9</f>
        <v>0</v>
      </c>
      <c r="I105" s="62" t="n">
        <f aca="false">'Data Entry'!H9</f>
        <v>0</v>
      </c>
      <c r="J105" s="63" t="n">
        <f aca="false">'Data Entry'!I9</f>
        <v>0</v>
      </c>
      <c r="K105" s="60" t="n">
        <f aca="false">'Data Entry'!J9</f>
        <v>0</v>
      </c>
      <c r="L105" s="62" t="n">
        <f aca="false">'Data Entry'!K9</f>
        <v>0</v>
      </c>
      <c r="M105" s="10"/>
      <c r="P105" s="14" t="s">
        <v>167</v>
      </c>
      <c r="Q105" s="22"/>
      <c r="S105" s="25" t="str">
        <f aca="false">IF(H239="","",H239)</f>
        <v/>
      </c>
    </row>
    <row r="106" customFormat="false" ht="15" hidden="false" customHeight="false" outlineLevel="0" collapsed="false">
      <c r="B106" s="64"/>
      <c r="C106" s="65" t="n">
        <v>30</v>
      </c>
      <c r="D106" s="71" t="n">
        <f aca="false">'Data Entry'!C10</f>
        <v>0</v>
      </c>
      <c r="E106" s="72" t="n">
        <f aca="false">'Data Entry'!D10</f>
        <v>0</v>
      </c>
      <c r="F106" s="73" t="n">
        <f aca="false">'Data Entry'!E10</f>
        <v>0</v>
      </c>
      <c r="G106" s="71" t="n">
        <f aca="false">'Data Entry'!F10</f>
        <v>0</v>
      </c>
      <c r="H106" s="72" t="n">
        <f aca="false">'Data Entry'!G10</f>
        <v>0</v>
      </c>
      <c r="I106" s="74" t="n">
        <f aca="false">'Data Entry'!H10</f>
        <v>0</v>
      </c>
      <c r="J106" s="75" t="n">
        <f aca="false">'Data Entry'!I10</f>
        <v>0</v>
      </c>
      <c r="K106" s="72" t="n">
        <f aca="false">'Data Entry'!J10</f>
        <v>0</v>
      </c>
      <c r="L106" s="74" t="n">
        <f aca="false">'Data Entry'!K10</f>
        <v>0</v>
      </c>
      <c r="M106" s="10"/>
      <c r="P106" s="14" t="s">
        <v>168</v>
      </c>
      <c r="Q106" s="22"/>
      <c r="S106" s="25" t="str">
        <f aca="false">IF(C257="","",C257)</f>
        <v/>
      </c>
    </row>
    <row r="107" customFormat="false" ht="15" hidden="false" customHeight="false" outlineLevel="0" collapsed="false">
      <c r="B107" s="44" t="s">
        <v>169</v>
      </c>
      <c r="C107" s="51" t="n">
        <v>10</v>
      </c>
      <c r="D107" s="76" t="n">
        <f aca="false">'Data Entry'!C11</f>
        <v>0</v>
      </c>
      <c r="E107" s="77" t="n">
        <f aca="false">'Data Entry'!D11</f>
        <v>0</v>
      </c>
      <c r="F107" s="78" t="n">
        <f aca="false">'Data Entry'!E11</f>
        <v>0</v>
      </c>
      <c r="G107" s="76" t="n">
        <f aca="false">'Data Entry'!F11</f>
        <v>0</v>
      </c>
      <c r="H107" s="77" t="n">
        <f aca="false">'Data Entry'!G11</f>
        <v>0</v>
      </c>
      <c r="I107" s="79" t="n">
        <f aca="false">'Data Entry'!H11</f>
        <v>0</v>
      </c>
      <c r="J107" s="80" t="n">
        <f aca="false">'Data Entry'!I11</f>
        <v>0</v>
      </c>
      <c r="K107" s="77" t="n">
        <f aca="false">'Data Entry'!J11</f>
        <v>0</v>
      </c>
      <c r="L107" s="79" t="n">
        <f aca="false">'Data Entry'!K11</f>
        <v>0</v>
      </c>
      <c r="M107" s="10"/>
      <c r="P107" s="14" t="s">
        <v>170</v>
      </c>
      <c r="Q107" s="22"/>
      <c r="S107" s="25" t="str">
        <f aca="false">IF(C259="","",C259)</f>
        <v/>
      </c>
    </row>
    <row r="108" customFormat="false" ht="15" hidden="false" customHeight="false" outlineLevel="0" collapsed="false">
      <c r="B108" s="57" t="str">
        <f aca="false">IF(B109&lt;&gt;"",B109,IF(Q54="","",Q54))</f>
        <v/>
      </c>
      <c r="C108" s="58" t="n">
        <v>20</v>
      </c>
      <c r="D108" s="59" t="n">
        <f aca="false">'Data Entry'!C12</f>
        <v>0</v>
      </c>
      <c r="E108" s="60" t="n">
        <f aca="false">'Data Entry'!D12</f>
        <v>0</v>
      </c>
      <c r="F108" s="61" t="n">
        <f aca="false">'Data Entry'!E12</f>
        <v>0</v>
      </c>
      <c r="G108" s="59" t="n">
        <f aca="false">'Data Entry'!F12</f>
        <v>0</v>
      </c>
      <c r="H108" s="60" t="n">
        <f aca="false">'Data Entry'!G12</f>
        <v>0</v>
      </c>
      <c r="I108" s="62" t="n">
        <f aca="false">'Data Entry'!H12</f>
        <v>0</v>
      </c>
      <c r="J108" s="63" t="n">
        <f aca="false">'Data Entry'!I12</f>
        <v>0</v>
      </c>
      <c r="K108" s="60" t="n">
        <f aca="false">'Data Entry'!J12</f>
        <v>0</v>
      </c>
      <c r="L108" s="62" t="n">
        <f aca="false">'Data Entry'!K12</f>
        <v>0</v>
      </c>
      <c r="M108" s="10"/>
      <c r="P108" s="14" t="s">
        <v>171</v>
      </c>
      <c r="Q108" s="22"/>
      <c r="S108" s="25" t="str">
        <f aca="false">IF(C260="","",C260)</f>
        <v/>
      </c>
    </row>
    <row r="109" customFormat="false" ht="15" hidden="false" customHeight="false" outlineLevel="0" collapsed="false">
      <c r="B109" s="64"/>
      <c r="C109" s="65" t="n">
        <v>30</v>
      </c>
      <c r="D109" s="71" t="n">
        <f aca="false">'Data Entry'!C13</f>
        <v>0</v>
      </c>
      <c r="E109" s="72" t="n">
        <f aca="false">'Data Entry'!D13</f>
        <v>0</v>
      </c>
      <c r="F109" s="73" t="n">
        <f aca="false">'Data Entry'!E13</f>
        <v>0</v>
      </c>
      <c r="G109" s="71" t="n">
        <f aca="false">'Data Entry'!F13</f>
        <v>0</v>
      </c>
      <c r="H109" s="72" t="n">
        <f aca="false">'Data Entry'!G13</f>
        <v>0</v>
      </c>
      <c r="I109" s="74" t="n">
        <f aca="false">'Data Entry'!H13</f>
        <v>0</v>
      </c>
      <c r="J109" s="75" t="n">
        <f aca="false">'Data Entry'!I13</f>
        <v>0</v>
      </c>
      <c r="K109" s="72" t="n">
        <f aca="false">'Data Entry'!J13</f>
        <v>0</v>
      </c>
      <c r="L109" s="74" t="n">
        <f aca="false">'Data Entry'!K13</f>
        <v>0</v>
      </c>
      <c r="M109" s="10"/>
      <c r="P109" s="14" t="s">
        <v>172</v>
      </c>
      <c r="Q109" s="22"/>
      <c r="S109" s="25" t="str">
        <f aca="false">IF(C261="","",C261)</f>
        <v/>
      </c>
    </row>
    <row r="110" customFormat="false" ht="15" hidden="false" customHeight="false" outlineLevel="0" collapsed="false">
      <c r="B110" s="7"/>
      <c r="C110" s="81" t="s">
        <v>173</v>
      </c>
      <c r="D110" s="71" t="n">
        <f aca="false">'Data Entry'!C14</f>
        <v>0</v>
      </c>
      <c r="E110" s="72" t="n">
        <f aca="false">'Data Entry'!D14</f>
        <v>0</v>
      </c>
      <c r="F110" s="73" t="n">
        <f aca="false">'Data Entry'!E14</f>
        <v>0</v>
      </c>
      <c r="G110" s="71" t="n">
        <f aca="false">'Data Entry'!F14</f>
        <v>0</v>
      </c>
      <c r="H110" s="72" t="n">
        <f aca="false">'Data Entry'!G14</f>
        <v>0</v>
      </c>
      <c r="I110" s="74" t="n">
        <f aca="false">'Data Entry'!H14</f>
        <v>0</v>
      </c>
      <c r="J110" s="75" t="n">
        <f aca="false">'Data Entry'!I14</f>
        <v>0</v>
      </c>
      <c r="K110" s="72" t="n">
        <f aca="false">'Data Entry'!J14</f>
        <v>0</v>
      </c>
      <c r="L110" s="74" t="n">
        <f aca="false">'Data Entry'!K14</f>
        <v>0</v>
      </c>
      <c r="M110" s="10"/>
      <c r="P110" s="14" t="s">
        <v>174</v>
      </c>
      <c r="Q110" s="22"/>
      <c r="S110" s="25" t="str">
        <f aca="false">IF(C262="","",C262)</f>
        <v/>
      </c>
    </row>
    <row r="111" customFormat="false" ht="15" hidden="false" customHeight="false" outlineLevel="0" collapsed="false">
      <c r="B111" s="7"/>
      <c r="C111" s="13" t="s">
        <v>175</v>
      </c>
      <c r="D111" s="82" t="str">
        <f aca="false">IF(Q69="","",Q69)</f>
        <v/>
      </c>
      <c r="E111" s="83" t="str">
        <f aca="false">IF(Q70="","",Q70)</f>
        <v/>
      </c>
      <c r="F111" s="84" t="str">
        <f aca="false">IF(Q71="","",#REF!)</f>
        <v/>
      </c>
      <c r="G111" s="82" t="str">
        <f aca="false">IF(Q72="","",Q72)</f>
        <v/>
      </c>
      <c r="H111" s="83" t="str">
        <f aca="false">IF(Q73="","",Q73)</f>
        <v/>
      </c>
      <c r="I111" s="85" t="str">
        <f aca="false">IF(Q74="","",Q74)</f>
        <v/>
      </c>
      <c r="J111" s="86" t="str">
        <f aca="false">IF(Q75="","",Q75)</f>
        <v/>
      </c>
      <c r="K111" s="83" t="str">
        <f aca="false">IF(Q76="","",Q76)</f>
        <v/>
      </c>
      <c r="L111" s="85" t="str">
        <f aca="false">IF(Q77="","",Q77)</f>
        <v/>
      </c>
      <c r="M111" s="10"/>
      <c r="P111" s="14" t="s">
        <v>176</v>
      </c>
      <c r="Q111" s="22"/>
      <c r="S111" s="25" t="str">
        <f aca="false">IF(C240="","",C240)</f>
        <v/>
      </c>
    </row>
    <row r="112" customFormat="false" ht="15" hidden="false" customHeight="false" outlineLevel="0" collapsed="false">
      <c r="B112" s="7"/>
      <c r="C112" s="41" t="s">
        <v>177</v>
      </c>
      <c r="D112" s="8"/>
      <c r="E112" s="87" t="s">
        <v>178</v>
      </c>
      <c r="F112" s="88" t="str">
        <f aca="false">IF(F110="","NA",IF(AUTO_MANUAL=1,IF(F110&gt;44,"NO","YES"),IF(F110&gt;88,"NO","YES")))</f>
        <v>YES</v>
      </c>
      <c r="G112" s="8"/>
      <c r="H112" s="87" t="s">
        <v>178</v>
      </c>
      <c r="I112" s="88" t="str">
        <f aca="false">IF(I110="","NA",IF(AUTO_MANUAL=1,IF(I110&gt;44,"NO","YES"),IF(I110&gt;88,"NO","YES")))</f>
        <v>YES</v>
      </c>
      <c r="J112" s="8"/>
      <c r="K112" s="87" t="s">
        <v>178</v>
      </c>
      <c r="L112" s="88" t="str">
        <f aca="false">IF(OR(AND($B$94=1,L110=""),AND(F110="",I110="",L110="")),"NA",IF(L110="","NA",IF(AUTO_MANUAL="",IF(B94=2,IF(L110&gt;88,"NO","YES"),IF(L110&gt;176,"NO","YES")),IF(L110&gt;44,"NO","YES"))))</f>
        <v>YES</v>
      </c>
      <c r="M112" s="10"/>
      <c r="P112" s="14" t="s">
        <v>179</v>
      </c>
      <c r="Q112" s="22"/>
      <c r="S112" s="25" t="str">
        <f aca="false">IF(C241="","",C241)</f>
        <v/>
      </c>
    </row>
    <row r="113" customFormat="false" ht="15" hidden="false" customHeight="false" outlineLevel="0" collapsed="false">
      <c r="B113" s="7"/>
      <c r="C113" s="41" t="s">
        <v>180</v>
      </c>
      <c r="D113" s="8"/>
      <c r="E113" s="8"/>
      <c r="F113" s="8"/>
      <c r="G113" s="8"/>
      <c r="H113" s="8"/>
      <c r="I113" s="8"/>
      <c r="J113" s="8"/>
      <c r="K113" s="8"/>
      <c r="L113" s="8"/>
      <c r="M113" s="10"/>
      <c r="P113" s="14" t="s">
        <v>181</v>
      </c>
      <c r="Q113" s="22"/>
      <c r="S113" s="25" t="str">
        <f aca="false">IF(C242="","",C242)</f>
        <v/>
      </c>
    </row>
    <row r="114" customFormat="false" ht="15" hidden="false" customHeight="false" outlineLevel="0" collapsed="false">
      <c r="B114" s="7"/>
      <c r="C114" s="41" t="s">
        <v>182</v>
      </c>
      <c r="D114" s="8"/>
      <c r="E114" s="8"/>
      <c r="F114" s="8"/>
      <c r="G114" s="8"/>
      <c r="H114" s="8"/>
      <c r="I114" s="8"/>
      <c r="J114" s="8"/>
      <c r="K114" s="8"/>
      <c r="L114" s="8"/>
      <c r="M114" s="10"/>
      <c r="P114" s="14" t="s">
        <v>183</v>
      </c>
      <c r="Q114" s="22"/>
      <c r="S114" s="25" t="str">
        <f aca="false">IF(C243="","",C243)</f>
        <v/>
      </c>
    </row>
    <row r="115" customFormat="false" ht="15" hidden="false" customHeight="false" outlineLevel="0" collapsed="false">
      <c r="B115" s="7"/>
      <c r="C115" s="41" t="s">
        <v>184</v>
      </c>
      <c r="D115" s="8"/>
      <c r="E115" s="8"/>
      <c r="F115" s="8"/>
      <c r="G115" s="8"/>
      <c r="H115" s="8"/>
      <c r="I115" s="8"/>
      <c r="J115" s="8"/>
      <c r="K115" s="8"/>
      <c r="L115" s="8"/>
      <c r="M115" s="10"/>
      <c r="P115" s="14" t="s">
        <v>185</v>
      </c>
      <c r="Q115" s="22"/>
      <c r="S115" s="25" t="str">
        <f aca="false">IF(C244="","",C244)</f>
        <v/>
      </c>
    </row>
    <row r="116" customFormat="false" ht="15" hidden="false" customHeight="false" outlineLevel="0" collapsed="false">
      <c r="B116" s="7"/>
      <c r="C116" s="41" t="s">
        <v>186</v>
      </c>
      <c r="D116" s="8"/>
      <c r="E116" s="8"/>
      <c r="F116" s="8"/>
      <c r="G116" s="8"/>
      <c r="H116" s="8"/>
      <c r="I116" s="8"/>
      <c r="J116" s="8"/>
      <c r="K116" s="8"/>
      <c r="L116" s="8"/>
      <c r="M116" s="10"/>
      <c r="P116" s="14" t="s">
        <v>187</v>
      </c>
      <c r="Q116" s="22"/>
      <c r="S116" s="25" t="str">
        <f aca="false">IF(C245="","",C245)</f>
        <v/>
      </c>
    </row>
    <row r="117" customFormat="false" ht="15" hidden="false" customHeight="false" outlineLevel="0" collapsed="false">
      <c r="B117" s="7"/>
      <c r="C117" s="89" t="s">
        <v>188</v>
      </c>
      <c r="D117" s="41" t="s">
        <v>189</v>
      </c>
      <c r="E117" s="8"/>
      <c r="F117" s="8"/>
      <c r="G117" s="8"/>
      <c r="H117" s="8"/>
      <c r="I117" s="8"/>
      <c r="J117" s="8"/>
      <c r="K117" s="8"/>
      <c r="L117" s="8"/>
      <c r="M117" s="10"/>
      <c r="P117" s="14" t="s">
        <v>190</v>
      </c>
      <c r="Q117" s="22"/>
      <c r="S117" s="25" t="str">
        <f aca="false">IF(C246="","",C246)</f>
        <v/>
      </c>
    </row>
    <row r="118" customFormat="false" ht="15" hidden="false" customHeight="false" outlineLevel="0" collapsed="false">
      <c r="B118" s="7"/>
      <c r="C118" s="8"/>
      <c r="D118" s="41" t="s">
        <v>77</v>
      </c>
      <c r="E118" s="8"/>
      <c r="F118" s="8"/>
      <c r="G118" s="8"/>
      <c r="H118" s="8"/>
      <c r="I118" s="8"/>
      <c r="J118" s="8"/>
      <c r="K118" s="8"/>
      <c r="L118" s="8"/>
      <c r="M118" s="10"/>
      <c r="P118" s="14" t="s">
        <v>191</v>
      </c>
      <c r="Q118" s="22"/>
      <c r="S118" s="25" t="str">
        <f aca="false">IF(C247="","",C247)</f>
        <v/>
      </c>
    </row>
    <row r="119" customFormat="false" ht="15" hidden="false" customHeight="false" outlineLevel="0" collapsed="false">
      <c r="B119" s="7"/>
      <c r="C119" s="28" t="s">
        <v>192</v>
      </c>
      <c r="D119" s="12" t="str">
        <f aca="false">IF(Q148="","",Q148)</f>
        <v/>
      </c>
      <c r="E119" s="90"/>
      <c r="F119" s="90"/>
      <c r="G119" s="90"/>
      <c r="H119" s="90"/>
      <c r="I119" s="90"/>
      <c r="J119" s="90"/>
      <c r="K119" s="90"/>
      <c r="L119" s="8"/>
      <c r="M119" s="10"/>
      <c r="P119" s="14" t="s">
        <v>193</v>
      </c>
      <c r="Q119" s="22"/>
      <c r="S119" s="25" t="str">
        <f aca="false">IF(C248="","",C248)</f>
        <v/>
      </c>
    </row>
    <row r="120" customFormat="false" ht="15" hidden="false" customHeight="false" outlineLevel="0" collapsed="false">
      <c r="B120" s="7"/>
      <c r="C120" s="91" t="s">
        <v>194</v>
      </c>
      <c r="D120" s="8"/>
      <c r="E120" s="92" t="n">
        <f aca="false">LEN(D119)</f>
        <v>0</v>
      </c>
      <c r="F120" s="8"/>
      <c r="G120" s="8"/>
      <c r="H120" s="8"/>
      <c r="I120" s="8"/>
      <c r="J120" s="8"/>
      <c r="K120" s="8"/>
      <c r="L120" s="8"/>
      <c r="M120" s="10"/>
      <c r="P120" s="14" t="s">
        <v>195</v>
      </c>
      <c r="Q120" s="22"/>
      <c r="S120" s="25" t="str">
        <f aca="false">IF(C249="","",C249)</f>
        <v/>
      </c>
    </row>
    <row r="121" customFormat="false" ht="15" hidden="false" customHeight="false" outlineLevel="0" collapsed="false">
      <c r="B121" s="7"/>
      <c r="C121" s="28" t="s">
        <v>196</v>
      </c>
      <c r="D121" s="11"/>
      <c r="E121" s="90"/>
      <c r="F121" s="90"/>
      <c r="G121" s="90"/>
      <c r="H121" s="90"/>
      <c r="I121" s="90"/>
      <c r="J121" s="90"/>
      <c r="K121" s="90"/>
      <c r="L121" s="8"/>
      <c r="M121" s="10"/>
      <c r="P121" s="14" t="s">
        <v>197</v>
      </c>
      <c r="Q121" s="22"/>
      <c r="S121" s="25" t="str">
        <f aca="false">IF(C250="","",C250)</f>
        <v/>
      </c>
    </row>
    <row r="122" customFormat="false" ht="15" hidden="false" customHeight="false" outlineLevel="0" collapsed="false">
      <c r="B122" s="15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8"/>
      <c r="P122" s="14" t="s">
        <v>198</v>
      </c>
      <c r="Q122" s="22"/>
      <c r="S122" s="25" t="str">
        <f aca="false">IF(C251="","",C251)</f>
        <v/>
      </c>
    </row>
    <row r="123" customFormat="false" ht="15" hidden="false" customHeight="false" outlineLevel="0" collapsed="false">
      <c r="B123" s="93" t="s">
        <v>199</v>
      </c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6"/>
      <c r="P123" s="14" t="s">
        <v>176</v>
      </c>
      <c r="Q123" s="22"/>
      <c r="S123" s="25" t="str">
        <f aca="false">IF(D240="","",D240)</f>
        <v/>
      </c>
    </row>
    <row r="124" customFormat="false" ht="15" hidden="false" customHeight="false" outlineLevel="0" collapsed="false">
      <c r="B124" s="34" t="n">
        <v>2</v>
      </c>
      <c r="C124" s="8" t="s">
        <v>200</v>
      </c>
      <c r="D124" s="8"/>
      <c r="E124" s="8"/>
      <c r="F124" s="8"/>
      <c r="G124" s="8"/>
      <c r="H124" s="8"/>
      <c r="I124" s="8"/>
      <c r="J124" s="8"/>
      <c r="K124" s="8"/>
      <c r="L124" s="8"/>
      <c r="M124" s="10"/>
      <c r="P124" s="14" t="s">
        <v>179</v>
      </c>
      <c r="Q124" s="22"/>
      <c r="S124" s="25" t="str">
        <f aca="false">IF(D241="","",D241)</f>
        <v/>
      </c>
    </row>
    <row r="125" customFormat="false" ht="15" hidden="false" customHeight="false" outlineLevel="0" collapsed="false">
      <c r="B125" s="7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10"/>
      <c r="P125" s="14" t="s">
        <v>181</v>
      </c>
      <c r="Q125" s="22"/>
      <c r="S125" s="25" t="str">
        <f aca="false">IF(D242="","",D242)</f>
        <v/>
      </c>
    </row>
    <row r="126" customFormat="false" ht="15" hidden="false" customHeight="false" outlineLevel="0" collapsed="false">
      <c r="B126" s="94" t="s">
        <v>201</v>
      </c>
      <c r="C126" s="95" t="s">
        <v>158</v>
      </c>
      <c r="D126" s="13" t="s">
        <v>202</v>
      </c>
      <c r="E126" s="95" t="s">
        <v>159</v>
      </c>
      <c r="F126" s="8"/>
      <c r="G126" s="96" t="s">
        <v>203</v>
      </c>
      <c r="H126" s="97"/>
      <c r="I126" s="97"/>
      <c r="J126" s="97"/>
      <c r="K126" s="97"/>
      <c r="L126" s="8"/>
      <c r="M126" s="10"/>
      <c r="P126" s="14" t="s">
        <v>183</v>
      </c>
      <c r="Q126" s="22"/>
      <c r="S126" s="25" t="str">
        <f aca="false">IF(D243="","",D243)</f>
        <v/>
      </c>
    </row>
    <row r="127" customFormat="false" ht="15" hidden="false" customHeight="false" outlineLevel="0" collapsed="false">
      <c r="B127" s="98" t="n">
        <v>80</v>
      </c>
      <c r="C127" s="79"/>
      <c r="D127" s="99" t="n">
        <v>0</v>
      </c>
      <c r="E127" s="55"/>
      <c r="F127" s="8"/>
      <c r="G127" s="100" t="s">
        <v>202</v>
      </c>
      <c r="H127" s="100" t="s">
        <v>204</v>
      </c>
      <c r="I127" s="100" t="s">
        <v>205</v>
      </c>
      <c r="J127" s="100" t="s">
        <v>206</v>
      </c>
      <c r="K127" s="101" t="s">
        <v>120</v>
      </c>
      <c r="L127" s="8"/>
      <c r="M127" s="10"/>
      <c r="P127" s="14" t="s">
        <v>185</v>
      </c>
      <c r="Q127" s="22"/>
      <c r="S127" s="25" t="str">
        <f aca="false">IF(D244="","",D244)</f>
        <v/>
      </c>
    </row>
    <row r="128" customFormat="false" ht="15" hidden="false" customHeight="false" outlineLevel="0" collapsed="false">
      <c r="B128" s="7"/>
      <c r="C128" s="8"/>
      <c r="D128" s="102" t="n">
        <v>0</v>
      </c>
      <c r="E128" s="69"/>
      <c r="F128" s="8"/>
      <c r="G128" s="103" t="n">
        <f aca="false">D127</f>
        <v>0</v>
      </c>
      <c r="H128" s="104" t="str">
        <f aca="false">IF(MIN(E127:E128)=0,"",AVERAGE(E127:E128))</f>
        <v/>
      </c>
      <c r="I128" s="104" t="str">
        <f aca="false">IF(H128="","",ABS(H128-$H$128/2))</f>
        <v/>
      </c>
      <c r="J128" s="103" t="str">
        <f aca="false">IF(OR(H128="",H129=""),"",IF(I128=SMALL(DHALF,1),G128,IF(I129=SMALL(DHALF,1),G129,IF(I130=SMALL(DHALF,1),G130,IF(I131=SMALL(DHALF,1),G131,"")))))</f>
        <v/>
      </c>
      <c r="K128" s="105" t="str">
        <f aca="false">IF(OR(MIN(J128:J129)=0,MIN(J132:J133)=0),"TBD",TREND(J128:J129,K132:K133,LN(H128/2)))</f>
        <v>TBD</v>
      </c>
      <c r="L128" s="8"/>
      <c r="M128" s="10"/>
      <c r="P128" s="14" t="s">
        <v>187</v>
      </c>
      <c r="Q128" s="22"/>
      <c r="S128" s="25" t="str">
        <f aca="false">IF(D245="","",D245)</f>
        <v/>
      </c>
    </row>
    <row r="129" customFormat="false" ht="15" hidden="false" customHeight="false" outlineLevel="0" collapsed="false">
      <c r="B129" s="7"/>
      <c r="C129" s="8"/>
      <c r="D129" s="106"/>
      <c r="E129" s="55"/>
      <c r="F129" s="8"/>
      <c r="G129" s="103" t="str">
        <f aca="false">IF(D129="","",D129)</f>
        <v/>
      </c>
      <c r="H129" s="104" t="str">
        <f aca="false">IF(MIN(E129:E130)=0,"",AVERAGE(E129:E130))</f>
        <v/>
      </c>
      <c r="I129" s="104" t="str">
        <f aca="false">IF(H129="","",ABS(H129-$H$128/2))</f>
        <v/>
      </c>
      <c r="J129" s="103" t="str">
        <f aca="false">IF(OR(H128="",H129=""),"",IF(I128=SMALL(DHALF,2),G128,IF(I129=SMALL(DHALF,2),G129,IF(I130=SMALL(DHALF,2),G130,IF(I131=SMALL(DHALF,2),G131,"")))))</f>
        <v/>
      </c>
      <c r="K129" s="97"/>
      <c r="L129" s="8"/>
      <c r="M129" s="10"/>
      <c r="P129" s="14" t="s">
        <v>190</v>
      </c>
      <c r="Q129" s="22"/>
      <c r="S129" s="25" t="str">
        <f aca="false">IF(D246="","",D246)</f>
        <v/>
      </c>
    </row>
    <row r="130" customFormat="false" ht="15" hidden="false" customHeight="false" outlineLevel="0" collapsed="false">
      <c r="B130" s="7"/>
      <c r="C130" s="8"/>
      <c r="D130" s="107" t="str">
        <f aca="false">IF(D129="","",D129)</f>
        <v/>
      </c>
      <c r="E130" s="74"/>
      <c r="F130" s="8"/>
      <c r="G130" s="103" t="str">
        <f aca="false">IF(D131="","",D131)</f>
        <v/>
      </c>
      <c r="H130" s="104" t="str">
        <f aca="false">IF(MIN(E131:E132)=0,"",AVERAGE(E131:E132))</f>
        <v/>
      </c>
      <c r="I130" s="104" t="str">
        <f aca="false">IF(H130="","",ABS(H130-$H$128/2))</f>
        <v/>
      </c>
      <c r="J130" s="97"/>
      <c r="K130" s="97"/>
      <c r="L130" s="8"/>
      <c r="M130" s="10"/>
      <c r="P130" s="14" t="s">
        <v>191</v>
      </c>
      <c r="Q130" s="22"/>
      <c r="S130" s="25" t="str">
        <f aca="false">IF(D247="","",D247)</f>
        <v/>
      </c>
    </row>
    <row r="131" customFormat="false" ht="15" hidden="false" customHeight="false" outlineLevel="0" collapsed="false">
      <c r="B131" s="7"/>
      <c r="C131" s="8"/>
      <c r="D131" s="108"/>
      <c r="E131" s="79"/>
      <c r="F131" s="8"/>
      <c r="G131" s="103" t="str">
        <f aca="false">IF(D133="","",D133)</f>
        <v/>
      </c>
      <c r="H131" s="104" t="str">
        <f aca="false">IF(MIN(E133:E134)=0,"",AVERAGE(E133:E134))</f>
        <v/>
      </c>
      <c r="I131" s="104" t="str">
        <f aca="false">IF(H131="","",ABS(H131-$H$128/2))</f>
        <v/>
      </c>
      <c r="J131" s="97" t="s">
        <v>207</v>
      </c>
      <c r="K131" s="97" t="s">
        <v>208</v>
      </c>
      <c r="L131" s="8"/>
      <c r="M131" s="10"/>
      <c r="P131" s="14" t="s">
        <v>193</v>
      </c>
      <c r="Q131" s="22"/>
      <c r="S131" s="25" t="str">
        <f aca="false">IF(D248="","",D248)</f>
        <v/>
      </c>
    </row>
    <row r="132" customFormat="false" ht="15" hidden="false" customHeight="false" outlineLevel="0" collapsed="false">
      <c r="B132" s="7"/>
      <c r="C132" s="8"/>
      <c r="D132" s="107" t="str">
        <f aca="false">IF(D131="","",D131)</f>
        <v/>
      </c>
      <c r="E132" s="74"/>
      <c r="F132" s="8"/>
      <c r="G132" s="109" t="str">
        <f aca="false">HVL</f>
        <v>TBD</v>
      </c>
      <c r="H132" s="109" t="e">
        <f aca="false" t="array" ref="H132:H132">_xlfn.single(IF(HVL="TBD","TBD",EXP(TREND(LNEXP,ALUM,G132))))</f>
        <v>#NAME?</v>
      </c>
      <c r="I132" s="110"/>
      <c r="J132" s="100" t="str">
        <f aca="false">IF(OR(H128="",H129=""),"",IF(G128=J128,H128,IF(G129=J128,H129,IF(G130=J128,H130,IF(G131=J128,H131,"")))))</f>
        <v/>
      </c>
      <c r="K132" s="104" t="str">
        <f aca="false">IF(J132="","",LN(J132))</f>
        <v/>
      </c>
      <c r="L132" s="8"/>
      <c r="M132" s="10"/>
      <c r="P132" s="14" t="s">
        <v>195</v>
      </c>
      <c r="Q132" s="22"/>
      <c r="S132" s="25" t="str">
        <f aca="false">IF(D249="","",D249)</f>
        <v/>
      </c>
    </row>
    <row r="133" customFormat="false" ht="15" hidden="false" customHeight="false" outlineLevel="0" collapsed="false">
      <c r="B133" s="7"/>
      <c r="C133" s="8"/>
      <c r="D133" s="108"/>
      <c r="E133" s="79"/>
      <c r="F133" s="8"/>
      <c r="G133" s="100" t="s">
        <v>209</v>
      </c>
      <c r="H133" s="100"/>
      <c r="I133" s="111"/>
      <c r="J133" s="100" t="str">
        <f aca="false">IF(OR(H128="",H129=""),"",IF(G128=J129,H128,IF(G129=J129,H129,IF(G130=J129,H130,IF(G131=J129,H131,"")))))</f>
        <v/>
      </c>
      <c r="K133" s="104" t="str">
        <f aca="false">IF(J133="","",LN(J133))</f>
        <v/>
      </c>
      <c r="L133" s="8"/>
      <c r="M133" s="10"/>
      <c r="P133" s="14" t="s">
        <v>197</v>
      </c>
      <c r="Q133" s="22"/>
      <c r="S133" s="25" t="str">
        <f aca="false">IF(D250="","",D250)</f>
        <v/>
      </c>
    </row>
    <row r="134" customFormat="false" ht="15" hidden="false" customHeight="false" outlineLevel="0" collapsed="false">
      <c r="B134" s="7"/>
      <c r="C134" s="8"/>
      <c r="D134" s="107" t="str">
        <f aca="false">IF(D133="","",D133)</f>
        <v/>
      </c>
      <c r="E134" s="74"/>
      <c r="F134" s="8"/>
      <c r="G134" s="100" t="s">
        <v>210</v>
      </c>
      <c r="H134" s="103" t="n">
        <f aca="false" t="array" ref="H134:H134">IF($B$124=1,IF(B127&lt;=75,MIN(ROUND(TREND(Tables!B81:B83,Tables!A81:A83,B127),1),TRUNC(TREND(Tables!B81:B83,Tables!A81:A83,B127),2)),MIN(ROUND(TREND(Tables!B84:B92,Tables!A84:A92,B127),1),TRUNC(TREND(Tables!B84:B92,Tables!A84:A92,B127),2))),MIN(ROUND(TREND(Tables!F78:F80,Tables!D78:D80,B127),1),TRUNC(TREND(Tables!F80:F85,Tables!D80:D85,B127),2)))</f>
        <v>2.6</v>
      </c>
      <c r="I134" s="97"/>
      <c r="J134" s="97"/>
      <c r="K134" s="97"/>
      <c r="L134" s="8"/>
      <c r="M134" s="10"/>
      <c r="P134" s="14" t="s">
        <v>198</v>
      </c>
      <c r="Q134" s="22"/>
      <c r="S134" s="25" t="str">
        <f aca="false">IF(D251="","",D251)</f>
        <v/>
      </c>
    </row>
    <row r="135" customFormat="false" ht="15" hidden="false" customHeight="false" outlineLevel="0" collapsed="false">
      <c r="B135" s="7"/>
      <c r="C135" s="8"/>
      <c r="D135" s="8"/>
      <c r="E135" s="8"/>
      <c r="F135" s="8"/>
      <c r="G135" s="100" t="s">
        <v>211</v>
      </c>
      <c r="H135" s="103" t="n">
        <f aca="false" t="array" ref="H135:H135">IF($B$124=1,"",ROUND(AVERAGE(ROUND(TREND(Tables!E78:E85,Tables!D78:D85,B127),2),TRUNC(TREND(Tables!E78:E85,Tables!D78:D85,B127),2)),1))</f>
        <v>3.1</v>
      </c>
      <c r="I135" s="97"/>
      <c r="J135" s="112" t="s">
        <v>212</v>
      </c>
      <c r="K135" s="113" t="str">
        <f aca="false">IF(AND(E127="",E128=""),"TBD",IF(HVL&gt;=H134,"YES","NO"))</f>
        <v>TBD</v>
      </c>
      <c r="L135" s="8"/>
      <c r="M135" s="10"/>
      <c r="P135" s="14" t="s">
        <v>176</v>
      </c>
      <c r="Q135" s="22"/>
      <c r="S135" s="25" t="str">
        <f aca="false">IF(E240="","",E240)</f>
        <v/>
      </c>
    </row>
    <row r="136" customFormat="false" ht="15" hidden="false" customHeight="false" outlineLevel="0" collapsed="false">
      <c r="B136" s="7"/>
      <c r="C136" s="8"/>
      <c r="D136" s="8"/>
      <c r="E136" s="8"/>
      <c r="F136" s="8"/>
      <c r="G136" s="100" t="s">
        <v>213</v>
      </c>
      <c r="H136" s="103" t="n">
        <f aca="false" t="array" ref="H136:H136">IF($B$124=1,"",MAX(ROUND(TREND(Tables!G78:G85,Tables!D78:D85,B127),1),TRUNC(TREND(Tables!G78:G85,Tables!D78:D85,B127,B127),2)))</f>
        <v>3.5</v>
      </c>
      <c r="I136" s="97"/>
      <c r="J136" s="97"/>
      <c r="K136" s="97"/>
      <c r="L136" s="8"/>
      <c r="M136" s="10"/>
      <c r="P136" s="14" t="s">
        <v>179</v>
      </c>
      <c r="Q136" s="22"/>
      <c r="S136" s="25" t="str">
        <f aca="false">IF(E241="","",E241)</f>
        <v/>
      </c>
    </row>
    <row r="137" customFormat="false" ht="15" hidden="false" customHeight="false" outlineLevel="0" collapsed="false">
      <c r="B137" s="7"/>
      <c r="C137" s="8"/>
      <c r="D137" s="8"/>
      <c r="E137" s="8"/>
      <c r="F137" s="8"/>
      <c r="G137" s="8"/>
      <c r="H137" s="8"/>
      <c r="I137" s="97"/>
      <c r="J137" s="112" t="str">
        <f aca="false">"Previous HVL @ "&amp;Q79&amp;" kV:"</f>
        <v>Previous HVL @  kV:</v>
      </c>
      <c r="K137" s="114" t="str">
        <f aca="false">IF(Q80="","",Q80)</f>
        <v/>
      </c>
      <c r="L137" s="8"/>
      <c r="M137" s="10"/>
      <c r="P137" s="14" t="s">
        <v>181</v>
      </c>
      <c r="Q137" s="22"/>
      <c r="S137" s="25" t="str">
        <f aca="false">IF(E242="","",E242)</f>
        <v/>
      </c>
    </row>
    <row r="138" customFormat="false" ht="15" hidden="false" customHeight="false" outlineLevel="0" collapsed="false">
      <c r="B138" s="15"/>
      <c r="C138" s="16"/>
      <c r="D138" s="16"/>
      <c r="E138" s="16"/>
      <c r="F138" s="16"/>
      <c r="G138" s="16"/>
      <c r="H138" s="16"/>
      <c r="I138" s="115"/>
      <c r="J138" s="116"/>
      <c r="K138" s="116"/>
      <c r="L138" s="16"/>
      <c r="M138" s="18"/>
      <c r="P138" s="14" t="s">
        <v>183</v>
      </c>
      <c r="Q138" s="22"/>
      <c r="S138" s="25" t="str">
        <f aca="false">IF(E243="","",E243)</f>
        <v/>
      </c>
    </row>
    <row r="139" customFormat="false" ht="15" hidden="false" customHeight="false" outlineLevel="0" collapsed="false">
      <c r="B139" s="93" t="s">
        <v>214</v>
      </c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6"/>
      <c r="P139" s="14" t="s">
        <v>185</v>
      </c>
      <c r="Q139" s="22"/>
      <c r="S139" s="25" t="str">
        <f aca="false">IF(E244="","",E244)</f>
        <v/>
      </c>
    </row>
    <row r="140" customFormat="false" ht="15" hidden="false" customHeight="false" outlineLevel="0" collapsed="false">
      <c r="B140" s="34"/>
      <c r="C140" s="8" t="s">
        <v>215</v>
      </c>
      <c r="D140" s="8"/>
      <c r="E140" s="8"/>
      <c r="F140" s="8"/>
      <c r="G140" s="117"/>
      <c r="H140" s="8" t="s">
        <v>216</v>
      </c>
      <c r="I140" s="8"/>
      <c r="J140" s="117"/>
      <c r="K140" s="8" t="s">
        <v>141</v>
      </c>
      <c r="L140" s="8"/>
      <c r="M140" s="10"/>
      <c r="P140" s="14" t="s">
        <v>187</v>
      </c>
      <c r="Q140" s="22"/>
      <c r="S140" s="25" t="str">
        <f aca="false">IF(E245="","",E245)</f>
        <v/>
      </c>
    </row>
    <row r="141" customFormat="false" ht="15" hidden="false" customHeight="false" outlineLevel="0" collapsed="false">
      <c r="B141" s="34"/>
      <c r="C141" s="8" t="s">
        <v>217</v>
      </c>
      <c r="D141" s="8"/>
      <c r="E141" s="8"/>
      <c r="F141" s="8"/>
      <c r="G141" s="117"/>
      <c r="H141" s="8" t="s">
        <v>218</v>
      </c>
      <c r="I141" s="8"/>
      <c r="J141" s="117"/>
      <c r="K141" s="8" t="s">
        <v>143</v>
      </c>
      <c r="L141" s="8"/>
      <c r="M141" s="10"/>
      <c r="P141" s="14" t="s">
        <v>190</v>
      </c>
      <c r="Q141" s="22"/>
      <c r="S141" s="25" t="str">
        <f aca="false">IF(E246="","",E246)</f>
        <v/>
      </c>
    </row>
    <row r="142" customFormat="false" ht="15" hidden="false" customHeight="false" outlineLevel="0" collapsed="false">
      <c r="B142" s="118" t="str">
        <f aca="false">IF(OR(B140=0,B141=0),"",(B140/B141)^2)</f>
        <v/>
      </c>
      <c r="C142" s="8" t="s">
        <v>219</v>
      </c>
      <c r="D142" s="8"/>
      <c r="E142" s="8"/>
      <c r="F142" s="8"/>
      <c r="G142" s="117"/>
      <c r="H142" s="8" t="s">
        <v>220</v>
      </c>
      <c r="I142" s="8"/>
      <c r="J142" s="117"/>
      <c r="K142" s="8" t="s">
        <v>145</v>
      </c>
      <c r="L142" s="8"/>
      <c r="M142" s="10"/>
      <c r="P142" s="14" t="s">
        <v>191</v>
      </c>
      <c r="Q142" s="22"/>
      <c r="S142" s="25" t="str">
        <f aca="false">IF(E247="","",E247)</f>
        <v/>
      </c>
    </row>
    <row r="143" customFormat="false" ht="15" hidden="false" customHeight="false" outlineLevel="0" collapsed="false">
      <c r="B143" s="7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10"/>
      <c r="P143" s="14" t="s">
        <v>193</v>
      </c>
      <c r="Q143" s="22"/>
      <c r="S143" s="25" t="str">
        <f aca="false">IF(E248="","",E248)</f>
        <v/>
      </c>
    </row>
    <row r="144" customFormat="false" ht="15" hidden="false" customHeight="false" outlineLevel="0" collapsed="false">
      <c r="B144" s="7"/>
      <c r="C144" s="8"/>
      <c r="D144" s="13" t="s">
        <v>221</v>
      </c>
      <c r="E144" s="13" t="s">
        <v>222</v>
      </c>
      <c r="F144" s="13" t="s">
        <v>223</v>
      </c>
      <c r="G144" s="13" t="s">
        <v>224</v>
      </c>
      <c r="H144" s="13" t="s">
        <v>225</v>
      </c>
      <c r="I144" s="13"/>
      <c r="J144" s="8"/>
      <c r="K144" s="8"/>
      <c r="L144" s="8"/>
      <c r="M144" s="10"/>
      <c r="P144" s="14" t="s">
        <v>195</v>
      </c>
      <c r="Q144" s="22"/>
      <c r="S144" s="25" t="str">
        <f aca="false">IF(E249="","",E249)</f>
        <v/>
      </c>
    </row>
    <row r="145" customFormat="false" ht="15" hidden="false" customHeight="false" outlineLevel="0" collapsed="false">
      <c r="B145" s="119" t="s">
        <v>201</v>
      </c>
      <c r="C145" s="13" t="s">
        <v>158</v>
      </c>
      <c r="D145" s="120" t="s">
        <v>226</v>
      </c>
      <c r="E145" s="120"/>
      <c r="F145" s="121" t="s">
        <v>227</v>
      </c>
      <c r="G145" s="121" t="s">
        <v>228</v>
      </c>
      <c r="H145" s="121" t="s">
        <v>227</v>
      </c>
      <c r="I145" s="13" t="s">
        <v>229</v>
      </c>
      <c r="J145" s="8"/>
      <c r="K145" s="8"/>
      <c r="L145" s="8"/>
      <c r="M145" s="10"/>
      <c r="P145" s="14" t="s">
        <v>197</v>
      </c>
      <c r="Q145" s="22"/>
      <c r="S145" s="25" t="str">
        <f aca="false">IF(E250="","",E250)</f>
        <v/>
      </c>
    </row>
    <row r="146" customFormat="false" ht="15" hidden="false" customHeight="false" outlineLevel="0" collapsed="false">
      <c r="B146" s="98"/>
      <c r="C146" s="54"/>
      <c r="D146" s="52"/>
      <c r="E146" s="54"/>
      <c r="F146" s="122" t="str">
        <f aca="false">IF(OR(D146="",E146=""),"",E146-D146)</f>
        <v/>
      </c>
      <c r="G146" s="123" t="str">
        <f aca="false">IF(F146="","",F146*$B$142)</f>
        <v/>
      </c>
      <c r="H146" s="124"/>
      <c r="I146" s="125" t="str">
        <f aca="false">IF(G146="","",(G146-H146)/H146)</f>
        <v/>
      </c>
      <c r="J146" s="8"/>
      <c r="K146" s="8"/>
      <c r="L146" s="8"/>
      <c r="M146" s="10"/>
      <c r="P146" s="14" t="s">
        <v>198</v>
      </c>
      <c r="Q146" s="22"/>
      <c r="S146" s="25" t="str">
        <f aca="false">IF(E251="","",E251)</f>
        <v/>
      </c>
    </row>
    <row r="147" customFormat="false" ht="15" hidden="false" customHeight="false" outlineLevel="0" collapsed="false">
      <c r="B147" s="126"/>
      <c r="C147" s="61"/>
      <c r="D147" s="59"/>
      <c r="E147" s="61"/>
      <c r="F147" s="127" t="str">
        <f aca="false">IF(OR(D147="",E147=""),"",E147-D147)</f>
        <v/>
      </c>
      <c r="G147" s="128" t="str">
        <f aca="false">IF(F147="","",F147*$B$142)</f>
        <v/>
      </c>
      <c r="H147" s="129"/>
      <c r="I147" s="130" t="str">
        <f aca="false">IF(G147="","",(G147-H147)/H147)</f>
        <v/>
      </c>
      <c r="J147" s="8"/>
      <c r="K147" s="8"/>
      <c r="L147" s="8"/>
      <c r="M147" s="10"/>
      <c r="P147" s="19" t="s">
        <v>230</v>
      </c>
    </row>
    <row r="148" customFormat="false" ht="15" hidden="false" customHeight="false" outlineLevel="0" collapsed="false">
      <c r="B148" s="126"/>
      <c r="C148" s="61"/>
      <c r="D148" s="59"/>
      <c r="E148" s="61"/>
      <c r="F148" s="127" t="str">
        <f aca="false">IF(OR(D148="",E148=""),"",E148-D148)</f>
        <v/>
      </c>
      <c r="G148" s="128" t="str">
        <f aca="false">IF(F148="","",F148*$B$142)</f>
        <v/>
      </c>
      <c r="H148" s="129"/>
      <c r="I148" s="130" t="str">
        <f aca="false">IF(G148="","",(G148-H148)/H148)</f>
        <v/>
      </c>
      <c r="J148" s="8"/>
      <c r="K148" s="8"/>
      <c r="L148" s="8"/>
      <c r="M148" s="10"/>
      <c r="P148" s="14" t="s">
        <v>231</v>
      </c>
      <c r="Q148" s="22"/>
      <c r="S148" s="25" t="str">
        <f aca="false">IF(D121="","",D121)</f>
        <v/>
      </c>
    </row>
    <row r="149" customFormat="false" ht="15" hidden="false" customHeight="false" outlineLevel="0" collapsed="false">
      <c r="B149" s="126"/>
      <c r="C149" s="61"/>
      <c r="D149" s="59"/>
      <c r="E149" s="61"/>
      <c r="F149" s="127" t="str">
        <f aca="false">IF(OR(D149="",E149=""),"",E149-D149)</f>
        <v/>
      </c>
      <c r="G149" s="128" t="str">
        <f aca="false">IF(F149="","",F149*$B$142)</f>
        <v/>
      </c>
      <c r="H149" s="129"/>
      <c r="I149" s="130" t="str">
        <f aca="false">IF(G149="","",(G149-H149)/H149)</f>
        <v/>
      </c>
      <c r="J149" s="8"/>
      <c r="K149" s="8"/>
      <c r="L149" s="8"/>
      <c r="M149" s="10"/>
      <c r="P149" s="14" t="s">
        <v>232</v>
      </c>
      <c r="Q149" s="22"/>
      <c r="S149" s="25" t="str">
        <f aca="false">IF(D198="","",D198)</f>
        <v/>
      </c>
    </row>
    <row r="150" customFormat="false" ht="15" hidden="false" customHeight="false" outlineLevel="0" collapsed="false">
      <c r="B150" s="131"/>
      <c r="C150" s="73"/>
      <c r="D150" s="71"/>
      <c r="E150" s="73"/>
      <c r="F150" s="132" t="str">
        <f aca="false">IF(OR(D150="",E150=""),"",E150-D150)</f>
        <v/>
      </c>
      <c r="G150" s="133" t="str">
        <f aca="false">IF(F150="","",F150*$B$142)</f>
        <v/>
      </c>
      <c r="H150" s="134"/>
      <c r="I150" s="135" t="str">
        <f aca="false">IF(G150="","",(G150-H150)/H150)</f>
        <v/>
      </c>
      <c r="J150" s="8"/>
      <c r="K150" s="8"/>
      <c r="L150" s="8"/>
      <c r="M150" s="10"/>
      <c r="P150" s="14" t="s">
        <v>233</v>
      </c>
      <c r="Q150" s="22"/>
      <c r="S150" s="25" t="str">
        <f aca="false">IF(D181="","",D181)</f>
        <v/>
      </c>
    </row>
    <row r="151" customFormat="false" ht="15" hidden="false" customHeight="false" outlineLevel="0" collapsed="false">
      <c r="B151" s="7"/>
      <c r="C151" s="8"/>
      <c r="D151" s="13" t="s">
        <v>234</v>
      </c>
      <c r="E151" s="13" t="s">
        <v>235</v>
      </c>
      <c r="F151" s="13" t="s">
        <v>223</v>
      </c>
      <c r="G151" s="13" t="s">
        <v>236</v>
      </c>
      <c r="H151" s="13" t="s">
        <v>225</v>
      </c>
      <c r="I151" s="13"/>
      <c r="J151" s="8"/>
      <c r="K151" s="8"/>
      <c r="L151" s="8"/>
      <c r="M151" s="10"/>
      <c r="P151" s="14" t="s">
        <v>237</v>
      </c>
      <c r="Q151" s="22"/>
      <c r="S151" s="25" t="str">
        <f aca="false">IF(D235="","",D235)</f>
        <v/>
      </c>
    </row>
    <row r="152" customFormat="false" ht="15" hidden="false" customHeight="false" outlineLevel="0" collapsed="false">
      <c r="B152" s="119" t="s">
        <v>201</v>
      </c>
      <c r="C152" s="13" t="s">
        <v>158</v>
      </c>
      <c r="D152" s="120" t="s">
        <v>238</v>
      </c>
      <c r="E152" s="120"/>
      <c r="F152" s="121" t="s">
        <v>239</v>
      </c>
      <c r="G152" s="121" t="s">
        <v>228</v>
      </c>
      <c r="H152" s="121" t="s">
        <v>239</v>
      </c>
      <c r="I152" s="13" t="s">
        <v>229</v>
      </c>
      <c r="J152" s="8"/>
      <c r="K152" s="8"/>
      <c r="L152" s="8"/>
      <c r="M152" s="10"/>
      <c r="P152" s="14" t="s">
        <v>240</v>
      </c>
      <c r="Q152" s="22"/>
      <c r="S152" s="25" t="str">
        <f aca="false">IF(D254="","",D254)</f>
        <v/>
      </c>
    </row>
    <row r="153" customFormat="false" ht="15" hidden="false" customHeight="false" outlineLevel="0" collapsed="false">
      <c r="B153" s="98"/>
      <c r="C153" s="54"/>
      <c r="D153" s="52"/>
      <c r="E153" s="54"/>
      <c r="F153" s="122" t="str">
        <f aca="false">IF(OR(D153="",E153=""),"",E153-D153)</f>
        <v/>
      </c>
      <c r="G153" s="123" t="str">
        <f aca="false">IF(F153="","",F153*$B$142)</f>
        <v/>
      </c>
      <c r="H153" s="124"/>
      <c r="I153" s="136" t="str">
        <f aca="false">IF(G153="","",(G153-H153)/H153)</f>
        <v/>
      </c>
      <c r="J153" s="8"/>
      <c r="K153" s="8"/>
      <c r="L153" s="8"/>
      <c r="M153" s="10"/>
      <c r="P153" s="14" t="s">
        <v>241</v>
      </c>
      <c r="Q153" s="22"/>
      <c r="S153" s="25" t="str">
        <f aca="false">IF(D267="","",D267)</f>
        <v/>
      </c>
    </row>
    <row r="154" s="1" customFormat="true" ht="15" hidden="false" customHeight="false" outlineLevel="0" collapsed="false">
      <c r="B154" s="126"/>
      <c r="C154" s="61"/>
      <c r="D154" s="59"/>
      <c r="E154" s="61"/>
      <c r="F154" s="127" t="str">
        <f aca="false">IF(OR(D154="",E154=""),"",E154-D154)</f>
        <v/>
      </c>
      <c r="G154" s="128" t="str">
        <f aca="false">IF(F154="","",F154*$B$142)</f>
        <v/>
      </c>
      <c r="H154" s="129"/>
      <c r="I154" s="137" t="str">
        <f aca="false">IF(G154="","",(G154-H154)/H154)</f>
        <v/>
      </c>
      <c r="J154" s="8"/>
      <c r="K154" s="8"/>
      <c r="L154" s="8"/>
      <c r="M154" s="10"/>
    </row>
    <row r="155" s="1" customFormat="true" ht="15" hidden="false" customHeight="false" outlineLevel="0" collapsed="false">
      <c r="B155" s="126"/>
      <c r="C155" s="61"/>
      <c r="D155" s="59"/>
      <c r="E155" s="61"/>
      <c r="F155" s="127" t="str">
        <f aca="false">IF(OR(D155="",E155=""),"",E155-D155)</f>
        <v/>
      </c>
      <c r="G155" s="128" t="str">
        <f aca="false">IF(F155="","",F155*$B$142)</f>
        <v/>
      </c>
      <c r="H155" s="129"/>
      <c r="I155" s="137" t="str">
        <f aca="false">IF(G155="","",(G155-H155)/H155)</f>
        <v/>
      </c>
      <c r="J155" s="8"/>
      <c r="K155" s="8"/>
      <c r="L155" s="8"/>
      <c r="M155" s="10"/>
      <c r="P155" s="19" t="s">
        <v>242</v>
      </c>
    </row>
    <row r="156" customFormat="false" ht="15" hidden="false" customHeight="false" outlineLevel="0" collapsed="false">
      <c r="B156" s="126"/>
      <c r="C156" s="61"/>
      <c r="D156" s="59"/>
      <c r="E156" s="61"/>
      <c r="F156" s="127" t="str">
        <f aca="false">IF(OR(D156="",E156=""),"",E156-D156)</f>
        <v/>
      </c>
      <c r="G156" s="128" t="str">
        <f aca="false">IF(F156="","",F156*$B$142)</f>
        <v/>
      </c>
      <c r="H156" s="129"/>
      <c r="I156" s="137" t="str">
        <f aca="false">IF(G156="","",(G156-H156)/H156)</f>
        <v/>
      </c>
      <c r="J156" s="8"/>
      <c r="K156" s="8"/>
      <c r="L156" s="8"/>
      <c r="M156" s="10"/>
      <c r="P156" s="19" t="s">
        <v>243</v>
      </c>
    </row>
    <row r="157" customFormat="false" ht="15" hidden="false" customHeight="false" outlineLevel="0" collapsed="false">
      <c r="B157" s="131"/>
      <c r="C157" s="73"/>
      <c r="D157" s="71"/>
      <c r="E157" s="73"/>
      <c r="F157" s="132" t="str">
        <f aca="false">IF(OR(D157="",E157=""),"",E157-D157)</f>
        <v/>
      </c>
      <c r="G157" s="133" t="str">
        <f aca="false">IF(F157="","",F157*$B$142)</f>
        <v/>
      </c>
      <c r="H157" s="134"/>
      <c r="I157" s="138" t="str">
        <f aca="false">IF(G157="","",(G157-H157)/H157)</f>
        <v/>
      </c>
      <c r="J157" s="8"/>
      <c r="K157" s="8"/>
      <c r="L157" s="8"/>
      <c r="M157" s="10"/>
      <c r="P157" s="14" t="s">
        <v>244</v>
      </c>
      <c r="Q157" s="22"/>
      <c r="S157" s="25" t="str">
        <f aca="false">IF(D272="","",D272)</f>
        <v/>
      </c>
    </row>
    <row r="158" customFormat="false" ht="15" hidden="false" customHeight="false" outlineLevel="0" collapsed="false">
      <c r="B158" s="7"/>
      <c r="C158" s="8"/>
      <c r="D158" s="13" t="s">
        <v>223</v>
      </c>
      <c r="E158" s="13" t="s">
        <v>245</v>
      </c>
      <c r="F158" s="13" t="s">
        <v>225</v>
      </c>
      <c r="G158" s="13"/>
      <c r="H158" s="8"/>
      <c r="I158" s="8"/>
      <c r="J158" s="8"/>
      <c r="K158" s="8"/>
      <c r="L158" s="8"/>
      <c r="M158" s="10"/>
      <c r="P158" s="14" t="s">
        <v>152</v>
      </c>
      <c r="Q158" s="22"/>
      <c r="S158" s="25" t="str">
        <f aca="false">IF(D273="","",D273)</f>
        <v/>
      </c>
    </row>
    <row r="159" customFormat="false" ht="15" hidden="false" customHeight="false" outlineLevel="0" collapsed="false">
      <c r="B159" s="119" t="s">
        <v>201</v>
      </c>
      <c r="C159" s="13" t="s">
        <v>158</v>
      </c>
      <c r="D159" s="121" t="s">
        <v>246</v>
      </c>
      <c r="E159" s="121" t="s">
        <v>228</v>
      </c>
      <c r="F159" s="121" t="s">
        <v>246</v>
      </c>
      <c r="G159" s="13" t="s">
        <v>229</v>
      </c>
      <c r="H159" s="8"/>
      <c r="I159" s="8"/>
      <c r="J159" s="8"/>
      <c r="K159" s="8"/>
      <c r="L159" s="8"/>
      <c r="M159" s="10"/>
      <c r="P159" s="14" t="s">
        <v>111</v>
      </c>
      <c r="Q159" s="22"/>
      <c r="S159" s="25" t="str">
        <f aca="false">IF(D274="","",D274)</f>
        <v/>
      </c>
    </row>
    <row r="160" customFormat="false" ht="15" hidden="false" customHeight="false" outlineLevel="0" collapsed="false">
      <c r="B160" s="98"/>
      <c r="C160" s="54"/>
      <c r="D160" s="55"/>
      <c r="E160" s="123" t="str">
        <f aca="false">IF(D160="","",D160*$B$142)</f>
        <v/>
      </c>
      <c r="F160" s="52"/>
      <c r="G160" s="139" t="str">
        <f aca="false">IF(E160="","",(E160-F160)/F160)</f>
        <v/>
      </c>
      <c r="H160" s="8"/>
      <c r="I160" s="8"/>
      <c r="J160" s="8"/>
      <c r="K160" s="8"/>
      <c r="L160" s="8"/>
      <c r="M160" s="10"/>
      <c r="P160" s="14" t="s">
        <v>247</v>
      </c>
      <c r="Q160" s="22"/>
      <c r="S160" s="25" t="str">
        <f aca="false">IF(D275="","",D275)</f>
        <v/>
      </c>
    </row>
    <row r="161" customFormat="false" ht="15" hidden="false" customHeight="false" outlineLevel="0" collapsed="false">
      <c r="B161" s="126"/>
      <c r="C161" s="61"/>
      <c r="D161" s="62"/>
      <c r="E161" s="128" t="str">
        <f aca="false">IF(D161="","",D161*$B$142)</f>
        <v/>
      </c>
      <c r="F161" s="59"/>
      <c r="G161" s="140" t="str">
        <f aca="false">IF(E161="","",(E161-F161)/F161)</f>
        <v/>
      </c>
      <c r="H161" s="8"/>
      <c r="I161" s="8"/>
      <c r="J161" s="8"/>
      <c r="K161" s="8"/>
      <c r="L161" s="8"/>
      <c r="M161" s="10"/>
      <c r="P161" s="14" t="s">
        <v>248</v>
      </c>
      <c r="Q161" s="22"/>
      <c r="S161" s="25" t="str">
        <f aca="false">IF(D276="","",D276)</f>
        <v/>
      </c>
    </row>
    <row r="162" customFormat="false" ht="15" hidden="false" customHeight="false" outlineLevel="0" collapsed="false">
      <c r="B162" s="126"/>
      <c r="C162" s="61"/>
      <c r="D162" s="62"/>
      <c r="E162" s="128" t="str">
        <f aca="false">IF(D162="","",D162*$B$142)</f>
        <v/>
      </c>
      <c r="F162" s="59"/>
      <c r="G162" s="140" t="str">
        <f aca="false">IF(E162="","",(E162-F162)/F162)</f>
        <v/>
      </c>
      <c r="H162" s="8"/>
      <c r="I162" s="8"/>
      <c r="J162" s="8"/>
      <c r="K162" s="8"/>
      <c r="L162" s="8"/>
      <c r="M162" s="10"/>
      <c r="P162" s="14" t="s">
        <v>249</v>
      </c>
      <c r="Q162" s="22"/>
      <c r="S162" s="25" t="str">
        <f aca="false">IF(D277="","",D277)</f>
        <v/>
      </c>
    </row>
    <row r="163" customFormat="false" ht="15" hidden="false" customHeight="false" outlineLevel="0" collapsed="false">
      <c r="B163" s="126"/>
      <c r="C163" s="61"/>
      <c r="D163" s="62"/>
      <c r="E163" s="128" t="str">
        <f aca="false">IF(D163="","",D163*$B$142)</f>
        <v/>
      </c>
      <c r="F163" s="59"/>
      <c r="G163" s="140" t="str">
        <f aca="false">IF(E163="","",(E163-F163)/F163)</f>
        <v/>
      </c>
      <c r="H163" s="8"/>
      <c r="I163" s="8"/>
      <c r="J163" s="8"/>
      <c r="K163" s="8"/>
      <c r="L163" s="8"/>
      <c r="M163" s="10"/>
      <c r="P163" s="14" t="s">
        <v>250</v>
      </c>
      <c r="Q163" s="22"/>
      <c r="S163" s="25" t="str">
        <f aca="false">IF(D278="","",D278)</f>
        <v/>
      </c>
    </row>
    <row r="164" customFormat="false" ht="15.75" hidden="false" customHeight="true" outlineLevel="0" collapsed="false">
      <c r="B164" s="131"/>
      <c r="C164" s="73"/>
      <c r="D164" s="74"/>
      <c r="E164" s="133" t="str">
        <f aca="false">IF(D164="","",D164*$B$142)</f>
        <v/>
      </c>
      <c r="F164" s="71"/>
      <c r="G164" s="141" t="str">
        <f aca="false">IF(E164="","",(E164-F164)/F164)</f>
        <v/>
      </c>
      <c r="H164" s="8"/>
      <c r="I164" s="8"/>
      <c r="J164" s="8"/>
      <c r="K164" s="8"/>
      <c r="L164" s="8"/>
      <c r="M164" s="10"/>
      <c r="P164" s="14" t="s">
        <v>251</v>
      </c>
      <c r="Q164" s="22"/>
      <c r="S164" s="25" t="str">
        <f aca="false">IF(D279="","",D279)</f>
        <v/>
      </c>
    </row>
    <row r="165" customFormat="false" ht="15" hidden="false" customHeight="false" outlineLevel="0" collapsed="false">
      <c r="B165" s="7"/>
      <c r="C165" s="8"/>
      <c r="D165" s="8"/>
      <c r="E165" s="8"/>
      <c r="F165" s="8"/>
      <c r="G165" s="8"/>
      <c r="H165" s="8"/>
      <c r="I165" s="8"/>
      <c r="J165" s="13"/>
      <c r="K165" s="8"/>
      <c r="L165" s="8"/>
      <c r="M165" s="10"/>
      <c r="P165" s="14" t="s">
        <v>252</v>
      </c>
      <c r="Q165" s="22"/>
      <c r="S165" s="25" t="str">
        <f aca="false">IF(D280="","",D280)</f>
        <v/>
      </c>
    </row>
    <row r="166" customFormat="false" ht="15" hidden="false" customHeight="false" outlineLevel="0" collapsed="false">
      <c r="B166" s="142" t="s">
        <v>188</v>
      </c>
      <c r="C166" s="41" t="s">
        <v>253</v>
      </c>
      <c r="D166" s="8"/>
      <c r="E166" s="8"/>
      <c r="F166" s="8"/>
      <c r="G166" s="8"/>
      <c r="H166" s="8"/>
      <c r="I166" s="8"/>
      <c r="J166" s="13"/>
      <c r="K166" s="8"/>
      <c r="L166" s="8"/>
      <c r="M166" s="10"/>
      <c r="P166" s="14" t="s">
        <v>254</v>
      </c>
      <c r="Q166" s="22"/>
      <c r="S166" s="143" t="e">
        <f aca="false">IF(#REF!="","",#REF!)</f>
        <v>#REF!</v>
      </c>
    </row>
    <row r="167" customFormat="false" ht="15" hidden="false" customHeight="false" outlineLevel="0" collapsed="false">
      <c r="B167" s="15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8"/>
      <c r="P167" s="14" t="s">
        <v>255</v>
      </c>
      <c r="Q167" s="22"/>
      <c r="S167" s="143" t="e">
        <f aca="false">IF(#REF!="","",#REF!)</f>
        <v>#REF!</v>
      </c>
    </row>
    <row r="168" customFormat="false" ht="15" hidden="false" customHeight="false" outlineLevel="0" collapsed="false">
      <c r="B168" s="93" t="s">
        <v>256</v>
      </c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6"/>
      <c r="P168" s="14" t="s">
        <v>257</v>
      </c>
      <c r="Q168" s="22"/>
      <c r="S168" s="25" t="str">
        <f aca="false">IF(D278="","",D278)</f>
        <v/>
      </c>
    </row>
    <row r="169" customFormat="false" ht="15" hidden="false" customHeight="false" outlineLevel="0" collapsed="false">
      <c r="B169" s="7"/>
      <c r="C169" s="8"/>
      <c r="D169" s="8"/>
      <c r="E169" s="8"/>
      <c r="F169" s="13" t="s">
        <v>258</v>
      </c>
      <c r="G169" s="8"/>
      <c r="H169" s="8"/>
      <c r="I169" s="8"/>
      <c r="J169" s="8"/>
      <c r="K169" s="8"/>
      <c r="L169" s="8"/>
      <c r="M169" s="10"/>
      <c r="P169" s="19" t="s">
        <v>259</v>
      </c>
    </row>
    <row r="170" customFormat="false" ht="15" hidden="false" customHeight="false" outlineLevel="0" collapsed="false">
      <c r="B170" s="7"/>
      <c r="C170" s="8"/>
      <c r="D170" s="13" t="s">
        <v>157</v>
      </c>
      <c r="E170" s="13" t="s">
        <v>158</v>
      </c>
      <c r="F170" s="13" t="s">
        <v>159</v>
      </c>
      <c r="G170" s="13" t="s">
        <v>260</v>
      </c>
      <c r="H170" s="13" t="s">
        <v>10</v>
      </c>
      <c r="I170" s="8"/>
      <c r="J170" s="144" t="s">
        <v>261</v>
      </c>
      <c r="K170" s="8"/>
      <c r="L170" s="8"/>
      <c r="M170" s="10"/>
      <c r="P170" s="14" t="s">
        <v>244</v>
      </c>
      <c r="Q170" s="22"/>
      <c r="S170" s="25" t="str">
        <f aca="false">IF(E272="","",E272)</f>
        <v/>
      </c>
    </row>
    <row r="171" customFormat="false" ht="15" hidden="false" customHeight="false" outlineLevel="0" collapsed="false">
      <c r="B171" s="7"/>
      <c r="C171" s="145" t="s">
        <v>262</v>
      </c>
      <c r="D171" s="146" t="str">
        <f aca="false">IF(AND(D44="",G44=""),"",IF($B$93=1,D44,IF(AND($B$94=1,J44&lt;&gt;""),J44,IF(G44&lt;&gt;"",G44,IF(D44&lt;&gt;"",D44,"")))))</f>
        <v/>
      </c>
      <c r="E171" s="146" t="str">
        <f aca="false">IF(AND(E44="",H44=""),"",IF($B$93=1,E44,IF(AND($B$94=1,K44&lt;&gt;""),K44,IF(H44&lt;&gt;"",H44,IF(E44&lt;&gt;"",E44,"")))))</f>
        <v/>
      </c>
      <c r="F171" s="146" t="str">
        <f aca="false">IF(AND(F44="",I44=""),"",IF($B$93=1,F44,IF(AND($B$94=1,L44&lt;&gt;""),L44,IF(I44&lt;&gt;"",I44,IF(F44&lt;&gt;"",F44,"")))))</f>
        <v/>
      </c>
      <c r="G171" s="147" t="n">
        <v>0</v>
      </c>
      <c r="H171" s="148" t="str">
        <f aca="false">IF(Q82="","",Q82)</f>
        <v/>
      </c>
      <c r="I171" s="8"/>
      <c r="J171" s="149" t="str">
        <f aca="false">IF(G171="NA","NA",IF(OR(F171="",G171=""),"TBD",IF(G171&lt;=2*F171,"YES","NO")))</f>
        <v>TBD</v>
      </c>
      <c r="K171" s="8"/>
      <c r="L171" s="8"/>
      <c r="M171" s="10"/>
      <c r="P171" s="14" t="s">
        <v>152</v>
      </c>
      <c r="Q171" s="22"/>
      <c r="S171" s="25" t="str">
        <f aca="false">IF(E273="","",E273)</f>
        <v/>
      </c>
    </row>
    <row r="172" customFormat="false" ht="15" hidden="false" customHeight="false" outlineLevel="0" collapsed="false">
      <c r="B172" s="7"/>
      <c r="C172" s="8"/>
      <c r="D172" s="8"/>
      <c r="E172" s="8"/>
      <c r="F172" s="13" t="s">
        <v>263</v>
      </c>
      <c r="G172" s="13" t="s">
        <v>264</v>
      </c>
      <c r="H172" s="13" t="s">
        <v>263</v>
      </c>
      <c r="I172" s="13" t="s">
        <v>264</v>
      </c>
      <c r="J172" s="13" t="s">
        <v>263</v>
      </c>
      <c r="K172" s="13" t="s">
        <v>264</v>
      </c>
      <c r="L172" s="8"/>
      <c r="M172" s="10"/>
      <c r="P172" s="14" t="s">
        <v>111</v>
      </c>
      <c r="Q172" s="22"/>
      <c r="S172" s="25" t="str">
        <f aca="false">IF(E274="","",E274)</f>
        <v/>
      </c>
    </row>
    <row r="173" customFormat="false" ht="15" hidden="false" customHeight="false" outlineLevel="0" collapsed="false">
      <c r="B173" s="7"/>
      <c r="C173" s="8"/>
      <c r="D173" s="8"/>
      <c r="E173" s="8"/>
      <c r="F173" s="13" t="s">
        <v>265</v>
      </c>
      <c r="G173" s="13" t="s">
        <v>265</v>
      </c>
      <c r="H173" s="13" t="s">
        <v>260</v>
      </c>
      <c r="I173" s="13" t="s">
        <v>260</v>
      </c>
      <c r="J173" s="13" t="s">
        <v>260</v>
      </c>
      <c r="K173" s="13" t="s">
        <v>260</v>
      </c>
      <c r="L173" s="8"/>
      <c r="M173" s="10"/>
      <c r="P173" s="14" t="s">
        <v>247</v>
      </c>
      <c r="Q173" s="22"/>
      <c r="S173" s="25" t="str">
        <f aca="false">IF(E275="","",E275)</f>
        <v/>
      </c>
    </row>
    <row r="174" customFormat="false" ht="15" hidden="false" customHeight="true" outlineLevel="0" collapsed="false">
      <c r="B174" s="150" t="s">
        <v>266</v>
      </c>
      <c r="C174" s="151" t="s">
        <v>267</v>
      </c>
      <c r="D174" s="151" t="str">
        <f aca="false">IF(D171="","",D171)</f>
        <v/>
      </c>
      <c r="E174" s="151" t="str">
        <f aca="false">IF(E171="","",E171)</f>
        <v/>
      </c>
      <c r="F174" s="53"/>
      <c r="G174" s="53"/>
      <c r="H174" s="151" t="str">
        <f aca="false">IF(F174="","",F174*60)</f>
        <v/>
      </c>
      <c r="I174" s="151" t="str">
        <f aca="false">IF(G174="","",G174*60)</f>
        <v/>
      </c>
      <c r="J174" s="152" t="str">
        <f aca="false">IF(Q83="","",Q83)</f>
        <v/>
      </c>
      <c r="K174" s="153" t="str">
        <f aca="false">IF(Q85="","",Q85)</f>
        <v/>
      </c>
      <c r="L174" s="8"/>
      <c r="M174" s="10"/>
      <c r="P174" s="14" t="s">
        <v>248</v>
      </c>
      <c r="Q174" s="22"/>
      <c r="S174" s="25" t="str">
        <f aca="false">IF(E276="","",E276)</f>
        <v/>
      </c>
    </row>
    <row r="175" customFormat="false" ht="15" hidden="false" customHeight="false" outlineLevel="0" collapsed="false">
      <c r="B175" s="150"/>
      <c r="C175" s="154" t="s">
        <v>268</v>
      </c>
      <c r="D175" s="154" t="str">
        <f aca="false">IF(D171="","",D171)</f>
        <v/>
      </c>
      <c r="E175" s="154" t="str">
        <f aca="false">IF(E171="","",E171)</f>
        <v/>
      </c>
      <c r="F175" s="72"/>
      <c r="G175" s="72"/>
      <c r="H175" s="154" t="str">
        <f aca="false">IF(F175="","",F175*60)</f>
        <v/>
      </c>
      <c r="I175" s="154" t="str">
        <f aca="false">IF(G175="","",G175*60)</f>
        <v/>
      </c>
      <c r="J175" s="83" t="str">
        <f aca="false">IF(Q84="","",Q84)</f>
        <v/>
      </c>
      <c r="K175" s="85" t="str">
        <f aca="false">IF(Q86="","",Q86)</f>
        <v/>
      </c>
      <c r="L175" s="8"/>
      <c r="M175" s="10"/>
      <c r="P175" s="14" t="s">
        <v>249</v>
      </c>
      <c r="Q175" s="22"/>
      <c r="S175" s="25" t="str">
        <f aca="false">IF(E277="","",E277)</f>
        <v/>
      </c>
    </row>
    <row r="176" customFormat="false" ht="15" hidden="false" customHeight="false" outlineLevel="0" collapsed="false">
      <c r="B176" s="7"/>
      <c r="C176" s="41" t="s">
        <v>269</v>
      </c>
      <c r="D176" s="41"/>
      <c r="E176" s="8"/>
      <c r="F176" s="8"/>
      <c r="G176" s="8"/>
      <c r="H176" s="8"/>
      <c r="I176" s="8"/>
      <c r="J176" s="8"/>
      <c r="K176" s="8"/>
      <c r="L176" s="8"/>
      <c r="M176" s="10"/>
      <c r="P176" s="14" t="s">
        <v>250</v>
      </c>
      <c r="Q176" s="22"/>
      <c r="S176" s="25" t="str">
        <f aca="false">IF(E278="","",E278)</f>
        <v/>
      </c>
    </row>
    <row r="177" customFormat="false" ht="15" hidden="false" customHeight="false" outlineLevel="0" collapsed="false">
      <c r="B177" s="7"/>
      <c r="C177" s="41" t="s">
        <v>270</v>
      </c>
      <c r="D177" s="41"/>
      <c r="E177" s="8"/>
      <c r="F177" s="8"/>
      <c r="G177" s="8"/>
      <c r="H177" s="8"/>
      <c r="I177" s="8"/>
      <c r="J177" s="8"/>
      <c r="K177" s="8"/>
      <c r="L177" s="8"/>
      <c r="M177" s="10"/>
      <c r="P177" s="14" t="s">
        <v>251</v>
      </c>
      <c r="Q177" s="22"/>
      <c r="S177" s="25" t="str">
        <f aca="false">IF(E279="","",E279)</f>
        <v/>
      </c>
    </row>
    <row r="178" customFormat="false" ht="15" hidden="false" customHeight="false" outlineLevel="0" collapsed="false">
      <c r="B178" s="7"/>
      <c r="C178" s="89" t="s">
        <v>188</v>
      </c>
      <c r="D178" s="41" t="s">
        <v>271</v>
      </c>
      <c r="E178" s="8"/>
      <c r="F178" s="8"/>
      <c r="G178" s="8"/>
      <c r="H178" s="8"/>
      <c r="I178" s="8"/>
      <c r="J178" s="8"/>
      <c r="K178" s="8"/>
      <c r="L178" s="8"/>
      <c r="M178" s="10"/>
      <c r="P178" s="14" t="s">
        <v>252</v>
      </c>
      <c r="Q178" s="22"/>
      <c r="S178" s="25" t="str">
        <f aca="false">IF(E280="","",E280)</f>
        <v/>
      </c>
    </row>
    <row r="179" customFormat="false" ht="15" hidden="false" customHeight="false" outlineLevel="0" collapsed="false">
      <c r="B179" s="7"/>
      <c r="C179" s="28" t="s">
        <v>192</v>
      </c>
      <c r="D179" s="12" t="str">
        <f aca="false">IF(Q150="","",Q150)</f>
        <v/>
      </c>
      <c r="E179" s="90"/>
      <c r="F179" s="90"/>
      <c r="G179" s="90"/>
      <c r="H179" s="90"/>
      <c r="I179" s="90"/>
      <c r="J179" s="90"/>
      <c r="K179" s="90"/>
      <c r="L179" s="8"/>
      <c r="M179" s="10"/>
      <c r="P179" s="14" t="s">
        <v>254</v>
      </c>
      <c r="Q179" s="22"/>
      <c r="S179" s="143" t="e">
        <f aca="false">IF(#REF!="","",#REF!)</f>
        <v>#REF!</v>
      </c>
    </row>
    <row r="180" customFormat="false" ht="15" hidden="false" customHeight="false" outlineLevel="0" collapsed="false">
      <c r="B180" s="7"/>
      <c r="C180" s="91" t="s">
        <v>194</v>
      </c>
      <c r="D180" s="8"/>
      <c r="E180" s="92" t="n">
        <f aca="false">LEN(D179)</f>
        <v>0</v>
      </c>
      <c r="F180" s="8"/>
      <c r="G180" s="8"/>
      <c r="H180" s="8"/>
      <c r="I180" s="8"/>
      <c r="J180" s="8"/>
      <c r="K180" s="8"/>
      <c r="L180" s="8"/>
      <c r="M180" s="10"/>
      <c r="P180" s="14" t="s">
        <v>255</v>
      </c>
      <c r="Q180" s="22"/>
      <c r="S180" s="143" t="e">
        <f aca="false">IF(#REF!="","",#REF!)</f>
        <v>#REF!</v>
      </c>
    </row>
    <row r="181" customFormat="false" ht="15" hidden="false" customHeight="false" outlineLevel="0" collapsed="false">
      <c r="B181" s="7"/>
      <c r="C181" s="28" t="s">
        <v>196</v>
      </c>
      <c r="D181" s="11"/>
      <c r="E181" s="90"/>
      <c r="F181" s="90"/>
      <c r="G181" s="90"/>
      <c r="H181" s="90"/>
      <c r="I181" s="90"/>
      <c r="J181" s="90"/>
      <c r="K181" s="90"/>
      <c r="L181" s="8"/>
      <c r="M181" s="10"/>
      <c r="P181" s="14" t="s">
        <v>257</v>
      </c>
      <c r="Q181" s="22"/>
      <c r="S181" s="25" t="str">
        <f aca="false">IF(E278="","",E278)</f>
        <v/>
      </c>
    </row>
    <row r="182" customFormat="false" ht="15" hidden="false" customHeight="false" outlineLevel="0" collapsed="false">
      <c r="B182" s="15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8"/>
      <c r="P182" s="19" t="s">
        <v>272</v>
      </c>
    </row>
    <row r="183" customFormat="false" ht="15" hidden="false" customHeight="false" outlineLevel="0" collapsed="false">
      <c r="B183" s="93" t="s">
        <v>273</v>
      </c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6"/>
      <c r="P183" s="14" t="s">
        <v>244</v>
      </c>
      <c r="Q183" s="22"/>
      <c r="S183" s="25" t="str">
        <f aca="false">IF(F272="","",F272)</f>
        <v/>
      </c>
    </row>
    <row r="184" customFormat="false" ht="15" hidden="false" customHeight="false" outlineLevel="0" collapsed="false">
      <c r="B184" s="119" t="s">
        <v>274</v>
      </c>
      <c r="C184" s="13" t="s">
        <v>275</v>
      </c>
      <c r="D184" s="13"/>
      <c r="E184" s="13"/>
      <c r="F184" s="13"/>
      <c r="G184" s="13"/>
      <c r="H184" s="13" t="s">
        <v>276</v>
      </c>
      <c r="I184" s="8"/>
      <c r="J184" s="8"/>
      <c r="K184" s="8"/>
      <c r="L184" s="8"/>
      <c r="M184" s="10"/>
      <c r="P184" s="14" t="s">
        <v>152</v>
      </c>
      <c r="Q184" s="22"/>
      <c r="S184" s="25" t="str">
        <f aca="false">IF(F273="","",F273)</f>
        <v/>
      </c>
    </row>
    <row r="185" customFormat="false" ht="15" hidden="false" customHeight="false" outlineLevel="0" collapsed="false">
      <c r="B185" s="119" t="s">
        <v>277</v>
      </c>
      <c r="C185" s="13" t="s">
        <v>278</v>
      </c>
      <c r="D185" s="13" t="s">
        <v>157</v>
      </c>
      <c r="E185" s="13" t="s">
        <v>158</v>
      </c>
      <c r="F185" s="13" t="s">
        <v>265</v>
      </c>
      <c r="G185" s="13" t="s">
        <v>279</v>
      </c>
      <c r="H185" s="13" t="s">
        <v>279</v>
      </c>
      <c r="I185" s="8"/>
      <c r="J185" s="8"/>
      <c r="K185" s="8"/>
      <c r="L185" s="8"/>
      <c r="M185" s="10"/>
      <c r="P185" s="14" t="s">
        <v>111</v>
      </c>
      <c r="Q185" s="22"/>
      <c r="S185" s="25" t="str">
        <f aca="false">IF(F274="","",F274)</f>
        <v/>
      </c>
    </row>
    <row r="186" customFormat="false" ht="15" hidden="false" customHeight="false" outlineLevel="0" collapsed="false">
      <c r="B186" s="155" t="str">
        <f aca="false">IF(D99="","",D99)</f>
        <v/>
      </c>
      <c r="C186" s="151" t="str">
        <f aca="false">IF($B$102="","",$B$102)</f>
        <v/>
      </c>
      <c r="D186" s="53"/>
      <c r="E186" s="53"/>
      <c r="F186" s="53"/>
      <c r="G186" s="53"/>
      <c r="H186" s="153" t="str">
        <f aca="false">IF(Q88="","",Q88)</f>
        <v/>
      </c>
      <c r="I186" s="8"/>
      <c r="J186" s="41" t="s">
        <v>280</v>
      </c>
      <c r="K186" s="8"/>
      <c r="L186" s="8"/>
      <c r="M186" s="10"/>
      <c r="P186" s="14" t="s">
        <v>247</v>
      </c>
      <c r="Q186" s="22"/>
      <c r="S186" s="25" t="str">
        <f aca="false">IF(F275="","",F275)</f>
        <v/>
      </c>
    </row>
    <row r="187" customFormat="false" ht="15" hidden="false" customHeight="false" outlineLevel="0" collapsed="false">
      <c r="B187" s="155"/>
      <c r="C187" s="156" t="str">
        <f aca="false">IF($B$105="","",$B$105)</f>
        <v/>
      </c>
      <c r="D187" s="60"/>
      <c r="E187" s="60"/>
      <c r="F187" s="60"/>
      <c r="G187" s="60"/>
      <c r="H187" s="157" t="str">
        <f aca="false">IF(Q89="","",Q89)</f>
        <v/>
      </c>
      <c r="I187" s="8"/>
      <c r="J187" s="41" t="s">
        <v>281</v>
      </c>
      <c r="K187" s="8"/>
      <c r="L187" s="8"/>
      <c r="M187" s="10"/>
      <c r="P187" s="14" t="s">
        <v>248</v>
      </c>
      <c r="Q187" s="22"/>
      <c r="S187" s="25" t="str">
        <f aca="false">IF(F276="","",F276)</f>
        <v/>
      </c>
    </row>
    <row r="188" customFormat="false" ht="15" hidden="false" customHeight="false" outlineLevel="0" collapsed="false">
      <c r="B188" s="155"/>
      <c r="C188" s="158" t="str">
        <f aca="false">IF($B$108="","",$B$108)</f>
        <v/>
      </c>
      <c r="D188" s="67"/>
      <c r="E188" s="67"/>
      <c r="F188" s="67"/>
      <c r="G188" s="67"/>
      <c r="H188" s="159" t="str">
        <f aca="false">IF(Q90="","",Q90)</f>
        <v/>
      </c>
      <c r="I188" s="8"/>
      <c r="J188" s="41" t="s">
        <v>282</v>
      </c>
      <c r="K188" s="8"/>
      <c r="L188" s="8"/>
      <c r="M188" s="10"/>
      <c r="P188" s="14" t="s">
        <v>249</v>
      </c>
      <c r="Q188" s="22"/>
      <c r="S188" s="25" t="str">
        <f aca="false">IF(F277="","",F277)</f>
        <v/>
      </c>
    </row>
    <row r="189" customFormat="false" ht="15" hidden="false" customHeight="false" outlineLevel="0" collapsed="false">
      <c r="B189" s="160" t="str">
        <f aca="false">IF(G99="","",G99)</f>
        <v/>
      </c>
      <c r="C189" s="151" t="str">
        <f aca="false">IF($B$102="","",$B$102)</f>
        <v/>
      </c>
      <c r="D189" s="53"/>
      <c r="E189" s="53"/>
      <c r="F189" s="53"/>
      <c r="G189" s="53"/>
      <c r="H189" s="153" t="str">
        <f aca="false">IF(Q91="","",Q91)</f>
        <v/>
      </c>
      <c r="I189" s="8"/>
      <c r="J189" s="8"/>
      <c r="K189" s="8"/>
      <c r="L189" s="8"/>
      <c r="M189" s="10"/>
      <c r="P189" s="14" t="s">
        <v>250</v>
      </c>
      <c r="Q189" s="22"/>
      <c r="S189" s="25" t="str">
        <f aca="false">IF(F278="","",F278)</f>
        <v/>
      </c>
    </row>
    <row r="190" customFormat="false" ht="15" hidden="false" customHeight="false" outlineLevel="0" collapsed="false">
      <c r="B190" s="160"/>
      <c r="C190" s="156" t="str">
        <f aca="false">IF($B$105="","",$B$105)</f>
        <v/>
      </c>
      <c r="D190" s="60"/>
      <c r="E190" s="60"/>
      <c r="F190" s="60"/>
      <c r="G190" s="60"/>
      <c r="H190" s="157" t="str">
        <f aca="false">IF(Q92="","",Q92)</f>
        <v/>
      </c>
      <c r="I190" s="8"/>
      <c r="J190" s="8"/>
      <c r="K190" s="8"/>
      <c r="L190" s="8"/>
      <c r="M190" s="10"/>
      <c r="P190" s="14" t="s">
        <v>251</v>
      </c>
      <c r="Q190" s="22"/>
      <c r="S190" s="25" t="str">
        <f aca="false">IF(F279="","",F279)</f>
        <v/>
      </c>
    </row>
    <row r="191" customFormat="false" ht="15" hidden="false" customHeight="false" outlineLevel="0" collapsed="false">
      <c r="B191" s="160"/>
      <c r="C191" s="158" t="str">
        <f aca="false">IF($B$108="","",$B$108)</f>
        <v/>
      </c>
      <c r="D191" s="72"/>
      <c r="E191" s="72"/>
      <c r="F191" s="72"/>
      <c r="G191" s="72"/>
      <c r="H191" s="85" t="str">
        <f aca="false">IF(Q93="","",Q93)</f>
        <v/>
      </c>
      <c r="I191" s="8"/>
      <c r="J191" s="8"/>
      <c r="K191" s="8"/>
      <c r="L191" s="8"/>
      <c r="M191" s="10"/>
      <c r="P191" s="14" t="s">
        <v>252</v>
      </c>
      <c r="Q191" s="22"/>
      <c r="S191" s="25" t="str">
        <f aca="false">IF(F280="","",F280)</f>
        <v/>
      </c>
    </row>
    <row r="192" customFormat="false" ht="15" hidden="false" customHeight="false" outlineLevel="0" collapsed="false">
      <c r="B192" s="160" t="str">
        <f aca="false">IF(J99="","",J99)</f>
        <v/>
      </c>
      <c r="C192" s="151" t="str">
        <f aca="false">IF($B$102="","",$B$102)</f>
        <v/>
      </c>
      <c r="D192" s="77"/>
      <c r="E192" s="77"/>
      <c r="F192" s="77"/>
      <c r="G192" s="77"/>
      <c r="H192" s="161" t="str">
        <f aca="false">IF(Q94="","",Q94)</f>
        <v/>
      </c>
      <c r="I192" s="8"/>
      <c r="J192" s="8"/>
      <c r="K192" s="8"/>
      <c r="L192" s="8"/>
      <c r="M192" s="10"/>
      <c r="P192" s="14" t="s">
        <v>254</v>
      </c>
      <c r="Q192" s="22"/>
      <c r="S192" s="143" t="e">
        <f aca="false">IF(#REF!="","",#REF!)</f>
        <v>#REF!</v>
      </c>
    </row>
    <row r="193" customFormat="false" ht="15" hidden="false" customHeight="false" outlineLevel="0" collapsed="false">
      <c r="B193" s="160"/>
      <c r="C193" s="156" t="str">
        <f aca="false">IF($B$105="","",$B$105)</f>
        <v/>
      </c>
      <c r="D193" s="60"/>
      <c r="E193" s="60"/>
      <c r="F193" s="60"/>
      <c r="G193" s="60"/>
      <c r="H193" s="157" t="str">
        <f aca="false">IF(Q95="","",Q95)</f>
        <v/>
      </c>
      <c r="I193" s="8"/>
      <c r="J193" s="8"/>
      <c r="K193" s="8"/>
      <c r="L193" s="8"/>
      <c r="M193" s="10"/>
      <c r="P193" s="14" t="s">
        <v>255</v>
      </c>
      <c r="Q193" s="22"/>
      <c r="S193" s="143" t="e">
        <f aca="false">IF(#REF!="","",#REF!)</f>
        <v>#REF!</v>
      </c>
    </row>
    <row r="194" customFormat="false" ht="15" hidden="false" customHeight="false" outlineLevel="0" collapsed="false">
      <c r="B194" s="160"/>
      <c r="C194" s="154" t="str">
        <f aca="false">IF($B$108="","",$B$108)</f>
        <v/>
      </c>
      <c r="D194" s="72"/>
      <c r="E194" s="72"/>
      <c r="F194" s="72"/>
      <c r="G194" s="72"/>
      <c r="H194" s="85" t="str">
        <f aca="false">IF(Q96="","",Q96)</f>
        <v/>
      </c>
      <c r="I194" s="8"/>
      <c r="J194" s="8"/>
      <c r="K194" s="8"/>
      <c r="L194" s="8"/>
      <c r="M194" s="10"/>
      <c r="P194" s="14" t="s">
        <v>257</v>
      </c>
      <c r="Q194" s="22"/>
      <c r="S194" s="25" t="str">
        <f aca="false">IF(F278="","",F278)</f>
        <v/>
      </c>
    </row>
    <row r="195" customFormat="false" ht="15" hidden="false" customHeight="false" outlineLevel="0" collapsed="false">
      <c r="B195" s="7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10"/>
      <c r="P195" s="162" t="s">
        <v>283</v>
      </c>
    </row>
    <row r="196" customFormat="false" ht="15" hidden="false" customHeight="false" outlineLevel="0" collapsed="false">
      <c r="B196" s="7"/>
      <c r="C196" s="28" t="s">
        <v>192</v>
      </c>
      <c r="D196" s="12" t="str">
        <f aca="false">IF(Q149="","",Q149)</f>
        <v/>
      </c>
      <c r="E196" s="90"/>
      <c r="F196" s="90"/>
      <c r="G196" s="90"/>
      <c r="H196" s="90"/>
      <c r="I196" s="90"/>
      <c r="J196" s="90"/>
      <c r="K196" s="90"/>
      <c r="L196" s="8"/>
      <c r="M196" s="10"/>
      <c r="P196" s="1" t="s">
        <v>243</v>
      </c>
      <c r="Q196" s="22"/>
      <c r="S196" s="25"/>
    </row>
    <row r="197" customFormat="false" ht="15" hidden="false" customHeight="false" outlineLevel="0" collapsed="false">
      <c r="B197" s="7"/>
      <c r="C197" s="91" t="s">
        <v>194</v>
      </c>
      <c r="D197" s="8"/>
      <c r="E197" s="92" t="n">
        <f aca="false">LEN(D196)</f>
        <v>0</v>
      </c>
      <c r="F197" s="8"/>
      <c r="G197" s="8"/>
      <c r="H197" s="8"/>
      <c r="I197" s="8"/>
      <c r="J197" s="8"/>
      <c r="K197" s="8"/>
      <c r="L197" s="8"/>
      <c r="M197" s="10"/>
      <c r="P197" s="1" t="s">
        <v>259</v>
      </c>
      <c r="Q197" s="22"/>
      <c r="S197" s="25"/>
    </row>
    <row r="198" customFormat="false" ht="15" hidden="false" customHeight="false" outlineLevel="0" collapsed="false">
      <c r="B198" s="7"/>
      <c r="C198" s="28" t="s">
        <v>196</v>
      </c>
      <c r="D198" s="11"/>
      <c r="E198" s="90"/>
      <c r="F198" s="90"/>
      <c r="G198" s="90"/>
      <c r="H198" s="90"/>
      <c r="I198" s="90"/>
      <c r="J198" s="90"/>
      <c r="K198" s="90"/>
      <c r="L198" s="8"/>
      <c r="M198" s="10"/>
      <c r="P198" s="1" t="s">
        <v>272</v>
      </c>
      <c r="Q198" s="22"/>
      <c r="S198" s="25"/>
    </row>
    <row r="199" customFormat="false" ht="15" hidden="false" customHeight="false" outlineLevel="0" collapsed="false">
      <c r="B199" s="15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8"/>
    </row>
    <row r="200" customFormat="false" ht="15" hidden="false" customHeight="false" outlineLevel="0" collapsed="false">
      <c r="B200" s="93" t="s">
        <v>284</v>
      </c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6"/>
    </row>
    <row r="201" customFormat="false" ht="15" hidden="false" customHeight="false" outlineLevel="0" collapsed="false">
      <c r="B201" s="7"/>
      <c r="C201" s="28" t="s">
        <v>285</v>
      </c>
      <c r="D201" s="31" t="s">
        <v>286</v>
      </c>
      <c r="E201" s="31"/>
      <c r="F201" s="8"/>
      <c r="G201" s="28" t="s">
        <v>287</v>
      </c>
      <c r="H201" s="163"/>
      <c r="I201" s="163"/>
      <c r="J201" s="8"/>
      <c r="K201" s="8"/>
      <c r="L201" s="8"/>
      <c r="M201" s="10"/>
    </row>
    <row r="202" customFormat="false" ht="15" hidden="false" customHeight="false" outlineLevel="0" collapsed="false">
      <c r="B202" s="7"/>
      <c r="C202" s="28" t="s">
        <v>31</v>
      </c>
      <c r="D202" s="31" t="s">
        <v>288</v>
      </c>
      <c r="E202" s="31"/>
      <c r="F202" s="8"/>
      <c r="G202" s="28" t="s">
        <v>289</v>
      </c>
      <c r="H202" s="164"/>
      <c r="I202" s="164"/>
      <c r="J202" s="8"/>
      <c r="K202" s="8"/>
      <c r="L202" s="8"/>
      <c r="M202" s="10"/>
    </row>
    <row r="203" customFormat="false" ht="15" hidden="false" customHeight="false" outlineLevel="0" collapsed="false">
      <c r="B203" s="7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10"/>
    </row>
    <row r="204" customFormat="false" ht="15" hidden="false" customHeight="false" outlineLevel="0" collapsed="false">
      <c r="B204" s="7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10"/>
    </row>
    <row r="205" customFormat="false" ht="15" hidden="false" customHeight="false" outlineLevel="0" collapsed="false">
      <c r="B205" s="43" t="s">
        <v>290</v>
      </c>
      <c r="C205" s="8"/>
      <c r="D205" s="8"/>
      <c r="E205" s="13" t="s">
        <v>291</v>
      </c>
      <c r="F205" s="13" t="s">
        <v>292</v>
      </c>
      <c r="G205" s="8"/>
      <c r="H205" s="8"/>
      <c r="I205" s="8"/>
      <c r="J205" s="8"/>
      <c r="K205" s="8"/>
      <c r="L205" s="8"/>
      <c r="M205" s="10"/>
    </row>
    <row r="206" customFormat="false" ht="15" hidden="false" customHeight="false" outlineLevel="0" collapsed="false">
      <c r="B206" s="119" t="s">
        <v>293</v>
      </c>
      <c r="C206" s="13" t="s">
        <v>294</v>
      </c>
      <c r="D206" s="13" t="s">
        <v>201</v>
      </c>
      <c r="E206" s="13" t="s">
        <v>295</v>
      </c>
      <c r="F206" s="13" t="s">
        <v>296</v>
      </c>
      <c r="G206" s="13" t="s">
        <v>120</v>
      </c>
      <c r="H206" s="13" t="s">
        <v>297</v>
      </c>
      <c r="I206" s="13" t="s">
        <v>298</v>
      </c>
      <c r="J206" s="8"/>
      <c r="K206" s="8"/>
      <c r="L206" s="8"/>
      <c r="M206" s="10"/>
    </row>
    <row r="207" customFormat="false" ht="15" hidden="false" customHeight="false" outlineLevel="0" collapsed="false">
      <c r="B207" s="165" t="n">
        <f aca="false">IF('Data Entry'!M4="","",'Data Entry'!M4)</f>
        <v>60</v>
      </c>
      <c r="C207" s="151" t="n">
        <f aca="false">IF('Data Entry'!N4="","",'Data Entry'!N4)</f>
        <v>5</v>
      </c>
      <c r="D207" s="151" t="str">
        <f aca="false">IF('Data Entry'!O4="","",'Data Entry'!O4)</f>
        <v/>
      </c>
      <c r="E207" s="151" t="str">
        <f aca="false">IF('Data Entry'!P4="","",'Data Entry'!P4)</f>
        <v/>
      </c>
      <c r="F207" s="151" t="str">
        <f aca="false">IF('Data Entry'!Q4="","",'Data Entry'!Q4)</f>
        <v/>
      </c>
      <c r="G207" s="151" t="str">
        <f aca="false">IF('Data Entry'!R4="","",'Data Entry'!R4)</f>
        <v/>
      </c>
      <c r="H207" s="151" t="str">
        <f aca="false">IF('Data Entry'!S4="","",'Data Entry'!S4)</f>
        <v/>
      </c>
      <c r="I207" s="166" t="str">
        <f aca="false">IF(D207="","",(D207-B207)/B207)</f>
        <v/>
      </c>
      <c r="J207" s="8"/>
      <c r="K207" s="8"/>
      <c r="L207" s="8"/>
      <c r="M207" s="10"/>
      <c r="P207" s="14"/>
    </row>
    <row r="208" customFormat="false" ht="15" hidden="false" customHeight="false" outlineLevel="0" collapsed="false">
      <c r="B208" s="167" t="n">
        <f aca="false">IF('Data Entry'!M5="","",'Data Entry'!M5)</f>
        <v>80</v>
      </c>
      <c r="C208" s="156" t="n">
        <f aca="false">IF('Data Entry'!N5="","",'Data Entry'!N5)</f>
        <v>5</v>
      </c>
      <c r="D208" s="156" t="str">
        <f aca="false">IF('Data Entry'!O5="","",AVERAGE('Data Entry'!O5:O9))</f>
        <v/>
      </c>
      <c r="E208" s="156" t="str">
        <f aca="false">IF('Data Entry'!P5="","",AVERAGE('Data Entry'!P5:P9))</f>
        <v/>
      </c>
      <c r="F208" s="156" t="str">
        <f aca="false">IF('Data Entry'!Q5="","",AVERAGE('Data Entry'!Q5:Q9))</f>
        <v/>
      </c>
      <c r="G208" s="156" t="str">
        <f aca="false">IF('Data Entry'!R5="","",AVERAGE('Data Entry'!R5:R9))</f>
        <v/>
      </c>
      <c r="H208" s="156" t="str">
        <f aca="false">IF('Data Entry'!S5="","",AVERAGE('Data Entry'!S5:S9))</f>
        <v/>
      </c>
      <c r="I208" s="168" t="str">
        <f aca="false">IF(D208="","",(D208-B208)/B208)</f>
        <v/>
      </c>
      <c r="J208" s="8"/>
      <c r="K208" s="8"/>
      <c r="L208" s="8"/>
      <c r="M208" s="10"/>
      <c r="P208" s="14"/>
    </row>
    <row r="209" customFormat="false" ht="15" hidden="false" customHeight="false" outlineLevel="0" collapsed="false">
      <c r="B209" s="167" t="n">
        <f aca="false">IF('Data Entry'!M10="","",'Data Entry'!M10)</f>
        <v>100</v>
      </c>
      <c r="C209" s="156" t="n">
        <f aca="false">IF('Data Entry'!N10="","",'Data Entry'!N10)</f>
        <v>5</v>
      </c>
      <c r="D209" s="156" t="str">
        <f aca="false">IF('Data Entry'!O10="","",'Data Entry'!O10)</f>
        <v/>
      </c>
      <c r="E209" s="156" t="str">
        <f aca="false">IF('Data Entry'!P10="","",'Data Entry'!P10)</f>
        <v/>
      </c>
      <c r="F209" s="156" t="str">
        <f aca="false">IF('Data Entry'!Q10="","",'Data Entry'!Q10)</f>
        <v/>
      </c>
      <c r="G209" s="156" t="str">
        <f aca="false">IF('Data Entry'!R10="","",'Data Entry'!R10)</f>
        <v/>
      </c>
      <c r="H209" s="156" t="str">
        <f aca="false">IF('Data Entry'!S10="","",'Data Entry'!S10)</f>
        <v/>
      </c>
      <c r="I209" s="168" t="str">
        <f aca="false">IF(D209="","",(D209-B209)/B209)</f>
        <v/>
      </c>
      <c r="J209" s="8"/>
      <c r="K209" s="8"/>
      <c r="L209" s="8"/>
      <c r="M209" s="10"/>
      <c r="P209" s="14"/>
    </row>
    <row r="210" customFormat="false" ht="15" hidden="false" customHeight="false" outlineLevel="0" collapsed="false">
      <c r="B210" s="169" t="n">
        <f aca="false">IF('Data Entry'!M11="","",'Data Entry'!M11)</f>
        <v>120</v>
      </c>
      <c r="C210" s="154" t="n">
        <f aca="false">IF('Data Entry'!N11="","",'Data Entry'!N11)</f>
        <v>5</v>
      </c>
      <c r="D210" s="154" t="str">
        <f aca="false">IF('Data Entry'!O11="","",'Data Entry'!O11)</f>
        <v/>
      </c>
      <c r="E210" s="154" t="str">
        <f aca="false">IF('Data Entry'!P11="","",'Data Entry'!P11)</f>
        <v/>
      </c>
      <c r="F210" s="154" t="str">
        <f aca="false">IF('Data Entry'!Q11="","",'Data Entry'!Q11)</f>
        <v/>
      </c>
      <c r="G210" s="154" t="str">
        <f aca="false">IF('Data Entry'!R11="","",'Data Entry'!R11)</f>
        <v/>
      </c>
      <c r="H210" s="154" t="str">
        <f aca="false">IF('Data Entry'!S11="","",'Data Entry'!S11)</f>
        <v/>
      </c>
      <c r="I210" s="170" t="str">
        <f aca="false">IF(D210="","",(D210-B210)/B210)</f>
        <v/>
      </c>
      <c r="J210" s="8"/>
      <c r="K210" s="8"/>
      <c r="L210" s="8"/>
      <c r="M210" s="10"/>
      <c r="P210" s="14"/>
      <c r="Q210" s="22"/>
      <c r="S210" s="25"/>
    </row>
    <row r="211" customFormat="false" ht="15" hidden="false" customHeight="false" outlineLevel="0" collapsed="false">
      <c r="B211" s="7"/>
      <c r="C211" s="89" t="s">
        <v>188</v>
      </c>
      <c r="D211" s="41" t="s">
        <v>299</v>
      </c>
      <c r="E211" s="8"/>
      <c r="F211" s="8"/>
      <c r="G211" s="8"/>
      <c r="H211" s="28" t="s">
        <v>178</v>
      </c>
      <c r="I211" s="81"/>
      <c r="J211" s="8"/>
      <c r="K211" s="8"/>
      <c r="L211" s="8"/>
      <c r="M211" s="10"/>
      <c r="P211" s="14"/>
      <c r="Q211" s="22"/>
      <c r="S211" s="25"/>
    </row>
    <row r="212" customFormat="false" ht="15" hidden="false" customHeight="false" outlineLevel="0" collapsed="false">
      <c r="B212" s="43" t="s">
        <v>300</v>
      </c>
      <c r="C212" s="8"/>
      <c r="D212" s="8"/>
      <c r="E212" s="8"/>
      <c r="F212" s="8"/>
      <c r="G212" s="8"/>
      <c r="H212" s="8"/>
      <c r="L212" s="8"/>
      <c r="M212" s="10"/>
      <c r="P212" s="14"/>
      <c r="Q212" s="22"/>
      <c r="S212" s="25"/>
    </row>
    <row r="213" customFormat="false" ht="15" hidden="false" customHeight="false" outlineLevel="0" collapsed="false">
      <c r="B213" s="7"/>
      <c r="C213" s="8"/>
      <c r="D213" s="13" t="s">
        <v>291</v>
      </c>
      <c r="E213" s="13" t="s">
        <v>292</v>
      </c>
      <c r="F213" s="8"/>
      <c r="G213" s="8"/>
      <c r="H213" s="8"/>
      <c r="I213" s="171" t="s">
        <v>301</v>
      </c>
      <c r="J213" s="8"/>
      <c r="K213" s="8"/>
      <c r="L213" s="8"/>
      <c r="M213" s="10"/>
    </row>
    <row r="214" customFormat="false" ht="15" hidden="false" customHeight="false" outlineLevel="0" collapsed="false">
      <c r="B214" s="119" t="s">
        <v>302</v>
      </c>
      <c r="C214" s="13" t="s">
        <v>201</v>
      </c>
      <c r="D214" s="13" t="s">
        <v>295</v>
      </c>
      <c r="E214" s="13" t="s">
        <v>296</v>
      </c>
      <c r="F214" s="13" t="s">
        <v>120</v>
      </c>
      <c r="G214" s="13" t="s">
        <v>297</v>
      </c>
      <c r="H214" s="8"/>
      <c r="I214" s="13" t="s">
        <v>302</v>
      </c>
      <c r="J214" s="13" t="s">
        <v>158</v>
      </c>
      <c r="K214" s="13" t="s">
        <v>159</v>
      </c>
      <c r="L214" s="8"/>
      <c r="M214" s="10"/>
    </row>
    <row r="215" customFormat="false" ht="15" hidden="false" customHeight="false" outlineLevel="0" collapsed="false">
      <c r="B215" s="172" t="n">
        <f aca="false">IF('Data Entry'!M5="","",'Data Entry'!M5)</f>
        <v>80</v>
      </c>
      <c r="C215" s="122" t="str">
        <f aca="false">IF('Data Entry'!O5="","",'Data Entry'!O5)</f>
        <v/>
      </c>
      <c r="D215" s="151" t="str">
        <f aca="false">IF('Data Entry'!P5="","",'Data Entry'!P5)</f>
        <v/>
      </c>
      <c r="E215" s="151" t="str">
        <f aca="false">IF('Data Entry'!Q5="","",'Data Entry'!Q5)</f>
        <v/>
      </c>
      <c r="F215" s="151" t="str">
        <f aca="false">IF('Data Entry'!R5="","",'Data Entry'!R5)</f>
        <v/>
      </c>
      <c r="G215" s="173" t="str">
        <f aca="false">IF('Data Entry'!S5="","",'Data Entry'!S5)</f>
        <v/>
      </c>
      <c r="H215" s="8"/>
      <c r="I215" s="81" t="n">
        <f aca="false">IF('Data Entry'!M12="","",'Data Entry'!M12)</f>
        <v>80</v>
      </c>
      <c r="J215" s="122" t="n">
        <f aca="false">IF('Data Entry'!N12="","",'Data Entry'!N12)</f>
        <v>1</v>
      </c>
      <c r="K215" s="173" t="str">
        <f aca="false">IF('Data Entry'!Q12="","",'Data Entry'!Q12)</f>
        <v/>
      </c>
      <c r="L215" s="8"/>
      <c r="M215" s="10"/>
    </row>
    <row r="216" customFormat="false" ht="15" hidden="false" customHeight="false" outlineLevel="0" collapsed="false">
      <c r="B216" s="7"/>
      <c r="C216" s="127" t="str">
        <f aca="false">IF('Data Entry'!O6="","",'Data Entry'!O6)</f>
        <v/>
      </c>
      <c r="D216" s="156" t="str">
        <f aca="false">IF('Data Entry'!P6="","",'Data Entry'!P6)</f>
        <v/>
      </c>
      <c r="E216" s="156" t="str">
        <f aca="false">IF('Data Entry'!Q6="","",'Data Entry'!Q6)</f>
        <v/>
      </c>
      <c r="F216" s="156" t="str">
        <f aca="false">IF('Data Entry'!R6="","",'Data Entry'!R6)</f>
        <v/>
      </c>
      <c r="G216" s="168" t="str">
        <f aca="false">IF('Data Entry'!S6="","",'Data Entry'!S6)</f>
        <v/>
      </c>
      <c r="H216" s="8"/>
      <c r="I216" s="8"/>
      <c r="J216" s="127" t="n">
        <f aca="false">IF('Data Entry'!N13="","",'Data Entry'!N13)</f>
        <v>10</v>
      </c>
      <c r="K216" s="168" t="str">
        <f aca="false">IF('Data Entry'!Q13="","",'Data Entry'!Q13)</f>
        <v/>
      </c>
      <c r="L216" s="8"/>
      <c r="M216" s="10"/>
    </row>
    <row r="217" customFormat="false" ht="15" hidden="false" customHeight="false" outlineLevel="0" collapsed="false">
      <c r="B217" s="7"/>
      <c r="C217" s="127" t="str">
        <f aca="false">IF('Data Entry'!O7="","",'Data Entry'!O7)</f>
        <v/>
      </c>
      <c r="D217" s="156" t="str">
        <f aca="false">IF('Data Entry'!P7="","",'Data Entry'!P7)</f>
        <v/>
      </c>
      <c r="E217" s="156" t="str">
        <f aca="false">IF('Data Entry'!Q7="","",'Data Entry'!Q7)</f>
        <v/>
      </c>
      <c r="F217" s="156" t="str">
        <f aca="false">IF('Data Entry'!R7="","",'Data Entry'!R7)</f>
        <v/>
      </c>
      <c r="G217" s="168" t="str">
        <f aca="false">IF('Data Entry'!S7="","",'Data Entry'!S7)</f>
        <v/>
      </c>
      <c r="H217" s="8"/>
      <c r="I217" s="8"/>
      <c r="J217" s="127" t="n">
        <f aca="false">IF('Data Entry'!N14="","",'Data Entry'!N14)</f>
        <v>7.5</v>
      </c>
      <c r="K217" s="168" t="str">
        <f aca="false">IF('Data Entry'!Q14="","",'Data Entry'!Q14)</f>
        <v/>
      </c>
      <c r="L217" s="8"/>
      <c r="M217" s="10"/>
    </row>
    <row r="218" customFormat="false" ht="15" hidden="false" customHeight="false" outlineLevel="0" collapsed="false">
      <c r="B218" s="7"/>
      <c r="C218" s="127" t="str">
        <f aca="false">IF('Data Entry'!O8="","",'Data Entry'!O8)</f>
        <v/>
      </c>
      <c r="D218" s="156" t="str">
        <f aca="false">IF('Data Entry'!P8="","",'Data Entry'!P8)</f>
        <v/>
      </c>
      <c r="E218" s="156" t="str">
        <f aca="false">IF('Data Entry'!Q8="","",'Data Entry'!Q8)</f>
        <v/>
      </c>
      <c r="F218" s="156" t="str">
        <f aca="false">IF('Data Entry'!R8="","",'Data Entry'!R8)</f>
        <v/>
      </c>
      <c r="G218" s="168" t="str">
        <f aca="false">IF('Data Entry'!S8="","",'Data Entry'!S8)</f>
        <v/>
      </c>
      <c r="H218" s="8"/>
      <c r="I218" s="8"/>
      <c r="J218" s="132" t="n">
        <f aca="false">IF(C208="","",C208)</f>
        <v>5</v>
      </c>
      <c r="K218" s="170" t="str">
        <f aca="false">IF(F208="","",F208)</f>
        <v/>
      </c>
      <c r="L218" s="8"/>
      <c r="M218" s="10"/>
    </row>
    <row r="219" customFormat="false" ht="15" hidden="false" customHeight="false" outlineLevel="0" collapsed="false">
      <c r="B219" s="7"/>
      <c r="C219" s="132" t="str">
        <f aca="false">IF('Data Entry'!O9="","",'Data Entry'!O9)</f>
        <v/>
      </c>
      <c r="D219" s="154" t="str">
        <f aca="false">IF('Data Entry'!P9="","",'Data Entry'!P9)</f>
        <v/>
      </c>
      <c r="E219" s="154" t="str">
        <f aca="false">IF('Data Entry'!Q9="","",'Data Entry'!Q9)</f>
        <v/>
      </c>
      <c r="F219" s="154" t="str">
        <f aca="false">IF('Data Entry'!R9="","",'Data Entry'!R9)</f>
        <v/>
      </c>
      <c r="G219" s="170" t="str">
        <f aca="false">IF('Data Entry'!S9="","",'Data Entry'!S9)</f>
        <v/>
      </c>
      <c r="H219" s="8"/>
      <c r="I219" s="8"/>
      <c r="J219" s="28" t="s">
        <v>303</v>
      </c>
      <c r="K219" s="81"/>
      <c r="L219" s="8"/>
      <c r="M219" s="10"/>
    </row>
    <row r="220" customFormat="false" ht="15" hidden="false" customHeight="false" outlineLevel="0" collapsed="false">
      <c r="B220" s="174" t="s">
        <v>304</v>
      </c>
      <c r="C220" s="144" t="str">
        <f aca="false">IF(C215="","",AVERAGE(C215:C219))</f>
        <v/>
      </c>
      <c r="D220" s="8"/>
      <c r="E220" s="144" t="str">
        <f aca="false">IF(E215="","",AVERAGE(E215:E219))</f>
        <v/>
      </c>
      <c r="F220" s="8"/>
      <c r="G220" s="8"/>
      <c r="H220" s="8"/>
      <c r="I220" s="8"/>
      <c r="J220" s="28" t="s">
        <v>178</v>
      </c>
      <c r="K220" s="81"/>
      <c r="L220" s="8"/>
      <c r="M220" s="10"/>
    </row>
    <row r="221" customFormat="false" ht="15" hidden="false" customHeight="false" outlineLevel="0" collapsed="false">
      <c r="B221" s="174" t="s">
        <v>305</v>
      </c>
      <c r="C221" s="175" t="str">
        <f aca="false">IF(C215="","",STDEV(C215:C219))</f>
        <v/>
      </c>
      <c r="D221" s="8"/>
      <c r="E221" s="175" t="str">
        <f aca="false">IF(E215="","",STDEV(E215:E219))</f>
        <v/>
      </c>
      <c r="F221" s="8"/>
      <c r="G221" s="8"/>
      <c r="H221" s="8"/>
      <c r="I221" s="8"/>
      <c r="J221" s="89" t="s">
        <v>188</v>
      </c>
      <c r="K221" s="41" t="s">
        <v>306</v>
      </c>
      <c r="L221" s="8"/>
      <c r="M221" s="10"/>
    </row>
    <row r="222" customFormat="false" ht="15" hidden="false" customHeight="false" outlineLevel="0" collapsed="false">
      <c r="B222" s="174" t="s">
        <v>307</v>
      </c>
      <c r="C222" s="175" t="str">
        <f aca="false">IF(OR(C220="",C221=""),"",C221/C220)</f>
        <v/>
      </c>
      <c r="D222" s="8"/>
      <c r="E222" s="175" t="str">
        <f aca="false">IF(OR(E220="",E221=""),"",E221/E220)</f>
        <v/>
      </c>
      <c r="F222" s="8"/>
      <c r="G222" s="8"/>
      <c r="H222" s="8"/>
      <c r="I222" s="8"/>
      <c r="J222" s="8"/>
      <c r="K222" s="8"/>
      <c r="L222" s="8"/>
      <c r="M222" s="10"/>
    </row>
    <row r="223" customFormat="false" ht="15" hidden="false" customHeight="false" outlineLevel="0" collapsed="false">
      <c r="B223" s="174" t="s">
        <v>178</v>
      </c>
      <c r="C223" s="149" t="str">
        <f aca="false">IF(C222="","",IF(C222&lt;0.05,"PASS", "FAIL"))</f>
        <v/>
      </c>
      <c r="D223" s="8"/>
      <c r="E223" s="149" t="str">
        <f aca="false">IF(E222="","",IF(E222&lt;0.05,"PASS", "FAIL"))</f>
        <v/>
      </c>
      <c r="F223" s="8"/>
      <c r="G223" s="8"/>
      <c r="H223" s="8"/>
      <c r="I223" s="8"/>
      <c r="J223" s="8"/>
      <c r="K223" s="8"/>
      <c r="L223" s="8"/>
      <c r="M223" s="10"/>
    </row>
    <row r="224" customFormat="false" ht="15" hidden="false" customHeight="false" outlineLevel="0" collapsed="false">
      <c r="B224" s="7"/>
      <c r="C224" s="89" t="s">
        <v>188</v>
      </c>
      <c r="D224" s="41" t="s">
        <v>308</v>
      </c>
      <c r="E224" s="8"/>
      <c r="F224" s="8"/>
      <c r="G224" s="8"/>
      <c r="H224" s="8"/>
      <c r="I224" s="8"/>
      <c r="J224" s="8"/>
      <c r="K224" s="8"/>
      <c r="L224" s="8"/>
      <c r="M224" s="10"/>
    </row>
    <row r="225" customFormat="false" ht="15" hidden="false" customHeight="false" outlineLevel="0" collapsed="false">
      <c r="B225" s="15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8"/>
    </row>
    <row r="226" customFormat="false" ht="15" hidden="false" customHeight="false" outlineLevel="0" collapsed="false">
      <c r="B226" s="93" t="s">
        <v>149</v>
      </c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6"/>
    </row>
    <row r="227" customFormat="false" ht="15" hidden="false" customHeight="false" outlineLevel="0" collapsed="false">
      <c r="B227" s="176" t="s">
        <v>74</v>
      </c>
      <c r="C227" s="177" t="s">
        <v>309</v>
      </c>
      <c r="D227" s="177" t="s">
        <v>310</v>
      </c>
      <c r="E227" s="177" t="s">
        <v>311</v>
      </c>
      <c r="F227" s="177" t="s">
        <v>312</v>
      </c>
      <c r="G227" s="178" t="s">
        <v>313</v>
      </c>
      <c r="H227" s="28" t="s">
        <v>152</v>
      </c>
      <c r="I227" s="32" t="n">
        <f aca="false">IF(J227&lt;&gt;"",J227,IF(Q98="","",Q98))</f>
        <v>70</v>
      </c>
      <c r="J227" s="31" t="n">
        <v>70</v>
      </c>
      <c r="K227" s="8"/>
      <c r="L227" s="8"/>
      <c r="M227" s="10"/>
    </row>
    <row r="228" customFormat="false" ht="15" hidden="false" customHeight="false" outlineLevel="0" collapsed="false">
      <c r="B228" s="167" t="str">
        <f aca="false">IF($B$102="","",$B$102)</f>
        <v/>
      </c>
      <c r="C228" s="60"/>
      <c r="D228" s="60"/>
      <c r="E228" s="60"/>
      <c r="F228" s="60"/>
      <c r="G228" s="62"/>
      <c r="H228" s="8"/>
      <c r="I228" s="179" t="s">
        <v>314</v>
      </c>
      <c r="J228" s="179"/>
      <c r="K228" s="41" t="s">
        <v>315</v>
      </c>
      <c r="L228" s="8"/>
      <c r="M228" s="10"/>
    </row>
    <row r="229" customFormat="false" ht="15" hidden="false" customHeight="false" outlineLevel="0" collapsed="false">
      <c r="B229" s="167" t="str">
        <f aca="false">IF($B$105="","",$B$105)</f>
        <v/>
      </c>
      <c r="C229" s="60"/>
      <c r="D229" s="60"/>
      <c r="E229" s="60"/>
      <c r="F229" s="60"/>
      <c r="G229" s="62"/>
      <c r="H229" s="8"/>
      <c r="I229" s="179" t="n">
        <v>1</v>
      </c>
      <c r="J229" s="179" t="s">
        <v>316</v>
      </c>
      <c r="K229" s="41" t="s">
        <v>317</v>
      </c>
      <c r="L229" s="8"/>
      <c r="M229" s="10"/>
    </row>
    <row r="230" customFormat="false" ht="15" hidden="false" customHeight="false" outlineLevel="0" collapsed="false">
      <c r="B230" s="169" t="str">
        <f aca="false">IF($B$108="","",$B$108)</f>
        <v/>
      </c>
      <c r="C230" s="72"/>
      <c r="D230" s="72"/>
      <c r="E230" s="72"/>
      <c r="F230" s="72"/>
      <c r="G230" s="74"/>
      <c r="H230" s="8"/>
      <c r="I230" s="179" t="n">
        <v>2</v>
      </c>
      <c r="J230" s="179" t="s">
        <v>318</v>
      </c>
      <c r="K230" s="8"/>
      <c r="L230" s="8"/>
      <c r="M230" s="10"/>
    </row>
    <row r="231" customFormat="false" ht="15" hidden="false" customHeight="false" outlineLevel="0" collapsed="false">
      <c r="B231" s="7"/>
      <c r="C231" s="8"/>
      <c r="D231" s="8"/>
      <c r="E231" s="28" t="s">
        <v>178</v>
      </c>
      <c r="F231" s="180"/>
      <c r="G231" s="180"/>
      <c r="H231" s="8"/>
      <c r="I231" s="179" t="n">
        <v>3</v>
      </c>
      <c r="J231" s="179" t="s">
        <v>319</v>
      </c>
      <c r="K231" s="8"/>
      <c r="L231" s="8"/>
      <c r="M231" s="10"/>
    </row>
    <row r="232" customFormat="false" ht="15" hidden="false" customHeight="false" outlineLevel="0" collapsed="false">
      <c r="B232" s="7"/>
      <c r="C232" s="8"/>
      <c r="D232" s="8"/>
      <c r="E232" s="8"/>
      <c r="F232" s="8"/>
      <c r="G232" s="8"/>
      <c r="H232" s="8"/>
      <c r="I232" s="179" t="n">
        <v>4</v>
      </c>
      <c r="J232" s="179" t="s">
        <v>320</v>
      </c>
      <c r="K232" s="8"/>
      <c r="L232" s="8"/>
      <c r="M232" s="10"/>
    </row>
    <row r="233" customFormat="false" ht="15" hidden="false" customHeight="false" outlineLevel="0" collapsed="false">
      <c r="B233" s="7"/>
      <c r="C233" s="28" t="s">
        <v>192</v>
      </c>
      <c r="D233" s="12" t="str">
        <f aca="false">IF(Q151="","",Q151)</f>
        <v/>
      </c>
      <c r="E233" s="90"/>
      <c r="F233" s="90"/>
      <c r="G233" s="90"/>
      <c r="H233" s="90"/>
      <c r="I233" s="90"/>
      <c r="J233" s="90"/>
      <c r="K233" s="90"/>
      <c r="L233" s="8"/>
      <c r="M233" s="10"/>
    </row>
    <row r="234" customFormat="false" ht="15" hidden="false" customHeight="false" outlineLevel="0" collapsed="false">
      <c r="B234" s="7"/>
      <c r="C234" s="91" t="s">
        <v>194</v>
      </c>
      <c r="D234" s="8"/>
      <c r="E234" s="92" t="n">
        <f aca="false">LEN(D233)</f>
        <v>0</v>
      </c>
      <c r="F234" s="8"/>
      <c r="G234" s="8"/>
      <c r="H234" s="8"/>
      <c r="I234" s="8"/>
      <c r="J234" s="8"/>
      <c r="K234" s="8"/>
      <c r="L234" s="8"/>
      <c r="M234" s="10"/>
    </row>
    <row r="235" customFormat="false" ht="15" hidden="false" customHeight="false" outlineLevel="0" collapsed="false">
      <c r="B235" s="7"/>
      <c r="C235" s="28" t="s">
        <v>196</v>
      </c>
      <c r="D235" s="11"/>
      <c r="E235" s="90"/>
      <c r="F235" s="90"/>
      <c r="G235" s="90"/>
      <c r="H235" s="90"/>
      <c r="I235" s="90"/>
      <c r="J235" s="90"/>
      <c r="K235" s="90"/>
      <c r="L235" s="8"/>
      <c r="M235" s="10"/>
    </row>
    <row r="236" customFormat="false" ht="15" hidden="false" customHeight="false" outlineLevel="0" collapsed="false">
      <c r="B236" s="7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10"/>
    </row>
    <row r="237" customFormat="false" ht="15" hidden="false" customHeight="false" outlineLevel="0" collapsed="false">
      <c r="B237" s="7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10"/>
    </row>
    <row r="238" customFormat="false" ht="15" hidden="false" customHeight="false" outlineLevel="0" collapsed="false">
      <c r="B238" s="43" t="s">
        <v>321</v>
      </c>
      <c r="C238" s="8"/>
      <c r="D238" s="8"/>
      <c r="E238" s="8"/>
      <c r="F238" s="8"/>
      <c r="G238" s="171" t="s">
        <v>322</v>
      </c>
      <c r="H238" s="8"/>
      <c r="I238" s="8"/>
      <c r="J238" s="8"/>
      <c r="K238" s="8"/>
      <c r="L238" s="8"/>
      <c r="M238" s="10"/>
    </row>
    <row r="239" customFormat="false" ht="15" hidden="false" customHeight="false" outlineLevel="0" collapsed="false">
      <c r="B239" s="167" t="s">
        <v>323</v>
      </c>
      <c r="C239" s="156" t="str">
        <f aca="false">IF($B$102="","",$B$102)</f>
        <v/>
      </c>
      <c r="D239" s="156" t="str">
        <f aca="false">IF($B$105="","",$B$105)</f>
        <v/>
      </c>
      <c r="E239" s="156" t="str">
        <f aca="false">IF($B$108="","",$B$108)</f>
        <v/>
      </c>
      <c r="F239" s="8"/>
      <c r="G239" s="32" t="str">
        <f aca="false">IF(H239&lt;&gt;"",H239,IF(Q105="","",Q105))</f>
        <v/>
      </c>
      <c r="H239" s="31"/>
      <c r="I239" s="181" t="s">
        <v>324</v>
      </c>
      <c r="J239" s="8"/>
      <c r="K239" s="8"/>
      <c r="L239" s="8"/>
      <c r="M239" s="10"/>
    </row>
    <row r="240" customFormat="false" ht="15" hidden="false" customHeight="false" outlineLevel="0" collapsed="false">
      <c r="B240" s="167" t="s">
        <v>325</v>
      </c>
      <c r="C240" s="60"/>
      <c r="D240" s="60"/>
      <c r="E240" s="60"/>
      <c r="F240" s="8"/>
      <c r="G240" s="8"/>
      <c r="H240" s="8"/>
      <c r="I240" s="8"/>
      <c r="J240" s="8"/>
      <c r="K240" s="8"/>
      <c r="L240" s="8"/>
      <c r="M240" s="10"/>
    </row>
    <row r="241" customFormat="false" ht="15" hidden="false" customHeight="false" outlineLevel="0" collapsed="false">
      <c r="B241" s="167" t="s">
        <v>326</v>
      </c>
      <c r="C241" s="60"/>
      <c r="D241" s="60"/>
      <c r="E241" s="60"/>
      <c r="F241" s="8"/>
      <c r="G241" s="8"/>
      <c r="H241" s="177" t="str">
        <f aca="false">IF($B$102="","",$B$102)</f>
        <v/>
      </c>
      <c r="I241" s="177" t="str">
        <f aca="false">IF($B$105="","",$B$105)</f>
        <v/>
      </c>
      <c r="J241" s="177" t="str">
        <f aca="false">IF($B$108="","",$B$108)</f>
        <v/>
      </c>
      <c r="K241" s="8"/>
      <c r="L241" s="8"/>
      <c r="M241" s="10"/>
    </row>
    <row r="242" customFormat="false" ht="15" hidden="false" customHeight="false" outlineLevel="0" collapsed="false">
      <c r="B242" s="167" t="s">
        <v>327</v>
      </c>
      <c r="C242" s="60"/>
      <c r="D242" s="60"/>
      <c r="E242" s="60"/>
      <c r="F242" s="8"/>
      <c r="G242" s="28" t="s">
        <v>328</v>
      </c>
      <c r="H242" s="60"/>
      <c r="I242" s="60"/>
      <c r="J242" s="60"/>
      <c r="K242" s="8"/>
      <c r="L242" s="8"/>
      <c r="M242" s="10"/>
    </row>
    <row r="243" customFormat="false" ht="15" hidden="false" customHeight="false" outlineLevel="0" collapsed="false">
      <c r="B243" s="167" t="s">
        <v>329</v>
      </c>
      <c r="C243" s="60"/>
      <c r="D243" s="60"/>
      <c r="E243" s="60"/>
      <c r="F243" s="8"/>
      <c r="G243" s="28" t="s">
        <v>330</v>
      </c>
      <c r="H243" s="60"/>
      <c r="I243" s="60"/>
      <c r="J243" s="60"/>
      <c r="K243" s="8"/>
      <c r="L243" s="8"/>
      <c r="M243" s="10"/>
    </row>
    <row r="244" customFormat="false" ht="15" hidden="false" customHeight="false" outlineLevel="0" collapsed="false">
      <c r="B244" s="167" t="s">
        <v>331</v>
      </c>
      <c r="C244" s="60"/>
      <c r="D244" s="60"/>
      <c r="E244" s="60"/>
      <c r="F244" s="8"/>
      <c r="G244" s="28" t="s">
        <v>332</v>
      </c>
      <c r="H244" s="156" t="str">
        <f aca="false">IF(OR(H242="",H243=""),"",SQRT(H242^2+H243^2))</f>
        <v/>
      </c>
      <c r="I244" s="156" t="str">
        <f aca="false">IF(OR(I242="",I243=""),"",SQRT(I242^2+I243^2))</f>
        <v/>
      </c>
      <c r="J244" s="156" t="str">
        <f aca="false">IF(OR(J242="",J243=""),"",SQRT(J242^2+J243^2))</f>
        <v/>
      </c>
      <c r="K244" s="8"/>
      <c r="L244" s="8"/>
      <c r="M244" s="10"/>
    </row>
    <row r="245" customFormat="false" ht="15" hidden="false" customHeight="false" outlineLevel="0" collapsed="false">
      <c r="B245" s="167" t="s">
        <v>333</v>
      </c>
      <c r="C245" s="60"/>
      <c r="D245" s="60"/>
      <c r="E245" s="60"/>
      <c r="F245" s="8"/>
      <c r="G245" s="28" t="s">
        <v>178</v>
      </c>
      <c r="H245" s="156" t="str">
        <f aca="false">IF($G$239="","NA",IF(OR(H242=0,H243="",H244=""),"",IF($G$239=1,IF(AND(H242&gt;H241*0.85,H243&gt;H241*0.85),"YES","NO"),IF(H244&gt;H241*0.85,"YES","NO"))))</f>
        <v>NA</v>
      </c>
      <c r="I245" s="156" t="str">
        <f aca="false">IF($G$239="","NA",IF(OR(I242=0,I243="",I244=""),"",IF($G$239=1,IF(AND(I242&gt;I241*0.85,I243&gt;I241*0.85),"YES","NO"),IF(I244&gt;I241*0.85,"YES","NO"))))</f>
        <v>NA</v>
      </c>
      <c r="J245" s="156" t="str">
        <f aca="false">IF($G$239="","NA",IF(OR(J242=0,J243="",J244=""),"",IF($G$239=1,IF(AND(J242&gt;J241*0.85,J243&gt;J241*0.85),"YES","NO"),IF(J244&gt;J241*0.85,"YES","NO"))))</f>
        <v>NA</v>
      </c>
      <c r="K245" s="8"/>
      <c r="L245" s="8"/>
      <c r="M245" s="10"/>
    </row>
    <row r="246" customFormat="false" ht="15" hidden="false" customHeight="false" outlineLevel="0" collapsed="false">
      <c r="B246" s="167" t="s">
        <v>334</v>
      </c>
      <c r="C246" s="60"/>
      <c r="D246" s="60"/>
      <c r="E246" s="60"/>
      <c r="F246" s="8"/>
      <c r="G246" s="8"/>
      <c r="H246" s="89" t="s">
        <v>335</v>
      </c>
      <c r="I246" s="41" t="s">
        <v>336</v>
      </c>
      <c r="J246" s="8"/>
      <c r="K246" s="8"/>
      <c r="L246" s="8"/>
      <c r="M246" s="10"/>
    </row>
    <row r="247" customFormat="false" ht="15" hidden="false" customHeight="false" outlineLevel="0" collapsed="false">
      <c r="B247" s="167" t="s">
        <v>337</v>
      </c>
      <c r="C247" s="60"/>
      <c r="D247" s="60"/>
      <c r="E247" s="60"/>
      <c r="F247" s="8"/>
      <c r="G247" s="8"/>
      <c r="H247" s="8"/>
      <c r="I247" s="8"/>
      <c r="J247" s="8"/>
      <c r="K247" s="8"/>
      <c r="L247" s="8"/>
      <c r="M247" s="10"/>
    </row>
    <row r="248" customFormat="false" ht="15" hidden="false" customHeight="false" outlineLevel="0" collapsed="false">
      <c r="B248" s="167" t="s">
        <v>338</v>
      </c>
      <c r="C248" s="60"/>
      <c r="D248" s="60"/>
      <c r="E248" s="60"/>
      <c r="F248" s="8"/>
      <c r="G248" s="8"/>
      <c r="H248" s="8"/>
      <c r="I248" s="8"/>
      <c r="J248" s="8"/>
      <c r="K248" s="8"/>
      <c r="L248" s="8"/>
      <c r="M248" s="10"/>
    </row>
    <row r="249" customFormat="false" ht="15" hidden="false" customHeight="false" outlineLevel="0" collapsed="false">
      <c r="B249" s="167" t="s">
        <v>339</v>
      </c>
      <c r="C249" s="60"/>
      <c r="D249" s="60"/>
      <c r="E249" s="60"/>
      <c r="F249" s="8"/>
      <c r="G249" s="8"/>
      <c r="H249" s="8"/>
      <c r="I249" s="8"/>
      <c r="J249" s="8"/>
      <c r="K249" s="8"/>
      <c r="L249" s="8"/>
      <c r="M249" s="10"/>
    </row>
    <row r="250" customFormat="false" ht="15" hidden="false" customHeight="false" outlineLevel="0" collapsed="false">
      <c r="B250" s="167" t="s">
        <v>340</v>
      </c>
      <c r="C250" s="60"/>
      <c r="D250" s="60"/>
      <c r="E250" s="60"/>
      <c r="F250" s="8"/>
      <c r="G250" s="8"/>
      <c r="H250" s="8"/>
      <c r="I250" s="8"/>
      <c r="J250" s="8"/>
      <c r="K250" s="8"/>
      <c r="L250" s="8"/>
      <c r="M250" s="10"/>
    </row>
    <row r="251" customFormat="false" ht="15" hidden="false" customHeight="false" outlineLevel="0" collapsed="false">
      <c r="B251" s="167" t="s">
        <v>341</v>
      </c>
      <c r="C251" s="60"/>
      <c r="D251" s="60"/>
      <c r="E251" s="60"/>
      <c r="F251" s="8"/>
      <c r="G251" s="8"/>
      <c r="H251" s="8"/>
      <c r="I251" s="8"/>
      <c r="J251" s="8"/>
      <c r="K251" s="8"/>
      <c r="L251" s="8"/>
      <c r="M251" s="10"/>
    </row>
    <row r="252" customFormat="false" ht="15" hidden="false" customHeight="false" outlineLevel="0" collapsed="false">
      <c r="B252" s="7"/>
      <c r="C252" s="28" t="s">
        <v>192</v>
      </c>
      <c r="D252" s="12" t="str">
        <f aca="false">IF(Q152="","",Q152)</f>
        <v/>
      </c>
      <c r="E252" s="90"/>
      <c r="F252" s="90"/>
      <c r="G252" s="90"/>
      <c r="H252" s="90"/>
      <c r="I252" s="90"/>
      <c r="J252" s="90"/>
      <c r="K252" s="90"/>
      <c r="L252" s="8"/>
      <c r="M252" s="10"/>
    </row>
    <row r="253" customFormat="false" ht="15" hidden="false" customHeight="false" outlineLevel="0" collapsed="false">
      <c r="B253" s="7"/>
      <c r="C253" s="91" t="s">
        <v>194</v>
      </c>
      <c r="D253" s="8"/>
      <c r="E253" s="92" t="n">
        <f aca="false">LEN(D252)</f>
        <v>0</v>
      </c>
      <c r="F253" s="8"/>
      <c r="G253" s="8"/>
      <c r="H253" s="8"/>
      <c r="I253" s="8"/>
      <c r="J253" s="8"/>
      <c r="K253" s="8"/>
      <c r="L253" s="8"/>
      <c r="M253" s="10"/>
    </row>
    <row r="254" customFormat="false" ht="15" hidden="false" customHeight="false" outlineLevel="0" collapsed="false">
      <c r="B254" s="7"/>
      <c r="C254" s="28" t="s">
        <v>196</v>
      </c>
      <c r="D254" s="11"/>
      <c r="E254" s="90"/>
      <c r="F254" s="90"/>
      <c r="G254" s="90"/>
      <c r="H254" s="90"/>
      <c r="I254" s="90"/>
      <c r="J254" s="90"/>
      <c r="K254" s="90"/>
      <c r="L254" s="8"/>
      <c r="M254" s="10"/>
    </row>
    <row r="255" customFormat="false" ht="15" hidden="false" customHeight="false" outlineLevel="0" collapsed="false">
      <c r="B255" s="7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10"/>
    </row>
    <row r="256" customFormat="false" ht="15" hidden="false" customHeight="false" outlineLevel="0" collapsed="false">
      <c r="B256" s="43" t="s">
        <v>342</v>
      </c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10"/>
    </row>
    <row r="257" customFormat="false" ht="15" hidden="false" customHeight="false" outlineLevel="0" collapsed="false">
      <c r="B257" s="182" t="str">
        <f aca="false">IF(C257&lt;&gt;"",C257,IF(Q106="","",Q106))</f>
        <v/>
      </c>
      <c r="C257" s="11"/>
      <c r="D257" s="8" t="s">
        <v>343</v>
      </c>
      <c r="E257" s="8"/>
      <c r="F257" s="8"/>
      <c r="G257" s="8"/>
      <c r="H257" s="8"/>
      <c r="I257" s="8"/>
      <c r="J257" s="8"/>
      <c r="K257" s="8"/>
      <c r="L257" s="8"/>
      <c r="M257" s="10"/>
    </row>
    <row r="258" customFormat="false" ht="15" hidden="false" customHeight="false" outlineLevel="0" collapsed="false">
      <c r="B258" s="7"/>
      <c r="C258" s="13" t="s">
        <v>223</v>
      </c>
      <c r="D258" s="13" t="s">
        <v>344</v>
      </c>
      <c r="E258" s="13" t="s">
        <v>345</v>
      </c>
      <c r="F258" s="13" t="s">
        <v>10</v>
      </c>
      <c r="G258" s="8"/>
      <c r="H258" s="8"/>
      <c r="I258" s="13" t="s">
        <v>346</v>
      </c>
      <c r="J258" s="13" t="s">
        <v>326</v>
      </c>
      <c r="K258" s="13" t="s">
        <v>340</v>
      </c>
      <c r="L258" s="13" t="s">
        <v>347</v>
      </c>
      <c r="M258" s="10"/>
    </row>
    <row r="259" customFormat="false" ht="15" hidden="false" customHeight="false" outlineLevel="0" collapsed="false">
      <c r="B259" s="174" t="s">
        <v>348</v>
      </c>
      <c r="C259" s="183" t="str">
        <f aca="false">IF(OR(I259="",I260="",I263=""),"",(I259-I260)*I263)</f>
        <v/>
      </c>
      <c r="D259" s="144" t="str">
        <f aca="false">IF(OR(C259="",C260=""),"",(ABS(C259)+ABS(C260))/$B$257)</f>
        <v/>
      </c>
      <c r="E259" s="81" t="str">
        <f aca="false">IF(OR(D259="",D261=""),"",D259+D261)</f>
        <v/>
      </c>
      <c r="F259" s="184" t="str">
        <f aca="false">IF(Q107="","",Q107)</f>
        <v/>
      </c>
      <c r="G259" s="8"/>
      <c r="H259" s="28" t="s">
        <v>349</v>
      </c>
      <c r="I259" s="60"/>
      <c r="J259" s="60"/>
      <c r="K259" s="60"/>
      <c r="L259" s="60"/>
      <c r="M259" s="10"/>
    </row>
    <row r="260" customFormat="false" ht="15" hidden="false" customHeight="false" outlineLevel="0" collapsed="false">
      <c r="B260" s="174" t="s">
        <v>350</v>
      </c>
      <c r="C260" s="185" t="str">
        <f aca="false">IF(OR(J259="",J260="",I263=""),"",(J259-J260)*I263)</f>
        <v/>
      </c>
      <c r="D260" s="144"/>
      <c r="E260" s="81"/>
      <c r="F260" s="186" t="str">
        <f aca="false">IF(Q108="","",Q108)</f>
        <v/>
      </c>
      <c r="G260" s="8"/>
      <c r="H260" s="28" t="s">
        <v>351</v>
      </c>
      <c r="I260" s="60"/>
      <c r="J260" s="60"/>
      <c r="K260" s="60"/>
      <c r="L260" s="60"/>
      <c r="M260" s="10"/>
    </row>
    <row r="261" customFormat="false" ht="15" hidden="false" customHeight="false" outlineLevel="0" collapsed="false">
      <c r="B261" s="174" t="s">
        <v>172</v>
      </c>
      <c r="C261" s="185" t="str">
        <f aca="false">IF(OR(K259="",K260="",I263=""),"",(K259-K260)*I263)</f>
        <v/>
      </c>
      <c r="D261" s="149" t="str">
        <f aca="false">IF(OR(C261="",C262=""),"",(ABS(C261)+ABS(C262))/$B$257)</f>
        <v/>
      </c>
      <c r="E261" s="81"/>
      <c r="F261" s="186" t="str">
        <f aca="false">IF(Q109="","",Q109)</f>
        <v/>
      </c>
      <c r="G261" s="13" t="s">
        <v>261</v>
      </c>
      <c r="H261" s="28" t="s">
        <v>168</v>
      </c>
      <c r="I261" s="156" t="str">
        <f aca="false">B257</f>
        <v/>
      </c>
      <c r="J261" s="8"/>
      <c r="K261" s="8"/>
      <c r="L261" s="8"/>
      <c r="M261" s="10"/>
    </row>
    <row r="262" customFormat="false" ht="15" hidden="false" customHeight="false" outlineLevel="0" collapsed="false">
      <c r="B262" s="174" t="s">
        <v>174</v>
      </c>
      <c r="C262" s="187" t="str">
        <f aca="false">IF(OR(L259="",L260="",I263=""),"",(L259-L260)*I263)</f>
        <v/>
      </c>
      <c r="D262" s="149"/>
      <c r="E262" s="149"/>
      <c r="F262" s="188" t="str">
        <f aca="false">IF(Q110="","",Q110)</f>
        <v/>
      </c>
      <c r="G262" s="88" t="str">
        <f aca="false">IF(OR(D259="",D261="",E259=""),"",IF(OR(D259&gt;0.02,D261&gt;0.02,E259&gt;0.04),"NO","YES"))</f>
        <v/>
      </c>
      <c r="H262" s="28" t="s">
        <v>352</v>
      </c>
      <c r="I262" s="60"/>
      <c r="J262" s="8"/>
      <c r="K262" s="8"/>
      <c r="L262" s="8"/>
      <c r="M262" s="10"/>
    </row>
    <row r="263" customFormat="false" ht="15" hidden="false" customHeight="false" outlineLevel="0" collapsed="false">
      <c r="B263" s="142" t="s">
        <v>188</v>
      </c>
      <c r="C263" s="41" t="s">
        <v>353</v>
      </c>
      <c r="D263" s="8"/>
      <c r="E263" s="8"/>
      <c r="F263" s="8"/>
      <c r="G263" s="8"/>
      <c r="H263" s="28" t="s">
        <v>354</v>
      </c>
      <c r="I263" s="156" t="str">
        <f aca="false">IF(OR(I261="",I262=""),"",I261/I262)</f>
        <v/>
      </c>
      <c r="J263" s="8"/>
      <c r="K263" s="8"/>
      <c r="L263" s="8"/>
      <c r="M263" s="10"/>
    </row>
    <row r="264" customFormat="false" ht="15" hidden="false" customHeight="false" outlineLevel="0" collapsed="false">
      <c r="B264" s="7"/>
      <c r="C264" s="41" t="s">
        <v>355</v>
      </c>
      <c r="D264" s="8"/>
      <c r="E264" s="8"/>
      <c r="F264" s="8"/>
      <c r="G264" s="8"/>
      <c r="H264" s="8"/>
      <c r="I264" s="8"/>
      <c r="J264" s="8"/>
      <c r="K264" s="8"/>
      <c r="L264" s="8"/>
      <c r="M264" s="10"/>
    </row>
    <row r="265" customFormat="false" ht="15" hidden="false" customHeight="false" outlineLevel="0" collapsed="false">
      <c r="B265" s="7"/>
      <c r="C265" s="28" t="s">
        <v>192</v>
      </c>
      <c r="D265" s="12"/>
      <c r="E265" s="90"/>
      <c r="F265" s="90"/>
      <c r="G265" s="90"/>
      <c r="H265" s="90"/>
      <c r="I265" s="90"/>
      <c r="J265" s="90"/>
      <c r="K265" s="90"/>
      <c r="L265" s="8"/>
      <c r="M265" s="10"/>
    </row>
    <row r="266" customFormat="false" ht="15" hidden="false" customHeight="false" outlineLevel="0" collapsed="false">
      <c r="B266" s="7"/>
      <c r="C266" s="91" t="s">
        <v>194</v>
      </c>
      <c r="D266" s="8"/>
      <c r="E266" s="92" t="n">
        <f aca="false">LEN(D265)</f>
        <v>0</v>
      </c>
      <c r="F266" s="8"/>
      <c r="G266" s="8"/>
      <c r="H266" s="8"/>
      <c r="I266" s="8"/>
      <c r="J266" s="8"/>
      <c r="K266" s="8"/>
      <c r="L266" s="8"/>
      <c r="M266" s="10"/>
    </row>
    <row r="267" customFormat="false" ht="15" hidden="false" customHeight="false" outlineLevel="0" collapsed="false">
      <c r="B267" s="7"/>
      <c r="C267" s="28" t="s">
        <v>196</v>
      </c>
      <c r="D267" s="11" t="str">
        <f aca="false">IF(Q153="","",Q153)</f>
        <v/>
      </c>
      <c r="E267" s="90"/>
      <c r="F267" s="90"/>
      <c r="G267" s="90"/>
      <c r="H267" s="90"/>
      <c r="I267" s="90"/>
      <c r="J267" s="90"/>
      <c r="K267" s="90"/>
      <c r="L267" s="8"/>
      <c r="M267" s="10"/>
    </row>
    <row r="268" customFormat="false" ht="15" hidden="false" customHeight="false" outlineLevel="0" collapsed="false">
      <c r="B268" s="15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8"/>
    </row>
    <row r="269" customFormat="false" ht="15" hidden="false" customHeight="false" outlineLevel="0" collapsed="false">
      <c r="B269" s="189" t="s">
        <v>356</v>
      </c>
    </row>
    <row r="270" customFormat="false" ht="15" hidden="false" customHeight="false" outlineLevel="0" collapsed="false">
      <c r="B270" s="189" t="s">
        <v>357</v>
      </c>
    </row>
    <row r="271" customFormat="false" ht="15" hidden="false" customHeight="false" outlineLevel="0" collapsed="false">
      <c r="D271" s="2" t="s">
        <v>358</v>
      </c>
      <c r="E271" s="2" t="s">
        <v>359</v>
      </c>
      <c r="F271" s="2" t="s">
        <v>360</v>
      </c>
      <c r="G271" s="2"/>
      <c r="H271" s="2"/>
      <c r="I271" s="2"/>
      <c r="J271" s="190"/>
    </row>
    <row r="272" customFormat="false" ht="15" hidden="false" customHeight="false" outlineLevel="0" collapsed="false">
      <c r="C272" s="14" t="s">
        <v>244</v>
      </c>
      <c r="D272" s="191" t="str">
        <f aca="false">IF(G272&lt;&gt;"",G272,IF(Q157="","",Q157))</f>
        <v/>
      </c>
      <c r="E272" s="191" t="str">
        <f aca="false">IF(H272&lt;&gt;"",H272,IF(Q170="","",Q170))</f>
        <v/>
      </c>
      <c r="F272" s="191" t="str">
        <f aca="false">IF(I272&lt;&gt;"",I272,IF(Q183="","",Q183))</f>
        <v/>
      </c>
      <c r="G272" s="192"/>
      <c r="H272" s="192"/>
      <c r="I272" s="192"/>
      <c r="J272" s="190"/>
    </row>
    <row r="273" s="1" customFormat="true" ht="15" hidden="false" customHeight="false" outlineLevel="0" collapsed="false">
      <c r="B273" s="190"/>
      <c r="C273" s="14" t="s">
        <v>152</v>
      </c>
      <c r="D273" s="191" t="str">
        <f aca="false">IF(G273&lt;&gt;"",G273,IF(Q158="","",Q158))</f>
        <v/>
      </c>
      <c r="E273" s="191" t="str">
        <f aca="false">IF(H273&lt;&gt;"",H273,IF(Q171="","",Q171))</f>
        <v/>
      </c>
      <c r="F273" s="191" t="str">
        <f aca="false">IF(I273&lt;&gt;"",I273,IF(Q184="","",Q184))</f>
        <v/>
      </c>
      <c r="G273" s="192"/>
      <c r="H273" s="192"/>
      <c r="I273" s="192"/>
      <c r="J273" s="190"/>
      <c r="K273" s="190"/>
      <c r="L273" s="190"/>
      <c r="M273" s="190"/>
      <c r="R273" s="190"/>
      <c r="S273" s="190"/>
      <c r="T273" s="190"/>
      <c r="U273" s="190"/>
      <c r="V273" s="190"/>
      <c r="W273" s="190"/>
      <c r="X273" s="190"/>
    </row>
    <row r="274" s="1" customFormat="true" ht="15" hidden="false" customHeight="false" outlineLevel="0" collapsed="false">
      <c r="B274" s="190"/>
      <c r="C274" s="14" t="s">
        <v>111</v>
      </c>
      <c r="D274" s="191" t="str">
        <f aca="false">IF(G274&lt;&gt;"",G274,IF(Q159="","",Q159))</f>
        <v/>
      </c>
      <c r="E274" s="191" t="str">
        <f aca="false">IF(H274&lt;&gt;"",H274,IF(Q172="","",Q172))</f>
        <v/>
      </c>
      <c r="F274" s="191" t="str">
        <f aca="false">IF(I274&lt;&gt;"",I274,IF(Q185="","",Q185))</f>
        <v/>
      </c>
      <c r="G274" s="192"/>
      <c r="H274" s="192"/>
      <c r="I274" s="192"/>
      <c r="J274" s="190"/>
      <c r="K274" s="190"/>
      <c r="L274" s="190"/>
      <c r="M274" s="190"/>
      <c r="R274" s="190"/>
      <c r="S274" s="190"/>
      <c r="T274" s="190"/>
      <c r="U274" s="190"/>
      <c r="V274" s="190"/>
      <c r="W274" s="190"/>
      <c r="X274" s="190"/>
    </row>
    <row r="275" s="1" customFormat="true" ht="15" hidden="false" customHeight="false" outlineLevel="0" collapsed="false">
      <c r="B275" s="190"/>
      <c r="C275" s="14" t="s">
        <v>247</v>
      </c>
      <c r="D275" s="191" t="str">
        <f aca="false">IF(G275&lt;&gt;"",G275,IF(Q160="","",Q160))</f>
        <v/>
      </c>
      <c r="E275" s="191" t="str">
        <f aca="false">IF(H275&lt;&gt;"",H275,IF(Q173="","",Q173))</f>
        <v/>
      </c>
      <c r="F275" s="191" t="str">
        <f aca="false">IF(I275&lt;&gt;"",I275,IF(Q186="","",Q186))</f>
        <v/>
      </c>
      <c r="G275" s="192"/>
      <c r="H275" s="192"/>
      <c r="I275" s="192"/>
      <c r="J275" s="190"/>
      <c r="K275" s="190"/>
      <c r="L275" s="190"/>
      <c r="M275" s="190"/>
      <c r="R275" s="190"/>
      <c r="S275" s="190"/>
      <c r="T275" s="190"/>
      <c r="U275" s="190"/>
      <c r="V275" s="190"/>
      <c r="W275" s="190"/>
      <c r="X275" s="190"/>
    </row>
    <row r="276" s="1" customFormat="true" ht="15" hidden="false" customHeight="false" outlineLevel="0" collapsed="false">
      <c r="B276" s="190"/>
      <c r="C276" s="14" t="s">
        <v>248</v>
      </c>
      <c r="D276" s="191" t="str">
        <f aca="false">IF(G276&lt;&gt;"",G276,IF(Q161="","",Q161))</f>
        <v/>
      </c>
      <c r="E276" s="191" t="str">
        <f aca="false">IF(H276&lt;&gt;"",H276,IF(Q174="","",Q174))</f>
        <v/>
      </c>
      <c r="F276" s="191" t="str">
        <f aca="false">IF(I276&lt;&gt;"",I276,IF(Q187="","",Q187))</f>
        <v/>
      </c>
      <c r="G276" s="192"/>
      <c r="H276" s="192"/>
      <c r="I276" s="192"/>
      <c r="J276" s="190"/>
      <c r="K276" s="190"/>
      <c r="L276" s="190"/>
      <c r="M276" s="190"/>
      <c r="R276" s="190"/>
      <c r="S276" s="190"/>
      <c r="T276" s="190"/>
      <c r="U276" s="190"/>
      <c r="V276" s="190"/>
      <c r="W276" s="190"/>
      <c r="X276" s="190"/>
    </row>
    <row r="277" s="1" customFormat="true" ht="15" hidden="false" customHeight="false" outlineLevel="0" collapsed="false">
      <c r="B277" s="190"/>
      <c r="C277" s="14" t="s">
        <v>249</v>
      </c>
      <c r="D277" s="191" t="str">
        <f aca="false">IF(G277&lt;&gt;"",G277,IF(Q162="","",Q162))</f>
        <v/>
      </c>
      <c r="E277" s="191" t="str">
        <f aca="false">IF(H277&lt;&gt;"",H277,IF(Q175="","",Q175))</f>
        <v/>
      </c>
      <c r="F277" s="191" t="str">
        <f aca="false">IF(I277&lt;&gt;"",I277,IF(Q188="","",Q188))</f>
        <v/>
      </c>
      <c r="G277" s="192"/>
      <c r="H277" s="192"/>
      <c r="I277" s="192"/>
      <c r="J277" s="190"/>
      <c r="K277" s="190"/>
      <c r="L277" s="190"/>
      <c r="M277" s="190"/>
      <c r="R277" s="190"/>
      <c r="S277" s="190"/>
      <c r="T277" s="190"/>
      <c r="U277" s="190"/>
      <c r="V277" s="190"/>
      <c r="W277" s="190"/>
      <c r="X277" s="190"/>
    </row>
    <row r="278" s="1" customFormat="true" ht="15" hidden="false" customHeight="false" outlineLevel="0" collapsed="false">
      <c r="B278" s="190"/>
      <c r="C278" s="14" t="s">
        <v>361</v>
      </c>
      <c r="D278" s="191" t="str">
        <f aca="false">IF(G278&lt;&gt;"",G278,IF(Q168="","",Q168))</f>
        <v/>
      </c>
      <c r="E278" s="191" t="str">
        <f aca="false">IF(H278&lt;&gt;"",H278,IF(Q181="","",Q181))</f>
        <v/>
      </c>
      <c r="F278" s="191" t="str">
        <f aca="false">IF(I278&lt;&gt;"",I278,IF(Q194="","",Q194))</f>
        <v/>
      </c>
      <c r="G278" s="192"/>
      <c r="H278" s="192"/>
      <c r="I278" s="192"/>
      <c r="J278" s="190"/>
      <c r="K278" s="190"/>
      <c r="L278" s="190"/>
      <c r="M278" s="190"/>
      <c r="R278" s="190"/>
      <c r="S278" s="190"/>
      <c r="T278" s="190"/>
      <c r="U278" s="190"/>
      <c r="V278" s="190"/>
      <c r="W278" s="190"/>
      <c r="X278" s="190"/>
    </row>
    <row r="279" s="1" customFormat="true" ht="15" hidden="false" customHeight="false" outlineLevel="0" collapsed="false">
      <c r="B279" s="190"/>
      <c r="C279" s="14"/>
      <c r="D279" s="0" t="str">
        <f aca="false">IF(G279&lt;&gt;"",G279,IF(Q164="","",Q164))</f>
        <v/>
      </c>
      <c r="E279" s="0" t="str">
        <f aca="false">IF(H279&lt;&gt;"",H279,IF(Q177="","",Q177))</f>
        <v/>
      </c>
      <c r="F279" s="0" t="str">
        <f aca="false">IF(I279&lt;&gt;"",I279,IF(Q190="","",Q190))</f>
        <v/>
      </c>
      <c r="G279" s="0"/>
      <c r="H279" s="0"/>
      <c r="I279" s="0"/>
      <c r="J279" s="190"/>
      <c r="K279" s="190"/>
      <c r="L279" s="190"/>
      <c r="M279" s="190"/>
      <c r="R279" s="190"/>
      <c r="S279" s="190"/>
      <c r="T279" s="190"/>
      <c r="U279" s="190"/>
      <c r="V279" s="190"/>
      <c r="W279" s="190"/>
      <c r="X279" s="190"/>
    </row>
    <row r="280" s="1" customFormat="true" ht="15" hidden="false" customHeight="false" outlineLevel="0" collapsed="false">
      <c r="B280" s="190"/>
      <c r="C280" s="14"/>
      <c r="D280" s="0" t="str">
        <f aca="false">IF(G280&lt;&gt;"",G280,IF(Q165="","",Q165))</f>
        <v/>
      </c>
      <c r="E280" s="0" t="str">
        <f aca="false">IF(H280&lt;&gt;"",H280,IF(Q178="","",Q178))</f>
        <v/>
      </c>
      <c r="F280" s="0" t="str">
        <f aca="false">IF(I280&lt;&gt;"",I280,IF(Q191="","",Q191))</f>
        <v/>
      </c>
      <c r="G280" s="0"/>
      <c r="H280" s="0"/>
      <c r="I280" s="0"/>
      <c r="J280" s="190"/>
      <c r="K280" s="190"/>
      <c r="L280" s="190"/>
      <c r="M280" s="190"/>
      <c r="R280" s="190"/>
      <c r="S280" s="190"/>
      <c r="T280" s="190"/>
      <c r="U280" s="190"/>
      <c r="V280" s="190"/>
      <c r="W280" s="190"/>
      <c r="X280" s="190"/>
    </row>
    <row r="281" s="1" customFormat="true" ht="15" hidden="false" customHeight="false" outlineLevel="0" collapsed="false">
      <c r="B281" s="190"/>
      <c r="C281" s="190"/>
      <c r="D281" s="14" t="s">
        <v>362</v>
      </c>
      <c r="E281" s="193" t="str">
        <f aca="false">IF(D272="","",D272)</f>
        <v/>
      </c>
      <c r="F281" s="193" t="str">
        <f aca="false">IF(E272="","",E272)</f>
        <v/>
      </c>
      <c r="G281" s="193" t="str">
        <f aca="false">IF(F272="","",F272)</f>
        <v/>
      </c>
      <c r="H281" s="190"/>
      <c r="I281" s="14" t="s">
        <v>363</v>
      </c>
      <c r="J281" s="11" t="s">
        <v>286</v>
      </c>
      <c r="L281" s="14" t="s">
        <v>287</v>
      </c>
      <c r="M281" s="11"/>
    </row>
    <row r="282" s="1" customFormat="true" ht="15" hidden="false" customHeight="false" outlineLevel="0" collapsed="false">
      <c r="B282" s="190"/>
      <c r="C282" s="190"/>
      <c r="D282" s="14" t="s">
        <v>364</v>
      </c>
      <c r="E282" s="128" t="str">
        <f aca="false">IF(D278="","",D278)</f>
        <v/>
      </c>
      <c r="F282" s="128" t="str">
        <f aca="false">IF(E278="","",E278)</f>
        <v/>
      </c>
      <c r="G282" s="128" t="str">
        <f aca="false">IF(F278="","",F278)</f>
        <v/>
      </c>
      <c r="H282" s="190"/>
      <c r="I282" s="14" t="s">
        <v>365</v>
      </c>
      <c r="J282" s="194"/>
      <c r="L282" s="14" t="s">
        <v>289</v>
      </c>
      <c r="M282" s="194"/>
      <c r="Q282" s="189" t="s">
        <v>283</v>
      </c>
    </row>
    <row r="283" s="1" customFormat="true" ht="15" hidden="false" customHeight="false" outlineLevel="0" collapsed="false">
      <c r="B283" s="190"/>
      <c r="C283" s="190"/>
      <c r="D283" s="14" t="s">
        <v>366</v>
      </c>
      <c r="E283" s="195"/>
      <c r="F283" s="195"/>
      <c r="G283" s="195"/>
      <c r="H283" s="190"/>
      <c r="I283" s="196" t="s">
        <v>367</v>
      </c>
      <c r="J283" s="194"/>
      <c r="K283" s="190"/>
      <c r="L283" s="190"/>
      <c r="M283" s="190"/>
      <c r="R283" s="14" t="s">
        <v>368</v>
      </c>
      <c r="S283" s="194"/>
      <c r="X283" s="190"/>
      <c r="Y283" s="190"/>
      <c r="Z283" s="190"/>
      <c r="AA283" s="190"/>
      <c r="AB283" s="190"/>
    </row>
    <row r="284" s="1" customFormat="true" ht="15" hidden="false" customHeight="false" outlineLevel="0" collapsed="false">
      <c r="B284" s="190"/>
      <c r="C284" s="190"/>
      <c r="D284" s="14" t="s">
        <v>369</v>
      </c>
      <c r="E284" s="195"/>
      <c r="F284" s="195"/>
      <c r="G284" s="195"/>
      <c r="H284" s="190"/>
      <c r="I284" s="196" t="s">
        <v>370</v>
      </c>
      <c r="J284" s="194"/>
      <c r="K284" s="190"/>
      <c r="L284" s="190"/>
      <c r="M284" s="190"/>
      <c r="R284" s="14" t="s">
        <v>371</v>
      </c>
      <c r="S284" s="194"/>
      <c r="X284" s="190"/>
      <c r="Y284" s="190"/>
      <c r="Z284" s="190"/>
      <c r="AA284" s="190"/>
      <c r="AB284" s="190"/>
    </row>
    <row r="285" s="1" customFormat="true" ht="15" hidden="false" customHeight="true" outlineLevel="0" collapsed="false">
      <c r="B285" s="190"/>
      <c r="C285" s="197" t="s">
        <v>372</v>
      </c>
      <c r="D285" s="196" t="s">
        <v>373</v>
      </c>
      <c r="E285" s="60"/>
      <c r="F285" s="60"/>
      <c r="G285" s="60"/>
      <c r="H285" s="190"/>
      <c r="I285" s="190"/>
      <c r="J285" s="190"/>
      <c r="K285" s="190"/>
      <c r="L285" s="190"/>
      <c r="M285" s="190"/>
      <c r="R285" s="14" t="s">
        <v>374</v>
      </c>
      <c r="S285" s="194"/>
    </row>
    <row r="286" s="1" customFormat="true" ht="15" hidden="false" customHeight="false" outlineLevel="0" collapsed="false">
      <c r="B286" s="190"/>
      <c r="C286" s="197"/>
      <c r="D286" s="196" t="s">
        <v>348</v>
      </c>
      <c r="E286" s="60"/>
      <c r="F286" s="60"/>
      <c r="G286" s="60"/>
      <c r="H286" s="190"/>
      <c r="I286" s="190"/>
      <c r="J286" s="190"/>
      <c r="K286" s="190"/>
      <c r="L286" s="190"/>
      <c r="M286" s="190"/>
      <c r="R286" s="190"/>
      <c r="S286" s="190"/>
      <c r="T286" s="190"/>
      <c r="U286" s="190"/>
      <c r="Z286" s="1" t="s">
        <v>375</v>
      </c>
      <c r="AA286" s="1" t="s">
        <v>376</v>
      </c>
    </row>
    <row r="287" s="1" customFormat="true" ht="15" hidden="false" customHeight="false" outlineLevel="0" collapsed="false">
      <c r="B287" s="190"/>
      <c r="C287" s="197"/>
      <c r="D287" s="196" t="s">
        <v>172</v>
      </c>
      <c r="E287" s="60"/>
      <c r="F287" s="60"/>
      <c r="G287" s="60"/>
      <c r="H287" s="190"/>
      <c r="I287" s="190" t="s">
        <v>377</v>
      </c>
      <c r="J287" s="190"/>
      <c r="K287" s="190"/>
      <c r="L287" s="190"/>
      <c r="M287" s="190"/>
      <c r="R287" s="190"/>
      <c r="S287" s="190"/>
      <c r="T287" s="190"/>
      <c r="U287" s="190"/>
      <c r="Z287" s="1" t="s">
        <v>295</v>
      </c>
      <c r="AA287" s="1" t="s">
        <v>295</v>
      </c>
    </row>
    <row r="288" s="1" customFormat="true" ht="15.75" hidden="false" customHeight="true" outlineLevel="0" collapsed="false">
      <c r="B288" s="190"/>
      <c r="C288" s="197"/>
      <c r="D288" s="196" t="s">
        <v>174</v>
      </c>
      <c r="E288" s="60"/>
      <c r="F288" s="60"/>
      <c r="G288" s="60"/>
      <c r="H288" s="190"/>
      <c r="I288" s="190"/>
      <c r="J288" s="190"/>
      <c r="K288" s="190"/>
      <c r="L288" s="190"/>
      <c r="M288" s="190"/>
      <c r="R288" s="198" t="s">
        <v>378</v>
      </c>
      <c r="S288" s="195"/>
      <c r="T288" s="195"/>
      <c r="U288" s="195"/>
      <c r="Y288" s="14" t="s">
        <v>379</v>
      </c>
      <c r="Z288" s="1" t="n">
        <v>25</v>
      </c>
      <c r="AA288" s="1" t="n">
        <v>30</v>
      </c>
    </row>
    <row r="289" s="1" customFormat="true" ht="15.75" hidden="false" customHeight="true" outlineLevel="0" collapsed="false">
      <c r="B289" s="190"/>
      <c r="C289" s="197"/>
      <c r="D289" s="196" t="s">
        <v>350</v>
      </c>
      <c r="E289" s="60"/>
      <c r="F289" s="60"/>
      <c r="G289" s="60"/>
      <c r="H289" s="190"/>
      <c r="I289" s="190"/>
      <c r="J289" s="190"/>
      <c r="K289" s="190"/>
      <c r="L289" s="190"/>
      <c r="M289" s="190"/>
      <c r="R289" s="198"/>
      <c r="S289" s="195"/>
      <c r="T289" s="195"/>
      <c r="U289" s="195"/>
      <c r="Y289" s="14" t="s">
        <v>380</v>
      </c>
      <c r="Z289" s="1" t="n">
        <v>75</v>
      </c>
      <c r="AA289" s="1" t="n">
        <v>80</v>
      </c>
    </row>
    <row r="290" s="1" customFormat="true" ht="15" hidden="false" customHeight="false" outlineLevel="0" collapsed="false">
      <c r="B290" s="190"/>
      <c r="C290" s="190"/>
      <c r="D290" s="196" t="s">
        <v>381</v>
      </c>
      <c r="E290" s="199" t="str">
        <f aca="false">IF(E285="","",E285/3+(2/3)*AVERAGE(E286:E289))</f>
        <v/>
      </c>
      <c r="F290" s="199" t="str">
        <f aca="false">IF(F285="","",F285/3+(2/3)*AVERAGE(F286:F289))</f>
        <v/>
      </c>
      <c r="G290" s="199" t="str">
        <f aca="false">IF(G285="","",G285/3+(2/3)*AVERAGE(G286:G289))</f>
        <v/>
      </c>
      <c r="H290" s="190"/>
      <c r="I290" s="190"/>
      <c r="J290" s="190"/>
      <c r="K290" s="190"/>
      <c r="L290" s="190"/>
      <c r="M290" s="190"/>
      <c r="R290" s="198"/>
      <c r="S290" s="195"/>
      <c r="T290" s="195"/>
      <c r="U290" s="195"/>
      <c r="Y290" s="14" t="s">
        <v>382</v>
      </c>
      <c r="Z290" s="1" t="n">
        <v>15</v>
      </c>
      <c r="AA290" s="1" t="n">
        <v>20</v>
      </c>
    </row>
    <row r="291" s="1" customFormat="true" ht="15" hidden="false" customHeight="false" outlineLevel="0" collapsed="false">
      <c r="B291" s="190"/>
      <c r="C291" s="190"/>
      <c r="D291" s="14" t="s">
        <v>383</v>
      </c>
      <c r="E291" s="200" t="str">
        <f aca="false">IF(Q196="","",Q196)</f>
        <v/>
      </c>
      <c r="F291" s="200" t="str">
        <f aca="false">IF(Q197="","",Q197)</f>
        <v/>
      </c>
      <c r="G291" s="200" t="str">
        <f aca="false">IF(Q198="","",Q198)</f>
        <v/>
      </c>
      <c r="H291" s="190"/>
      <c r="I291" s="190"/>
      <c r="J291" s="190"/>
      <c r="K291" s="190"/>
      <c r="L291" s="190"/>
      <c r="M291" s="190"/>
      <c r="R291" s="14" t="s">
        <v>384</v>
      </c>
      <c r="S291" s="128" t="str">
        <f aca="false">IF(S288="","",$S$284*$S$285*AVERAGE(S288:S290)/($D$276*$D$277))</f>
        <v/>
      </c>
      <c r="T291" s="128" t="str">
        <f aca="false">IF(T288="","",$S$284*$S$285*AVERAGE(T288:T290)/($D$276*$D$277))</f>
        <v/>
      </c>
      <c r="U291" s="128" t="str">
        <f aca="false">IF(U288="","",$S$284*$S$285*AVERAGE(U288:U290)/($D$276*$D$277))</f>
        <v/>
      </c>
      <c r="Y291" s="14" t="s">
        <v>385</v>
      </c>
      <c r="Z291" s="1" t="n">
        <v>7.5</v>
      </c>
      <c r="AA291" s="1" t="n">
        <v>10</v>
      </c>
    </row>
    <row r="292" s="1" customFormat="true" ht="15.75" hidden="false" customHeight="true" outlineLevel="0" collapsed="false">
      <c r="B292" s="190"/>
      <c r="C292" s="190"/>
      <c r="D292" s="14" t="s">
        <v>386</v>
      </c>
      <c r="E292" s="128" t="str">
        <f aca="false">IF(OR(E291="",S296=""),"",ABS(S296-E291)/E291)</f>
        <v/>
      </c>
      <c r="F292" s="128" t="str">
        <f aca="false">IF(OR(F291="",T296=""),"",ABS(T296-F291)/F291)</f>
        <v/>
      </c>
      <c r="G292" s="128" t="str">
        <f aca="false">IF(OR(G291="",U296=""),"",ABS(U296-G291)/G291)</f>
        <v/>
      </c>
      <c r="H292" s="190"/>
      <c r="I292" s="190"/>
      <c r="J292" s="190"/>
      <c r="K292" s="190"/>
      <c r="L292" s="190"/>
      <c r="M292" s="190"/>
      <c r="R292" s="198" t="s">
        <v>387</v>
      </c>
      <c r="S292" s="195"/>
      <c r="T292" s="195"/>
      <c r="U292" s="195"/>
      <c r="Y292" s="14" t="s">
        <v>388</v>
      </c>
      <c r="Z292" s="1" t="n">
        <v>35</v>
      </c>
      <c r="AA292" s="1" t="n">
        <v>40</v>
      </c>
    </row>
    <row r="293" s="1" customFormat="true" ht="15.75" hidden="false" customHeight="true" outlineLevel="0" collapsed="false">
      <c r="B293" s="190"/>
      <c r="C293" s="190"/>
      <c r="D293" s="14" t="s">
        <v>389</v>
      </c>
      <c r="E293" s="128" t="str">
        <f aca="false">IF(OR(E282="",S296=""),"",ABS(S296-E282)/E282)</f>
        <v/>
      </c>
      <c r="F293" s="128" t="str">
        <f aca="false">IF(OR(F282="",T296=""),"",ABS(T296-F282)/F282)</f>
        <v/>
      </c>
      <c r="G293" s="128" t="str">
        <f aca="false">IF(OR(G282="",U296=""),"",ABS(U296-G282)/G282)</f>
        <v/>
      </c>
      <c r="H293" s="190"/>
      <c r="I293" s="190"/>
      <c r="J293" s="190"/>
      <c r="K293" s="190"/>
      <c r="L293" s="190"/>
      <c r="M293" s="190"/>
      <c r="R293" s="198"/>
      <c r="S293" s="195"/>
      <c r="T293" s="195"/>
      <c r="U293" s="195"/>
    </row>
    <row r="294" s="1" customFormat="true" ht="15" hidden="false" customHeight="false" outlineLevel="0" collapsed="false">
      <c r="B294" s="190"/>
      <c r="C294" s="190"/>
      <c r="D294" s="14" t="s">
        <v>178</v>
      </c>
      <c r="E294" s="128" t="str">
        <f aca="false">IF(S296="","",IF(AND(S296&lt;=AA288),"Pass","Fail"))</f>
        <v/>
      </c>
      <c r="F294" s="128" t="str">
        <f aca="false">IF(T296="","",IF(AND(T296&lt;=AA289,F292&lt;=0.052),"Pass","Fail"))</f>
        <v/>
      </c>
      <c r="G294" s="128" t="str">
        <f aca="false">IF(U296="","",IF(AND(U296&lt;=AA288,G292&lt;=0.05),"Pass","Fail"))</f>
        <v/>
      </c>
      <c r="H294" s="190"/>
      <c r="I294" s="190"/>
      <c r="J294" s="190"/>
      <c r="K294" s="190"/>
      <c r="L294" s="190"/>
      <c r="M294" s="190"/>
      <c r="R294" s="198"/>
      <c r="S294" s="195"/>
      <c r="T294" s="195"/>
      <c r="U294" s="195"/>
    </row>
    <row r="295" s="1" customFormat="true" ht="15" hidden="false" customHeight="false" outlineLevel="0" collapsed="false">
      <c r="B295" s="190"/>
      <c r="C295" s="190"/>
      <c r="D295" s="190"/>
      <c r="E295" s="190"/>
      <c r="F295" s="190"/>
      <c r="G295" s="190"/>
      <c r="H295" s="190"/>
      <c r="I295" s="190"/>
      <c r="J295" s="190"/>
      <c r="K295" s="190"/>
      <c r="L295" s="190"/>
      <c r="M295" s="190"/>
      <c r="R295" s="14" t="s">
        <v>390</v>
      </c>
      <c r="S295" s="128" t="str">
        <f aca="false">IF(S292="","",$S$284*$S$285*AVERAGE(S292:S294)/($D$276*$D$277))</f>
        <v/>
      </c>
      <c r="T295" s="128" t="str">
        <f aca="false">IF(T292="","",$S$284*$S$285*AVERAGE(T292:T294)/($D$276*$D$277))</f>
        <v/>
      </c>
      <c r="U295" s="128" t="str">
        <f aca="false">IF(U292="","",$S$284*$S$285*AVERAGE(U292:U294)/($D$276*$D$277))</f>
        <v/>
      </c>
    </row>
    <row r="296" s="1" customFormat="true" ht="15" hidden="false" customHeight="false" outlineLevel="0" collapsed="false">
      <c r="B296" s="190"/>
      <c r="C296" s="190"/>
      <c r="D296" s="190"/>
      <c r="E296" s="190"/>
      <c r="F296" s="190"/>
      <c r="G296" s="190"/>
      <c r="H296" s="190"/>
      <c r="I296" s="190"/>
      <c r="J296" s="190"/>
      <c r="K296" s="190"/>
      <c r="L296" s="190"/>
      <c r="M296" s="190"/>
      <c r="R296" s="14" t="s">
        <v>391</v>
      </c>
      <c r="S296" s="128" t="str">
        <f aca="false">IF(OR(S291="",S295=""),"",(2/3)*S295+(1/3)*S291)</f>
        <v/>
      </c>
      <c r="T296" s="128" t="str">
        <f aca="false">IF(OR(T291="",T295=""),"",(2/3)*T295+(1/3)*T291)</f>
        <v/>
      </c>
      <c r="U296" s="128" t="str">
        <f aca="false">IF(OR(U291="",U295=""),"",(2/3)*U295+(1/3)*U291)</f>
        <v/>
      </c>
    </row>
    <row r="297" s="1" customFormat="true" ht="15" hidden="false" customHeight="false" outlineLevel="0" collapsed="false">
      <c r="B297" s="201" t="s">
        <v>392</v>
      </c>
      <c r="C297" s="190"/>
      <c r="D297" s="190"/>
      <c r="E297" s="190"/>
      <c r="F297" s="190"/>
      <c r="G297" s="190"/>
      <c r="H297" s="190"/>
      <c r="I297" s="190"/>
      <c r="J297" s="190"/>
      <c r="K297" s="190"/>
      <c r="L297" s="190"/>
      <c r="M297" s="190"/>
      <c r="R297" s="190"/>
      <c r="S297" s="190"/>
      <c r="T297" s="190"/>
      <c r="U297" s="190"/>
    </row>
    <row r="298" s="1" customFormat="true" ht="15" hidden="false" customHeight="false" outlineLevel="0" collapsed="false">
      <c r="B298" s="190"/>
      <c r="C298" s="190"/>
      <c r="D298" s="14" t="s">
        <v>362</v>
      </c>
      <c r="E298" s="193" t="str">
        <f aca="false">IF(D272="","",D272)</f>
        <v/>
      </c>
      <c r="F298" s="193" t="str">
        <f aca="false">IF(E272="","",E272)</f>
        <v/>
      </c>
      <c r="G298" s="193" t="str">
        <f aca="false">IF(F272="","",F272)</f>
        <v/>
      </c>
      <c r="H298" s="190"/>
      <c r="I298" s="190"/>
      <c r="J298" s="190"/>
      <c r="K298" s="190"/>
      <c r="L298" s="190"/>
      <c r="M298" s="190"/>
      <c r="R298" s="190"/>
      <c r="S298" s="190"/>
      <c r="T298" s="190"/>
      <c r="U298" s="190"/>
    </row>
    <row r="299" s="1" customFormat="true" ht="15" hidden="false" customHeight="false" outlineLevel="0" collapsed="false">
      <c r="B299" s="190"/>
      <c r="C299" s="190"/>
      <c r="D299" s="196" t="s">
        <v>393</v>
      </c>
      <c r="E299" s="60"/>
      <c r="F299" s="60"/>
      <c r="G299" s="60"/>
      <c r="H299" s="190"/>
      <c r="I299" s="190" t="s">
        <v>394</v>
      </c>
      <c r="J299" s="190"/>
      <c r="K299" s="190"/>
      <c r="L299" s="190"/>
      <c r="M299" s="190"/>
      <c r="R299" s="190"/>
      <c r="S299" s="190"/>
      <c r="T299" s="190"/>
      <c r="U299" s="190"/>
    </row>
    <row r="300" s="1" customFormat="true" ht="15" hidden="false" customHeight="false" outlineLevel="0" collapsed="false">
      <c r="B300" s="190"/>
      <c r="C300" s="190"/>
      <c r="D300" s="202" t="s">
        <v>395</v>
      </c>
      <c r="E300" s="60"/>
      <c r="F300" s="60"/>
      <c r="G300" s="60"/>
      <c r="H300" s="190"/>
      <c r="I300" s="190"/>
      <c r="J300" s="190"/>
      <c r="K300" s="190"/>
      <c r="L300" s="190"/>
      <c r="M300" s="190"/>
      <c r="R300" s="190"/>
      <c r="S300" s="190"/>
      <c r="T300" s="190"/>
      <c r="U300" s="190"/>
    </row>
    <row r="301" s="1" customFormat="true" ht="15" hidden="false" customHeight="false" outlineLevel="0" collapsed="false">
      <c r="B301" s="190"/>
      <c r="C301" s="190"/>
      <c r="D301" s="202"/>
      <c r="E301" s="60"/>
      <c r="F301" s="60"/>
      <c r="G301" s="60"/>
      <c r="H301" s="190"/>
      <c r="I301" s="190"/>
      <c r="J301" s="190"/>
      <c r="K301" s="190"/>
      <c r="L301" s="190"/>
      <c r="M301" s="190"/>
      <c r="R301" s="190"/>
      <c r="S301" s="190"/>
      <c r="T301" s="190"/>
      <c r="U301" s="190"/>
    </row>
    <row r="302" s="1" customFormat="true" ht="15" hidden="false" customHeight="false" outlineLevel="0" collapsed="false">
      <c r="B302" s="190"/>
      <c r="C302" s="190"/>
      <c r="D302" s="202"/>
      <c r="E302" s="60"/>
      <c r="F302" s="60"/>
      <c r="G302" s="60"/>
      <c r="H302" s="190"/>
      <c r="I302" s="190"/>
      <c r="J302" s="190"/>
      <c r="K302" s="190"/>
      <c r="L302" s="190"/>
      <c r="M302" s="190"/>
      <c r="R302" s="190"/>
      <c r="S302" s="190"/>
      <c r="T302" s="190"/>
      <c r="U302" s="190"/>
    </row>
    <row r="303" s="1" customFormat="true" ht="15" hidden="false" customHeight="false" outlineLevel="0" collapsed="false">
      <c r="B303" s="190"/>
      <c r="C303" s="190"/>
      <c r="D303" s="196" t="s">
        <v>396</v>
      </c>
      <c r="E303" s="199" t="str">
        <f aca="false">IF(E300="","",AVERAGE(E300:E302))</f>
        <v/>
      </c>
      <c r="F303" s="199" t="str">
        <f aca="false">IF(F300="","",AVERAGE(F300:F302))</f>
        <v/>
      </c>
      <c r="G303" s="199" t="str">
        <f aca="false">IF(G300="","",AVERAGE(G300:G302))</f>
        <v/>
      </c>
      <c r="H303" s="190"/>
      <c r="I303" s="190"/>
      <c r="J303" s="190"/>
      <c r="K303" s="190"/>
      <c r="L303" s="190"/>
      <c r="M303" s="190"/>
      <c r="R303" s="14" t="s">
        <v>397</v>
      </c>
      <c r="S303" s="128" t="str">
        <f aca="false">IF(OR(S296="",D275=""),"",S296/(D271/100))</f>
        <v/>
      </c>
      <c r="T303" s="128" t="str">
        <f aca="false">IF(OR(T296="",E275=""),"",T296/(E271/100))</f>
        <v/>
      </c>
      <c r="U303" s="128" t="str">
        <f aca="false">IF(OR(U296="",F275=""),"",U296/(F271/100))</f>
        <v/>
      </c>
    </row>
    <row r="304" s="1" customFormat="true" ht="15" hidden="false" customHeight="false" outlineLevel="0" collapsed="false">
      <c r="B304" s="190"/>
      <c r="C304" s="190"/>
      <c r="D304" s="190"/>
      <c r="E304" s="190"/>
      <c r="F304" s="190"/>
      <c r="G304" s="190"/>
      <c r="H304" s="190"/>
      <c r="I304" s="190"/>
      <c r="J304" s="190"/>
      <c r="K304" s="190"/>
      <c r="L304" s="190"/>
      <c r="M304" s="190"/>
      <c r="R304" s="14" t="s">
        <v>398</v>
      </c>
      <c r="S304" s="200"/>
      <c r="T304" s="200"/>
      <c r="U304" s="200"/>
    </row>
  </sheetData>
  <mergeCells count="22">
    <mergeCell ref="D99:F99"/>
    <mergeCell ref="G99:I99"/>
    <mergeCell ref="J99:L99"/>
    <mergeCell ref="G133:H133"/>
    <mergeCell ref="D145:E145"/>
    <mergeCell ref="D152:E152"/>
    <mergeCell ref="B174:B175"/>
    <mergeCell ref="B186:B188"/>
    <mergeCell ref="B189:B191"/>
    <mergeCell ref="B192:B194"/>
    <mergeCell ref="D201:E201"/>
    <mergeCell ref="H201:I201"/>
    <mergeCell ref="D202:E202"/>
    <mergeCell ref="H202:I202"/>
    <mergeCell ref="I228:J228"/>
    <mergeCell ref="D259:D260"/>
    <mergeCell ref="E259:E262"/>
    <mergeCell ref="D261:D262"/>
    <mergeCell ref="C285:C289"/>
    <mergeCell ref="R288:R290"/>
    <mergeCell ref="R292:R294"/>
    <mergeCell ref="D300:D302"/>
  </mergeCells>
  <conditionalFormatting sqref="K135">
    <cfRule type="cellIs" priority="2" operator="equal" aboveAverage="0" equalAverage="0" bottom="0" percent="0" rank="0" text="" dxfId="0">
      <formula>"NO"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3" activeCellId="0" sqref="I3"/>
    </sheetView>
  </sheetViews>
  <sheetFormatPr defaultColWidth="8.6171875" defaultRowHeight="15.75" zeroHeight="false" outlineLevelRow="0" outlineLevelCol="0"/>
  <cols>
    <col collapsed="false" customWidth="true" hidden="false" outlineLevel="0" max="1" min="1" style="0" width="13.12"/>
  </cols>
  <sheetData>
    <row r="1" customFormat="false" ht="15.75" hidden="false" customHeight="false" outlineLevel="0" collapsed="false">
      <c r="A1" s="0" t="s">
        <v>399</v>
      </c>
    </row>
    <row r="2" customFormat="false" ht="15.75" hidden="false" customHeight="false" outlineLevel="0" collapsed="false">
      <c r="E2" s="0" t="s">
        <v>400</v>
      </c>
      <c r="H2" s="0" t="s">
        <v>401</v>
      </c>
      <c r="I2" s="0" t="e">
        <f aca="false">E3/3+(2/3)*AVERAGE(E4:E11)</f>
        <v>#DIV/0!</v>
      </c>
    </row>
    <row r="3" customFormat="false" ht="15.75" hidden="false" customHeight="false" outlineLevel="0" collapsed="false">
      <c r="A3" s="0" t="s">
        <v>378</v>
      </c>
      <c r="B3" s="203"/>
      <c r="C3" s="203"/>
      <c r="D3" s="203"/>
      <c r="E3" s="203" t="e">
        <f aca="false">AVERAGE(B3:D3)</f>
        <v>#DIV/0!</v>
      </c>
      <c r="F3" s="0" t="s">
        <v>402</v>
      </c>
    </row>
    <row r="4" customFormat="false" ht="15.75" hidden="false" customHeight="false" outlineLevel="0" collapsed="false">
      <c r="A4" s="0" t="s">
        <v>403</v>
      </c>
      <c r="B4" s="203"/>
      <c r="C4" s="203"/>
      <c r="D4" s="203"/>
      <c r="E4" s="203" t="e">
        <f aca="false">AVERAGE(B4:D4)</f>
        <v>#DIV/0!</v>
      </c>
      <c r="F4" s="0" t="s">
        <v>404</v>
      </c>
    </row>
    <row r="5" customFormat="false" ht="15.75" hidden="false" customHeight="false" outlineLevel="0" collapsed="false">
      <c r="A5" s="0" t="s">
        <v>405</v>
      </c>
      <c r="B5" s="203"/>
      <c r="C5" s="203"/>
      <c r="D5" s="203"/>
      <c r="E5" s="203" t="e">
        <f aca="false">AVERAGE(B5:D5)</f>
        <v>#DIV/0!</v>
      </c>
      <c r="F5" s="0" t="s">
        <v>406</v>
      </c>
    </row>
    <row r="6" customFormat="false" ht="15.75" hidden="false" customHeight="false" outlineLevel="0" collapsed="false">
      <c r="A6" s="0" t="s">
        <v>407</v>
      </c>
      <c r="B6" s="203"/>
      <c r="C6" s="203"/>
      <c r="D6" s="203"/>
      <c r="E6" s="203" t="e">
        <f aca="false">AVERAGE(B6:D6)</f>
        <v>#DIV/0!</v>
      </c>
      <c r="F6" s="0" t="s">
        <v>408</v>
      </c>
    </row>
    <row r="7" customFormat="false" ht="15.75" hidden="false" customHeight="false" outlineLevel="0" collapsed="false">
      <c r="A7" s="0" t="s">
        <v>409</v>
      </c>
      <c r="B7" s="203"/>
      <c r="C7" s="203"/>
      <c r="D7" s="203"/>
      <c r="E7" s="203" t="e">
        <f aca="false">AVERAGE(B7:D7)</f>
        <v>#DIV/0!</v>
      </c>
      <c r="F7" s="0" t="s">
        <v>410</v>
      </c>
    </row>
    <row r="8" customFormat="false" ht="15.75" hidden="false" customHeight="false" outlineLevel="0" collapsed="false">
      <c r="A8" s="0" t="s">
        <v>411</v>
      </c>
      <c r="B8" s="203"/>
      <c r="C8" s="203"/>
      <c r="D8" s="203"/>
      <c r="E8" s="203" t="e">
        <f aca="false">AVERAGE(B8:D8)</f>
        <v>#DIV/0!</v>
      </c>
      <c r="F8" s="0" t="s">
        <v>412</v>
      </c>
    </row>
    <row r="9" customFormat="false" ht="15.75" hidden="false" customHeight="false" outlineLevel="0" collapsed="false">
      <c r="A9" s="0" t="s">
        <v>413</v>
      </c>
      <c r="B9" s="203"/>
      <c r="C9" s="203"/>
      <c r="D9" s="203"/>
      <c r="E9" s="203" t="e">
        <f aca="false">AVERAGE(B9:D9)</f>
        <v>#DIV/0!</v>
      </c>
      <c r="F9" s="0" t="s">
        <v>414</v>
      </c>
    </row>
    <row r="10" customFormat="false" ht="15.75" hidden="false" customHeight="false" outlineLevel="0" collapsed="false">
      <c r="A10" s="0" t="s">
        <v>415</v>
      </c>
      <c r="B10" s="203"/>
      <c r="C10" s="203"/>
      <c r="D10" s="203"/>
      <c r="E10" s="203" t="e">
        <f aca="false">AVERAGE(B10:D10)</f>
        <v>#DIV/0!</v>
      </c>
      <c r="F10" s="0" t="s">
        <v>416</v>
      </c>
    </row>
    <row r="11" customFormat="false" ht="15.75" hidden="false" customHeight="false" outlineLevel="0" collapsed="false">
      <c r="A11" s="0" t="s">
        <v>417</v>
      </c>
      <c r="B11" s="203"/>
      <c r="C11" s="203"/>
      <c r="D11" s="203"/>
      <c r="E11" s="203" t="e">
        <f aca="false">AVERAGE(B11:D11)</f>
        <v>#DIV/0!</v>
      </c>
      <c r="F11" s="0" t="s">
        <v>418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S92"/>
  <sheetViews>
    <sheetView showFormulas="false" showGridLines="true" showRowColHeaders="true" showZeros="true" rightToLeft="false" tabSelected="false" showOutlineSymbols="true" defaultGridColor="true" view="normal" topLeftCell="A55" colorId="64" zoomScale="100" zoomScaleNormal="100" zoomScalePageLayoutView="100" workbookViewId="0">
      <selection pane="topLeft" activeCell="I77" activeCellId="0" sqref="I77"/>
    </sheetView>
  </sheetViews>
  <sheetFormatPr defaultColWidth="9.00390625" defaultRowHeight="15.75" zeroHeight="false" outlineLevelRow="0" outlineLevelCol="0"/>
  <cols>
    <col collapsed="false" customWidth="false" hidden="false" outlineLevel="0" max="16384" min="1" style="1" width="9"/>
  </cols>
  <sheetData>
    <row r="1" customFormat="false" ht="15.75" hidden="false" customHeight="false" outlineLevel="0" collapsed="false">
      <c r="A1" s="1" t="s">
        <v>419</v>
      </c>
    </row>
    <row r="2" customFormat="false" ht="15.75" hidden="false" customHeight="false" outlineLevel="0" collapsed="false">
      <c r="A2" s="1" t="n">
        <v>1</v>
      </c>
      <c r="B2" s="1" t="s">
        <v>316</v>
      </c>
    </row>
    <row r="3" customFormat="false" ht="15.75" hidden="false" customHeight="false" outlineLevel="0" collapsed="false">
      <c r="A3" s="1" t="n">
        <v>2</v>
      </c>
      <c r="B3" s="1" t="s">
        <v>318</v>
      </c>
    </row>
    <row r="4" customFormat="false" ht="15.75" hidden="false" customHeight="false" outlineLevel="0" collapsed="false">
      <c r="A4" s="1" t="n">
        <v>3</v>
      </c>
      <c r="B4" s="1" t="s">
        <v>319</v>
      </c>
    </row>
    <row r="5" customFormat="false" ht="15.75" hidden="false" customHeight="false" outlineLevel="0" collapsed="false">
      <c r="A5" s="1" t="n">
        <v>4</v>
      </c>
      <c r="B5" s="1" t="s">
        <v>320</v>
      </c>
    </row>
    <row r="7" customFormat="false" ht="15.75" hidden="false" customHeight="false" outlineLevel="0" collapsed="false">
      <c r="A7" s="1" t="s">
        <v>420</v>
      </c>
      <c r="D7" s="1" t="s">
        <v>421</v>
      </c>
      <c r="F7" s="1" t="n">
        <v>65</v>
      </c>
      <c r="G7" s="1" t="n">
        <v>70</v>
      </c>
      <c r="H7" s="1" t="n">
        <v>75</v>
      </c>
      <c r="I7" s="1" t="n">
        <v>80</v>
      </c>
      <c r="J7" s="1" t="s">
        <v>422</v>
      </c>
    </row>
    <row r="8" customFormat="false" ht="15.75" hidden="false" customHeight="false" outlineLevel="0" collapsed="false">
      <c r="A8" s="1" t="n">
        <v>1.1</v>
      </c>
      <c r="B8" s="1" t="n">
        <v>0.5</v>
      </c>
      <c r="D8" s="1" t="n">
        <v>1</v>
      </c>
      <c r="E8" s="1" t="n">
        <f aca="false">HLOOKUP(LEEDS_KV,$F$7:$I$26,D8+1)</f>
        <v>0.167</v>
      </c>
      <c r="F8" s="1" t="n">
        <v>0.188</v>
      </c>
      <c r="G8" s="1" t="n">
        <v>0.167</v>
      </c>
      <c r="H8" s="1" t="n">
        <v>0.149</v>
      </c>
      <c r="I8" s="1" t="n">
        <v>0.135</v>
      </c>
      <c r="J8" s="1" t="n">
        <v>0.16</v>
      </c>
    </row>
    <row r="9" customFormat="false" ht="15.75" hidden="false" customHeight="false" outlineLevel="0" collapsed="false">
      <c r="A9" s="1" t="n">
        <v>1.2</v>
      </c>
      <c r="B9" s="1" t="n">
        <v>0.56</v>
      </c>
      <c r="D9" s="1" t="n">
        <v>2</v>
      </c>
      <c r="E9" s="1" t="n">
        <f aca="false">HLOOKUP(LEEDS_KV,$F$7:$I$26,D9+1)</f>
        <v>0.148</v>
      </c>
      <c r="F9" s="1" t="n">
        <v>0.167</v>
      </c>
      <c r="G9" s="1" t="n">
        <v>0.148</v>
      </c>
      <c r="H9" s="1" t="n">
        <v>0.132</v>
      </c>
      <c r="I9" s="1" t="n">
        <v>0.12</v>
      </c>
      <c r="J9" s="1" t="n">
        <v>0.145</v>
      </c>
    </row>
    <row r="10" customFormat="false" ht="15.75" hidden="false" customHeight="false" outlineLevel="0" collapsed="false">
      <c r="A10" s="1" t="n">
        <v>1.3</v>
      </c>
      <c r="B10" s="1" t="n">
        <v>0.63</v>
      </c>
      <c r="D10" s="1" t="n">
        <v>3</v>
      </c>
      <c r="E10" s="1" t="n">
        <f aca="false">HLOOKUP(LEEDS_KV,$F$7:$I$26,D10+1)</f>
        <v>0.128</v>
      </c>
      <c r="F10" s="1" t="n">
        <v>0.145</v>
      </c>
      <c r="G10" s="1" t="n">
        <v>0.128</v>
      </c>
      <c r="H10" s="1" t="n">
        <v>0.114</v>
      </c>
      <c r="I10" s="1" t="n">
        <v>0.104</v>
      </c>
      <c r="J10" s="1" t="n">
        <v>0.123</v>
      </c>
    </row>
    <row r="11" customFormat="false" ht="15.75" hidden="false" customHeight="false" outlineLevel="0" collapsed="false">
      <c r="A11" s="1" t="n">
        <v>2.1</v>
      </c>
      <c r="B11" s="1" t="n">
        <v>0.71</v>
      </c>
      <c r="D11" s="1" t="n">
        <v>4</v>
      </c>
      <c r="E11" s="1" t="n">
        <f aca="false">HLOOKUP(LEEDS_KV,$F$7:$I$26,D11+1)</f>
        <v>0.109</v>
      </c>
      <c r="F11" s="1" t="n">
        <v>0.124</v>
      </c>
      <c r="G11" s="1" t="n">
        <v>0.109</v>
      </c>
      <c r="H11" s="1" t="n">
        <v>0.097</v>
      </c>
      <c r="I11" s="1" t="n">
        <v>0.088</v>
      </c>
      <c r="J11" s="1" t="n">
        <v>0.108</v>
      </c>
    </row>
    <row r="12" customFormat="false" ht="15.75" hidden="false" customHeight="false" outlineLevel="0" collapsed="false">
      <c r="A12" s="1" t="n">
        <v>2.2</v>
      </c>
      <c r="B12" s="1" t="n">
        <v>0.8</v>
      </c>
      <c r="D12" s="1" t="n">
        <v>5</v>
      </c>
      <c r="E12" s="1" t="n">
        <f aca="false">HLOOKUP(LEEDS_KV,$F$7:$I$26,D12+1)</f>
        <v>0.0876</v>
      </c>
      <c r="F12" s="1" t="n">
        <v>0.0993</v>
      </c>
      <c r="G12" s="1" t="n">
        <v>0.0876</v>
      </c>
      <c r="H12" s="1" t="n">
        <v>0.078</v>
      </c>
      <c r="I12" s="1" t="n">
        <v>0.0705</v>
      </c>
      <c r="J12" s="1" t="n">
        <v>0.086</v>
      </c>
    </row>
    <row r="13" customFormat="false" ht="15.75" hidden="false" customHeight="false" outlineLevel="0" collapsed="false">
      <c r="A13" s="1" t="n">
        <v>2.3</v>
      </c>
      <c r="B13" s="1" t="n">
        <v>0.9</v>
      </c>
      <c r="D13" s="1" t="n">
        <v>6</v>
      </c>
      <c r="E13" s="1" t="n">
        <f aca="false">HLOOKUP(LEEDS_KV,$F$7:$I$26,D13+1)</f>
        <v>0.0749</v>
      </c>
      <c r="F13" s="1" t="n">
        <v>0.0847</v>
      </c>
      <c r="G13" s="1" t="n">
        <v>0.0749</v>
      </c>
      <c r="H13" s="1" t="n">
        <v>0.067</v>
      </c>
      <c r="I13" s="1" t="n">
        <v>0.0609</v>
      </c>
      <c r="J13" s="1" t="n">
        <v>0.076</v>
      </c>
    </row>
    <row r="14" customFormat="false" ht="15.75" hidden="false" customHeight="false" outlineLevel="0" collapsed="false">
      <c r="A14" s="1" t="n">
        <v>3.1</v>
      </c>
      <c r="B14" s="1" t="n">
        <v>1</v>
      </c>
      <c r="D14" s="1" t="n">
        <v>7</v>
      </c>
      <c r="E14" s="1" t="n">
        <f aca="false">HLOOKUP(LEEDS_KV,$F$7:$I$26,D14+1)</f>
        <v>0.0674</v>
      </c>
      <c r="F14" s="1" t="n">
        <v>0.0766</v>
      </c>
      <c r="G14" s="1" t="n">
        <v>0.0674</v>
      </c>
      <c r="H14" s="1" t="n">
        <v>0.0599</v>
      </c>
      <c r="I14" s="1" t="n">
        <v>0.0542</v>
      </c>
      <c r="J14" s="1" t="n">
        <v>0.066</v>
      </c>
    </row>
    <row r="15" customFormat="false" ht="15.75" hidden="false" customHeight="false" outlineLevel="0" collapsed="false">
      <c r="A15" s="1" t="n">
        <v>3.2</v>
      </c>
      <c r="B15" s="1" t="n">
        <v>1.12</v>
      </c>
      <c r="D15" s="1" t="n">
        <v>8</v>
      </c>
      <c r="E15" s="1" t="n">
        <f aca="false">HLOOKUP(LEEDS_KV,$F$7:$I$26,D15+1)</f>
        <v>0.0525</v>
      </c>
      <c r="F15" s="1" t="n">
        <v>0.0593</v>
      </c>
      <c r="G15" s="1" t="n">
        <v>0.0525</v>
      </c>
      <c r="H15" s="1" t="n">
        <v>0.047</v>
      </c>
      <c r="I15" s="1" t="n">
        <v>0.0427</v>
      </c>
      <c r="J15" s="1" t="n">
        <v>0.055</v>
      </c>
    </row>
    <row r="16" customFormat="false" ht="15.75" hidden="false" customHeight="false" outlineLevel="0" collapsed="false">
      <c r="A16" s="1" t="n">
        <v>3.3</v>
      </c>
      <c r="B16" s="1" t="n">
        <v>1.25</v>
      </c>
      <c r="D16" s="1" t="n">
        <v>9</v>
      </c>
      <c r="E16" s="1" t="n">
        <f aca="false">HLOOKUP(LEEDS_KV,$F$7:$I$26,D16+1)</f>
        <v>0.045</v>
      </c>
      <c r="F16" s="1" t="n">
        <v>0.0512</v>
      </c>
      <c r="G16" s="1" t="n">
        <v>0.045</v>
      </c>
      <c r="H16" s="1" t="n">
        <v>0.0399</v>
      </c>
      <c r="I16" s="1" t="n">
        <v>0.036</v>
      </c>
      <c r="J16" s="1" t="n">
        <v>0.045</v>
      </c>
    </row>
    <row r="17" customFormat="false" ht="15.75" hidden="false" customHeight="false" outlineLevel="0" collapsed="false">
      <c r="A17" s="1" t="n">
        <v>4.1</v>
      </c>
      <c r="B17" s="1" t="n">
        <v>1.4</v>
      </c>
      <c r="D17" s="1" t="n">
        <v>10</v>
      </c>
      <c r="E17" s="1" t="n">
        <f aca="false">HLOOKUP(LEEDS_KV,$F$7:$I$26,D17+1)</f>
        <v>0.0371</v>
      </c>
      <c r="F17" s="1" t="n">
        <v>0.04</v>
      </c>
      <c r="G17" s="1" t="n">
        <v>0.0371</v>
      </c>
      <c r="H17" s="1" t="n">
        <v>0.0347</v>
      </c>
      <c r="I17" s="1" t="n">
        <v>0.0329</v>
      </c>
      <c r="J17" s="1" t="n">
        <v>0.039</v>
      </c>
    </row>
    <row r="18" customFormat="false" ht="15.75" hidden="false" customHeight="false" outlineLevel="0" collapsed="false">
      <c r="A18" s="1" t="n">
        <v>4.2</v>
      </c>
      <c r="B18" s="1" t="n">
        <v>1.6</v>
      </c>
      <c r="D18" s="1" t="n">
        <v>11</v>
      </c>
      <c r="E18" s="1" t="n">
        <f aca="false">HLOOKUP(LEEDS_KV,$F$7:$I$26,D18+1)</f>
        <v>0.0322</v>
      </c>
      <c r="F18" s="1" t="n">
        <v>0.0347</v>
      </c>
      <c r="G18" s="1" t="n">
        <v>0.0322</v>
      </c>
      <c r="H18" s="1" t="n">
        <v>0.0301</v>
      </c>
      <c r="I18" s="1" t="n">
        <v>0.0285</v>
      </c>
      <c r="J18" s="1" t="n">
        <v>0.033</v>
      </c>
    </row>
    <row r="19" customFormat="false" ht="15.75" hidden="false" customHeight="false" outlineLevel="0" collapsed="false">
      <c r="A19" s="1" t="n">
        <v>4.3</v>
      </c>
      <c r="B19" s="1" t="n">
        <v>1.8</v>
      </c>
      <c r="D19" s="1" t="n">
        <v>12</v>
      </c>
      <c r="E19" s="1" t="n">
        <f aca="false">HLOOKUP(LEEDS_KV,$F$7:$I$26,D19+1)</f>
        <v>0.0246</v>
      </c>
      <c r="F19" s="1" t="n">
        <v>0.0269</v>
      </c>
      <c r="G19" s="1" t="n">
        <v>0.0246</v>
      </c>
      <c r="H19" s="1" t="n">
        <v>0.0233</v>
      </c>
      <c r="I19" s="1" t="n">
        <v>0.022</v>
      </c>
      <c r="J19" s="1" t="n">
        <v>0.027</v>
      </c>
    </row>
    <row r="20" customFormat="false" ht="15.75" hidden="false" customHeight="false" outlineLevel="0" collapsed="false">
      <c r="A20" s="1" t="n">
        <v>5.1</v>
      </c>
      <c r="B20" s="1" t="n">
        <v>2</v>
      </c>
      <c r="D20" s="1" t="n">
        <v>13</v>
      </c>
      <c r="E20" s="1" t="n">
        <f aca="false">HLOOKUP(LEEDS_KV,$F$7:$I$26,D20+1)</f>
        <v>0.0215</v>
      </c>
      <c r="F20" s="1" t="n">
        <v>0.0232</v>
      </c>
      <c r="G20" s="1" t="n">
        <v>0.0215</v>
      </c>
      <c r="H20" s="1" t="n">
        <v>0.0201</v>
      </c>
      <c r="I20" s="1" t="n">
        <v>0.019</v>
      </c>
      <c r="J20" s="1" t="n">
        <v>0.023</v>
      </c>
    </row>
    <row r="21" customFormat="false" ht="15.75" hidden="false" customHeight="false" outlineLevel="0" collapsed="false">
      <c r="A21" s="1" t="n">
        <v>5.2</v>
      </c>
      <c r="B21" s="1" t="n">
        <v>2.24</v>
      </c>
      <c r="D21" s="1" t="n">
        <v>14</v>
      </c>
      <c r="E21" s="1" t="n">
        <f aca="false">HLOOKUP(LEEDS_KV,$F$7:$I$26,D21+1)</f>
        <v>0.0172</v>
      </c>
      <c r="F21" s="1" t="n">
        <v>0.0186</v>
      </c>
      <c r="G21" s="1" t="n">
        <v>0.0172</v>
      </c>
      <c r="H21" s="1" t="n">
        <v>0.0161</v>
      </c>
      <c r="I21" s="1" t="n">
        <v>0.0153</v>
      </c>
      <c r="J21" s="1" t="n">
        <v>0.018</v>
      </c>
    </row>
    <row r="22" customFormat="false" ht="15.75" hidden="false" customHeight="false" outlineLevel="0" collapsed="false">
      <c r="A22" s="1" t="n">
        <v>5.3</v>
      </c>
      <c r="B22" s="1" t="n">
        <v>2.5</v>
      </c>
      <c r="D22" s="1" t="n">
        <v>15</v>
      </c>
      <c r="E22" s="1" t="n">
        <f aca="false">HLOOKUP(LEEDS_KV,$F$7:$I$26,D22+1)</f>
        <v>0.0155</v>
      </c>
      <c r="F22" s="1" t="n">
        <v>0.0168</v>
      </c>
      <c r="G22" s="1" t="n">
        <v>0.0155</v>
      </c>
      <c r="H22" s="1" t="n">
        <v>0.0145</v>
      </c>
      <c r="I22" s="1" t="n">
        <v>0.0138</v>
      </c>
      <c r="J22" s="1" t="n">
        <v>0.016</v>
      </c>
    </row>
    <row r="23" customFormat="false" ht="15.75" hidden="false" customHeight="false" outlineLevel="0" collapsed="false">
      <c r="A23" s="1" t="n">
        <v>6.1</v>
      </c>
      <c r="B23" s="1" t="n">
        <v>2.8</v>
      </c>
      <c r="D23" s="1" t="n">
        <v>16</v>
      </c>
      <c r="E23" s="1" t="n">
        <f aca="false">HLOOKUP(LEEDS_KV,$F$7:$I$26,D23+1)</f>
        <v>0.013</v>
      </c>
      <c r="F23" s="1" t="n">
        <v>0.014</v>
      </c>
      <c r="G23" s="1" t="n">
        <v>0.013</v>
      </c>
      <c r="H23" s="1" t="n">
        <v>0.0122</v>
      </c>
      <c r="I23" s="1" t="n">
        <v>0.0115</v>
      </c>
      <c r="J23" s="1" t="n">
        <v>0.013</v>
      </c>
    </row>
    <row r="24" customFormat="false" ht="15.75" hidden="false" customHeight="false" outlineLevel="0" collapsed="false">
      <c r="A24" s="1" t="n">
        <v>6.2</v>
      </c>
      <c r="B24" s="1" t="n">
        <v>3.15</v>
      </c>
      <c r="D24" s="1" t="n">
        <v>17</v>
      </c>
      <c r="E24" s="1" t="n">
        <f aca="false">HLOOKUP(LEEDS_KV,$F$7:$I$26,D24+1)</f>
        <v>0.011</v>
      </c>
      <c r="F24" s="1" t="n">
        <v>0.0119</v>
      </c>
      <c r="G24" s="1" t="n">
        <v>0.011</v>
      </c>
      <c r="H24" s="1" t="n">
        <v>0.0103</v>
      </c>
      <c r="I24" s="1" t="n">
        <v>0.0097</v>
      </c>
      <c r="J24" s="1" t="n">
        <v>0.011</v>
      </c>
    </row>
    <row r="25" customFormat="false" ht="15.75" hidden="false" customHeight="false" outlineLevel="0" collapsed="false">
      <c r="A25" s="1" t="n">
        <v>6.3</v>
      </c>
      <c r="B25" s="1" t="n">
        <v>3.55</v>
      </c>
      <c r="D25" s="1" t="n">
        <v>18</v>
      </c>
      <c r="E25" s="1" t="n">
        <f aca="false">HLOOKUP(LEEDS_KV,$F$7:$I$26,D25+1)</f>
        <v>0.0086</v>
      </c>
      <c r="F25" s="1" t="n">
        <v>0.0093</v>
      </c>
      <c r="G25" s="1" t="n">
        <v>0.0086</v>
      </c>
      <c r="H25" s="1" t="n">
        <v>0.0081</v>
      </c>
      <c r="I25" s="1" t="n">
        <v>0.0077</v>
      </c>
      <c r="J25" s="1" t="n">
        <v>0.009</v>
      </c>
    </row>
    <row r="26" customFormat="false" ht="15.75" hidden="false" customHeight="false" outlineLevel="0" collapsed="false">
      <c r="A26" s="1" t="n">
        <v>7.1</v>
      </c>
      <c r="B26" s="1" t="n">
        <v>4</v>
      </c>
      <c r="D26" s="1" t="n">
        <v>19</v>
      </c>
      <c r="E26" s="1" t="n">
        <f aca="false">HLOOKUP(LEEDS_KV,$F$7:$I$26,D26+1)</f>
        <v>0.0066</v>
      </c>
      <c r="F26" s="1" t="n">
        <v>0.0071</v>
      </c>
      <c r="G26" s="1" t="n">
        <v>0.0066</v>
      </c>
      <c r="H26" s="1" t="n">
        <v>0.0062</v>
      </c>
      <c r="I26" s="1" t="n">
        <v>0.0059</v>
      </c>
      <c r="J26" s="1" t="n">
        <v>0.007</v>
      </c>
    </row>
    <row r="27" customFormat="false" ht="15.75" hidden="false" customHeight="false" outlineLevel="0" collapsed="false">
      <c r="A27" s="1" t="n">
        <v>7.2</v>
      </c>
      <c r="B27" s="1" t="n">
        <v>4.5</v>
      </c>
    </row>
    <row r="28" customFormat="false" ht="15.75" hidden="false" customHeight="false" outlineLevel="0" collapsed="false">
      <c r="A28" s="1" t="n">
        <v>7.3</v>
      </c>
      <c r="B28" s="1" t="n">
        <v>5</v>
      </c>
    </row>
    <row r="30" customFormat="false" ht="15.75" hidden="false" customHeight="false" outlineLevel="0" collapsed="false">
      <c r="A30" s="1" t="s">
        <v>423</v>
      </c>
      <c r="B30" s="1" t="n">
        <v>65</v>
      </c>
      <c r="C30" s="1" t="n">
        <v>70</v>
      </c>
      <c r="D30" s="1" t="n">
        <v>75</v>
      </c>
      <c r="E30" s="1" t="n">
        <v>80</v>
      </c>
    </row>
    <row r="31" customFormat="false" ht="15.75" hidden="false" customHeight="false" outlineLevel="0" collapsed="false">
      <c r="A31" s="1" t="n">
        <v>0.012</v>
      </c>
      <c r="B31" s="1" t="n">
        <v>0.0119</v>
      </c>
      <c r="C31" s="1" t="n">
        <v>0.011</v>
      </c>
      <c r="D31" s="1" t="n">
        <v>0.0103</v>
      </c>
      <c r="E31" s="1" t="n">
        <v>0.0097</v>
      </c>
      <c r="J31" s="1" t="s">
        <v>424</v>
      </c>
    </row>
    <row r="32" customFormat="false" ht="15.75" hidden="false" customHeight="false" outlineLevel="0" collapsed="false">
      <c r="A32" s="1" t="n">
        <v>0.016</v>
      </c>
      <c r="B32" s="1" t="n">
        <v>0.0168</v>
      </c>
      <c r="C32" s="1" t="n">
        <v>0.0155</v>
      </c>
      <c r="D32" s="1" t="n">
        <v>0.0145</v>
      </c>
      <c r="E32" s="1" t="n">
        <v>0.0138</v>
      </c>
    </row>
    <row r="33" customFormat="false" ht="15.75" hidden="false" customHeight="false" outlineLevel="0" collapsed="false">
      <c r="A33" s="1" t="n">
        <v>0.023</v>
      </c>
      <c r="B33" s="1" t="n">
        <v>0.0232</v>
      </c>
      <c r="C33" s="1" t="n">
        <v>0.0215</v>
      </c>
      <c r="D33" s="1" t="n">
        <v>0.0201</v>
      </c>
      <c r="E33" s="1" t="n">
        <v>0.019</v>
      </c>
    </row>
    <row r="34" customFormat="false" ht="15.75" hidden="false" customHeight="false" outlineLevel="0" collapsed="false">
      <c r="A34" s="1" t="n">
        <v>0.032</v>
      </c>
      <c r="B34" s="1" t="n">
        <v>0.0347</v>
      </c>
      <c r="C34" s="1" t="n">
        <v>0.0322</v>
      </c>
      <c r="D34" s="1" t="n">
        <v>0.0301</v>
      </c>
      <c r="E34" s="1" t="n">
        <v>0.0285</v>
      </c>
    </row>
    <row r="35" customFormat="false" ht="15.75" hidden="false" customHeight="false" outlineLevel="0" collapsed="false">
      <c r="A35" s="1" t="n">
        <v>0.045</v>
      </c>
      <c r="B35" s="1" t="n">
        <v>0.0512</v>
      </c>
      <c r="C35" s="1" t="n">
        <v>0.045</v>
      </c>
      <c r="D35" s="1" t="n">
        <v>0.0399</v>
      </c>
      <c r="E35" s="1" t="n">
        <v>0.036</v>
      </c>
    </row>
    <row r="36" customFormat="false" ht="15.75" hidden="false" customHeight="false" outlineLevel="0" collapsed="false">
      <c r="A36" s="1" t="n">
        <v>0.066</v>
      </c>
      <c r="B36" s="1" t="n">
        <v>0.0766</v>
      </c>
      <c r="C36" s="1" t="n">
        <v>0.0674</v>
      </c>
      <c r="D36" s="1" t="n">
        <v>0.0599</v>
      </c>
      <c r="E36" s="1" t="n">
        <v>0.0542</v>
      </c>
    </row>
    <row r="37" customFormat="false" ht="15.75" hidden="false" customHeight="false" outlineLevel="0" collapsed="false">
      <c r="A37" s="1" t="n">
        <v>0.086</v>
      </c>
      <c r="B37" s="1" t="n">
        <v>0.0993</v>
      </c>
      <c r="C37" s="1" t="n">
        <v>0.0876</v>
      </c>
      <c r="D37" s="1" t="n">
        <v>0.078</v>
      </c>
      <c r="E37" s="1" t="n">
        <v>0.0705</v>
      </c>
    </row>
    <row r="38" customFormat="false" ht="15.75" hidden="false" customHeight="false" outlineLevel="0" collapsed="false">
      <c r="A38" s="1" t="n">
        <v>0.123</v>
      </c>
      <c r="B38" s="1" t="n">
        <v>0.145</v>
      </c>
      <c r="C38" s="1" t="n">
        <v>0.128</v>
      </c>
      <c r="D38" s="1" t="n">
        <v>0.114</v>
      </c>
      <c r="E38" s="1" t="n">
        <v>0.104</v>
      </c>
    </row>
    <row r="39" customFormat="false" ht="15.75" hidden="false" customHeight="false" outlineLevel="0" collapsed="false">
      <c r="A39" s="1" t="n">
        <v>0.16</v>
      </c>
      <c r="B39" s="1" t="n">
        <v>0.188</v>
      </c>
      <c r="C39" s="1" t="n">
        <v>0.167</v>
      </c>
      <c r="D39" s="1" t="n">
        <v>0.149</v>
      </c>
      <c r="E39" s="1" t="n">
        <v>0.135</v>
      </c>
    </row>
    <row r="40" customFormat="false" ht="15.75" hidden="false" customHeight="false" outlineLevel="0" collapsed="false">
      <c r="A40" s="1" t="n">
        <v>0.23</v>
      </c>
      <c r="B40" s="1" t="n">
        <v>0.267</v>
      </c>
      <c r="C40" s="1" t="n">
        <v>0.238</v>
      </c>
      <c r="D40" s="1" t="n">
        <v>0.214</v>
      </c>
      <c r="E40" s="1" t="n">
        <v>0.194</v>
      </c>
    </row>
    <row r="41" customFormat="false" ht="15.75" hidden="false" customHeight="false" outlineLevel="0" collapsed="false">
      <c r="A41" s="1" t="n">
        <v>0.35</v>
      </c>
      <c r="B41" s="1" t="n">
        <v>0.399</v>
      </c>
      <c r="C41" s="1" t="n">
        <v>0.36</v>
      </c>
      <c r="D41" s="1" t="n">
        <v>0.327</v>
      </c>
      <c r="E41" s="1" t="n">
        <v>0.299</v>
      </c>
    </row>
    <row r="42" customFormat="false" ht="15.75" hidden="false" customHeight="false" outlineLevel="0" collapsed="false">
      <c r="A42" s="1" t="n">
        <v>0.5</v>
      </c>
      <c r="B42" s="1" t="n">
        <v>0.618</v>
      </c>
      <c r="C42" s="1" t="n">
        <v>0.573</v>
      </c>
      <c r="D42" s="1" t="n">
        <v>0.533</v>
      </c>
      <c r="E42" s="1" t="n">
        <v>0.497</v>
      </c>
    </row>
    <row r="43" customFormat="false" ht="15.75" hidden="false" customHeight="false" outlineLevel="0" collapsed="false">
      <c r="A43" s="1" t="n">
        <v>0.66</v>
      </c>
      <c r="B43" s="1" t="n">
        <v>0.769</v>
      </c>
      <c r="C43" s="1" t="n">
        <v>0.726</v>
      </c>
      <c r="D43" s="1" t="n">
        <v>0.686</v>
      </c>
      <c r="E43" s="1" t="n">
        <v>0.649</v>
      </c>
    </row>
    <row r="44" customFormat="false" ht="15.75" hidden="false" customHeight="false" outlineLevel="0" collapsed="false">
      <c r="A44" s="1" t="n">
        <v>0.93</v>
      </c>
      <c r="B44" s="1" t="n">
        <v>0.969</v>
      </c>
      <c r="C44" s="1" t="n">
        <v>0.954</v>
      </c>
      <c r="D44" s="1" t="n">
        <v>0.936</v>
      </c>
      <c r="E44" s="1" t="n">
        <v>0.915</v>
      </c>
    </row>
    <row r="46" customFormat="false" ht="15.75" hidden="false" customHeight="false" outlineLevel="0" collapsed="false">
      <c r="A46" s="1" t="s">
        <v>321</v>
      </c>
      <c r="B46" s="2" t="s">
        <v>425</v>
      </c>
      <c r="C46" s="2" t="s">
        <v>426</v>
      </c>
      <c r="D46" s="2" t="n">
        <v>1</v>
      </c>
      <c r="E46" s="2" t="n">
        <v>2</v>
      </c>
      <c r="F46" s="2" t="n">
        <v>3</v>
      </c>
      <c r="G46" s="2" t="n">
        <v>4</v>
      </c>
      <c r="H46" s="2" t="n">
        <v>5</v>
      </c>
      <c r="I46" s="2" t="n">
        <v>6</v>
      </c>
      <c r="J46" s="2" t="n">
        <v>7</v>
      </c>
      <c r="K46" s="2" t="n">
        <v>8</v>
      </c>
      <c r="L46" s="2" t="n">
        <v>9</v>
      </c>
    </row>
    <row r="47" customFormat="false" ht="15.75" hidden="false" customHeight="false" outlineLevel="0" collapsed="false">
      <c r="A47" s="2" t="s">
        <v>325</v>
      </c>
      <c r="B47" s="2" t="n">
        <v>11.1</v>
      </c>
      <c r="C47" s="2" t="n">
        <f aca="false">SQRT(PI()*(B47/2)^2)</f>
        <v>9.83711887252561</v>
      </c>
      <c r="D47" s="2" t="n">
        <v>0.16</v>
      </c>
      <c r="E47" s="2" t="n">
        <v>0.123</v>
      </c>
      <c r="F47" s="2" t="n">
        <v>0.086</v>
      </c>
      <c r="G47" s="2" t="n">
        <v>0.066</v>
      </c>
      <c r="H47" s="2" t="n">
        <v>0.045</v>
      </c>
      <c r="I47" s="2" t="n">
        <v>0.032</v>
      </c>
      <c r="J47" s="2" t="n">
        <v>0.023</v>
      </c>
      <c r="K47" s="2" t="n">
        <v>0.016</v>
      </c>
      <c r="L47" s="2" t="n">
        <v>0.012</v>
      </c>
    </row>
    <row r="48" customFormat="false" ht="15.75" hidden="false" customHeight="false" outlineLevel="0" collapsed="false">
      <c r="A48" s="2" t="s">
        <v>326</v>
      </c>
      <c r="B48" s="2" t="n">
        <v>7.9</v>
      </c>
      <c r="C48" s="2" t="n">
        <f aca="false">SQRT(PI()*(B48/2)^2)</f>
        <v>7.00119271107679</v>
      </c>
      <c r="D48" s="2" t="n">
        <v>0.16</v>
      </c>
      <c r="E48" s="2" t="n">
        <v>0.123</v>
      </c>
      <c r="F48" s="2" t="n">
        <v>0.086</v>
      </c>
      <c r="G48" s="2" t="n">
        <v>0.066</v>
      </c>
      <c r="H48" s="2" t="n">
        <v>0.045</v>
      </c>
      <c r="I48" s="2" t="n">
        <v>0.032</v>
      </c>
      <c r="J48" s="2" t="n">
        <v>0.023</v>
      </c>
      <c r="K48" s="2" t="n">
        <v>0.016</v>
      </c>
      <c r="L48" s="2" t="n">
        <v>0.012</v>
      </c>
    </row>
    <row r="49" customFormat="false" ht="15.75" hidden="false" customHeight="false" outlineLevel="0" collapsed="false">
      <c r="A49" s="2" t="s">
        <v>327</v>
      </c>
      <c r="B49" s="2" t="n">
        <v>5.6</v>
      </c>
      <c r="C49" s="2" t="n">
        <f aca="false">SQRT(PI()*(B49/2)^2)</f>
        <v>4.96287078253544</v>
      </c>
      <c r="D49" s="2" t="n">
        <v>0.16</v>
      </c>
      <c r="E49" s="2" t="n">
        <v>0.123</v>
      </c>
      <c r="F49" s="2" t="n">
        <v>0.086</v>
      </c>
      <c r="G49" s="2" t="n">
        <v>0.066</v>
      </c>
      <c r="H49" s="2" t="n">
        <v>0.045</v>
      </c>
      <c r="I49" s="2" t="n">
        <v>0.032</v>
      </c>
      <c r="J49" s="2" t="n">
        <v>0.023</v>
      </c>
      <c r="K49" s="2" t="n">
        <v>0.016</v>
      </c>
      <c r="L49" s="2" t="n">
        <v>0.012</v>
      </c>
    </row>
    <row r="50" customFormat="false" ht="15.75" hidden="false" customHeight="false" outlineLevel="0" collapsed="false">
      <c r="A50" s="2" t="s">
        <v>329</v>
      </c>
      <c r="B50" s="2" t="n">
        <v>4</v>
      </c>
      <c r="C50" s="2" t="n">
        <f aca="false">SQRT(PI()*(B50/2)^2)</f>
        <v>3.54490770181103</v>
      </c>
      <c r="D50" s="2" t="n">
        <v>0.23</v>
      </c>
      <c r="E50" s="2" t="n">
        <v>0.16</v>
      </c>
      <c r="F50" s="2" t="n">
        <v>0.123</v>
      </c>
      <c r="G50" s="2" t="n">
        <v>0.086</v>
      </c>
      <c r="H50" s="2" t="n">
        <v>0.066</v>
      </c>
      <c r="I50" s="2" t="n">
        <v>0.045</v>
      </c>
      <c r="J50" s="2" t="n">
        <v>0.032</v>
      </c>
      <c r="K50" s="2" t="n">
        <v>0.023</v>
      </c>
      <c r="L50" s="2" t="n">
        <v>0.016</v>
      </c>
    </row>
    <row r="51" customFormat="false" ht="15.75" hidden="false" customHeight="false" outlineLevel="0" collapsed="false">
      <c r="A51" s="2" t="s">
        <v>331</v>
      </c>
      <c r="B51" s="2" t="n">
        <v>2.8</v>
      </c>
      <c r="C51" s="2" t="n">
        <f aca="false">SQRT(PI()*(B51/2)^2)</f>
        <v>2.48143539126772</v>
      </c>
      <c r="D51" s="2" t="n">
        <v>0.23</v>
      </c>
      <c r="E51" s="2" t="n">
        <v>0.16</v>
      </c>
      <c r="F51" s="2" t="n">
        <v>0.123</v>
      </c>
      <c r="G51" s="2" t="n">
        <v>0.086</v>
      </c>
      <c r="H51" s="2" t="n">
        <v>0.066</v>
      </c>
      <c r="I51" s="2" t="n">
        <v>0.045</v>
      </c>
      <c r="J51" s="2" t="n">
        <v>0.032</v>
      </c>
      <c r="K51" s="2" t="n">
        <v>0.023</v>
      </c>
      <c r="L51" s="2" t="n">
        <v>0.016</v>
      </c>
    </row>
    <row r="52" customFormat="false" ht="15.75" hidden="false" customHeight="false" outlineLevel="0" collapsed="false">
      <c r="A52" s="2" t="s">
        <v>333</v>
      </c>
      <c r="B52" s="2" t="n">
        <v>2</v>
      </c>
      <c r="C52" s="2" t="n">
        <f aca="false">SQRT(PI()*(B52/2)^2)</f>
        <v>1.77245385090552</v>
      </c>
      <c r="D52" s="2" t="n">
        <v>0.23</v>
      </c>
      <c r="E52" s="2" t="n">
        <v>0.16</v>
      </c>
      <c r="F52" s="2" t="n">
        <v>0.123</v>
      </c>
      <c r="G52" s="2" t="n">
        <v>0.086</v>
      </c>
      <c r="H52" s="2" t="n">
        <v>0.066</v>
      </c>
      <c r="I52" s="2" t="n">
        <v>0.045</v>
      </c>
      <c r="J52" s="2" t="n">
        <v>0.032</v>
      </c>
      <c r="K52" s="2" t="n">
        <v>0.023</v>
      </c>
      <c r="L52" s="2" t="n">
        <v>0.016</v>
      </c>
    </row>
    <row r="53" customFormat="false" ht="15.75" hidden="false" customHeight="false" outlineLevel="0" collapsed="false">
      <c r="A53" s="2" t="s">
        <v>334</v>
      </c>
      <c r="B53" s="2" t="n">
        <v>1.4</v>
      </c>
      <c r="C53" s="2" t="n">
        <f aca="false">SQRT(PI()*(B53/2)^2)</f>
        <v>1.24071769563386</v>
      </c>
      <c r="D53" s="2" t="n">
        <v>0.5</v>
      </c>
      <c r="E53" s="2" t="n">
        <v>0.35</v>
      </c>
      <c r="F53" s="2" t="n">
        <v>0.23</v>
      </c>
      <c r="G53" s="2" t="n">
        <v>0.16</v>
      </c>
      <c r="H53" s="2" t="n">
        <v>0.123</v>
      </c>
      <c r="I53" s="2" t="n">
        <v>0.086</v>
      </c>
      <c r="J53" s="2" t="n">
        <v>0.066</v>
      </c>
      <c r="K53" s="2" t="n">
        <v>0.045</v>
      </c>
      <c r="L53" s="2" t="n">
        <v>0.032</v>
      </c>
    </row>
    <row r="54" customFormat="false" ht="15.75" hidden="false" customHeight="false" outlineLevel="0" collapsed="false">
      <c r="A54" s="2" t="s">
        <v>337</v>
      </c>
      <c r="B54" s="2" t="n">
        <v>1</v>
      </c>
      <c r="C54" s="2" t="n">
        <f aca="false">SQRT(PI()*(B54/2)^2)</f>
        <v>0.886226925452758</v>
      </c>
      <c r="D54" s="2" t="n">
        <v>0.5</v>
      </c>
      <c r="E54" s="2" t="n">
        <v>0.35</v>
      </c>
      <c r="F54" s="2" t="n">
        <v>0.23</v>
      </c>
      <c r="G54" s="2" t="n">
        <v>0.16</v>
      </c>
      <c r="H54" s="2" t="n">
        <v>0.123</v>
      </c>
      <c r="I54" s="2" t="n">
        <v>0.086</v>
      </c>
      <c r="J54" s="2" t="n">
        <v>0.066</v>
      </c>
      <c r="K54" s="2" t="n">
        <v>0.045</v>
      </c>
      <c r="L54" s="2" t="n">
        <v>0.032</v>
      </c>
    </row>
    <row r="55" customFormat="false" ht="15.75" hidden="false" customHeight="false" outlineLevel="0" collapsed="false">
      <c r="A55" s="2" t="s">
        <v>338</v>
      </c>
      <c r="B55" s="2" t="n">
        <v>0.7</v>
      </c>
      <c r="C55" s="2" t="n">
        <f aca="false">SQRT(PI()*(B55/2)^2)</f>
        <v>0.620358847816931</v>
      </c>
      <c r="D55" s="2" t="n">
        <v>0.5</v>
      </c>
      <c r="E55" s="2" t="n">
        <v>0.35</v>
      </c>
      <c r="F55" s="2" t="n">
        <v>0.23</v>
      </c>
      <c r="G55" s="2" t="n">
        <v>0.16</v>
      </c>
      <c r="H55" s="2" t="n">
        <v>0.123</v>
      </c>
      <c r="I55" s="2" t="n">
        <v>0.086</v>
      </c>
      <c r="J55" s="2" t="n">
        <v>0.066</v>
      </c>
      <c r="K55" s="2" t="n">
        <v>0.045</v>
      </c>
      <c r="L55" s="2" t="n">
        <v>0.032</v>
      </c>
    </row>
    <row r="56" customFormat="false" ht="15.75" hidden="false" customHeight="false" outlineLevel="0" collapsed="false">
      <c r="A56" s="2" t="s">
        <v>339</v>
      </c>
      <c r="B56" s="2" t="n">
        <v>0.5</v>
      </c>
      <c r="C56" s="2" t="n">
        <f aca="false">SQRT(PI()*(B56/2)^2)</f>
        <v>0.443113462726379</v>
      </c>
      <c r="D56" s="2" t="n">
        <v>0.93</v>
      </c>
      <c r="E56" s="2" t="n">
        <v>0.66</v>
      </c>
      <c r="F56" s="2" t="n">
        <v>0.5</v>
      </c>
      <c r="G56" s="2" t="n">
        <v>0.35</v>
      </c>
      <c r="H56" s="2" t="n">
        <v>0.23</v>
      </c>
      <c r="I56" s="2" t="n">
        <v>0.16</v>
      </c>
      <c r="J56" s="2" t="n">
        <v>0.123</v>
      </c>
      <c r="K56" s="2" t="n">
        <v>0.086</v>
      </c>
      <c r="L56" s="2" t="n">
        <v>0.066</v>
      </c>
    </row>
    <row r="57" customFormat="false" ht="15.75" hidden="false" customHeight="false" outlineLevel="0" collapsed="false">
      <c r="A57" s="2" t="s">
        <v>340</v>
      </c>
      <c r="B57" s="2" t="n">
        <v>0.35</v>
      </c>
      <c r="C57" s="2" t="n">
        <f aca="false">SQRT(PI()*(B57/2)^2)</f>
        <v>0.310179423908465</v>
      </c>
      <c r="D57" s="2" t="n">
        <v>0.93</v>
      </c>
      <c r="E57" s="2" t="n">
        <v>0.66</v>
      </c>
      <c r="F57" s="2" t="n">
        <v>0.5</v>
      </c>
      <c r="G57" s="2" t="n">
        <v>0.35</v>
      </c>
      <c r="H57" s="2" t="n">
        <v>0.23</v>
      </c>
      <c r="I57" s="2" t="n">
        <v>0.16</v>
      </c>
      <c r="J57" s="2" t="n">
        <v>0.123</v>
      </c>
      <c r="K57" s="2" t="n">
        <v>0.086</v>
      </c>
      <c r="L57" s="2" t="n">
        <v>0.066</v>
      </c>
    </row>
    <row r="58" customFormat="false" ht="15.75" hidden="false" customHeight="false" outlineLevel="0" collapsed="false">
      <c r="A58" s="2" t="s">
        <v>341</v>
      </c>
      <c r="B58" s="2" t="n">
        <v>0.25</v>
      </c>
      <c r="C58" s="2" t="n">
        <f aca="false">SQRT(PI()*(B58/2)^2)</f>
        <v>0.221556731363189</v>
      </c>
      <c r="D58" s="2" t="n">
        <v>0.93</v>
      </c>
      <c r="E58" s="2" t="n">
        <v>0.66</v>
      </c>
      <c r="F58" s="2" t="n">
        <v>0.5</v>
      </c>
      <c r="G58" s="2" t="n">
        <v>0.35</v>
      </c>
      <c r="H58" s="2" t="n">
        <v>0.23</v>
      </c>
      <c r="I58" s="2" t="n">
        <v>0.16</v>
      </c>
      <c r="J58" s="2" t="n">
        <v>0.123</v>
      </c>
      <c r="K58" s="2" t="n">
        <v>0.086</v>
      </c>
      <c r="L58" s="2" t="n">
        <v>0.066</v>
      </c>
    </row>
    <row r="60" customFormat="false" ht="15.75" hidden="false" customHeight="false" outlineLevel="0" collapsed="false">
      <c r="A60" s="1" t="s">
        <v>427</v>
      </c>
      <c r="B60" s="1" t="n">
        <v>0</v>
      </c>
      <c r="C60" s="1" t="n">
        <v>1</v>
      </c>
      <c r="D60" s="1" t="n">
        <v>1.5</v>
      </c>
      <c r="E60" s="1" t="n">
        <v>2</v>
      </c>
      <c r="F60" s="1" t="n">
        <v>2.5</v>
      </c>
      <c r="G60" s="1" t="n">
        <v>3</v>
      </c>
      <c r="H60" s="1" t="n">
        <v>3.5</v>
      </c>
      <c r="I60" s="1" t="n">
        <v>4</v>
      </c>
      <c r="J60" s="1" t="n">
        <v>4.5</v>
      </c>
      <c r="K60" s="1" t="n">
        <v>5</v>
      </c>
      <c r="L60" s="1" t="n">
        <v>5.5</v>
      </c>
      <c r="M60" s="1" t="n">
        <v>6</v>
      </c>
      <c r="N60" s="1" t="n">
        <v>6.5</v>
      </c>
      <c r="O60" s="1" t="n">
        <v>7</v>
      </c>
      <c r="P60" s="1" t="n">
        <v>7.5</v>
      </c>
      <c r="Q60" s="1" t="n">
        <v>8</v>
      </c>
      <c r="R60" s="1" t="n">
        <v>8.5</v>
      </c>
      <c r="S60" s="1" t="n">
        <v>9</v>
      </c>
    </row>
    <row r="61" customFormat="false" ht="15.75" hidden="false" customHeight="false" outlineLevel="0" collapsed="false">
      <c r="A61" s="1" t="s">
        <v>325</v>
      </c>
      <c r="B61" s="1" t="e">
        <f aca="false">#N/A</f>
        <v>#N/A</v>
      </c>
      <c r="C61" s="1" t="n">
        <f aca="false">VLOOKUP(D47,TO10kVAdj,MATCH(LEEDS_KV,$B$30:$E$30,0)+1)</f>
        <v>0.167</v>
      </c>
      <c r="D61" s="1" t="n">
        <f aca="false">(C61+E61)/2</f>
        <v>0.1475</v>
      </c>
      <c r="E61" s="1" t="n">
        <f aca="false">VLOOKUP(E47,TO10kVAdj,MATCH(LEEDS_KV,$B$30:$E$30,0)+1)</f>
        <v>0.128</v>
      </c>
      <c r="F61" s="1" t="n">
        <f aca="false">(E61+G61)/2</f>
        <v>0.1078</v>
      </c>
      <c r="G61" s="1" t="n">
        <f aca="false">VLOOKUP(F47,TO10kVAdj,MATCH(LEEDS_KV,$B$30:$E$30,0)+1)</f>
        <v>0.0876</v>
      </c>
      <c r="H61" s="1" t="n">
        <f aca="false">(G61+I61)/2</f>
        <v>0.0775</v>
      </c>
      <c r="I61" s="1" t="n">
        <f aca="false">VLOOKUP(G47,TO10kVAdj,MATCH(LEEDS_KV,$B$30:$E$30,0)+1)</f>
        <v>0.0674</v>
      </c>
      <c r="J61" s="1" t="n">
        <f aca="false">(I61+K61)/2</f>
        <v>0.0562</v>
      </c>
      <c r="K61" s="1" t="n">
        <f aca="false">VLOOKUP(H47,TO10kVAdj,MATCH(LEEDS_KV,$B$30:$E$30,0)+1)</f>
        <v>0.045</v>
      </c>
      <c r="L61" s="1" t="n">
        <f aca="false">(K61+M61)/2</f>
        <v>0.0386</v>
      </c>
      <c r="M61" s="1" t="n">
        <f aca="false">VLOOKUP(I47,TO10kVAdj,MATCH(LEEDS_KV,$B$30:$E$30,0)+1)</f>
        <v>0.0322</v>
      </c>
      <c r="N61" s="1" t="n">
        <f aca="false">(M61+O61)/2</f>
        <v>0.02685</v>
      </c>
      <c r="O61" s="1" t="n">
        <f aca="false">VLOOKUP(J47,TO10kVAdj,MATCH(LEEDS_KV,$B$30:$E$30,0)+1)</f>
        <v>0.0215</v>
      </c>
      <c r="P61" s="1" t="n">
        <f aca="false">(O61+Q61)/2</f>
        <v>0.0185</v>
      </c>
      <c r="Q61" s="1" t="n">
        <f aca="false">VLOOKUP(K47,TO10kVAdj,MATCH(LEEDS_KV,$B$30:$E$30,0)+1)</f>
        <v>0.0155</v>
      </c>
      <c r="R61" s="1" t="n">
        <f aca="false">(Q61+S61)/2</f>
        <v>0.01325</v>
      </c>
      <c r="S61" s="1" t="n">
        <f aca="false">VLOOKUP(L47,TO10kVAdj,MATCH(LEEDS_KV,$B$30:$E$30,0)+1)</f>
        <v>0.011</v>
      </c>
    </row>
    <row r="62" customFormat="false" ht="15.75" hidden="false" customHeight="false" outlineLevel="0" collapsed="false">
      <c r="A62" s="1" t="s">
        <v>326</v>
      </c>
      <c r="B62" s="1" t="e">
        <f aca="false">#N/A</f>
        <v>#N/A</v>
      </c>
      <c r="C62" s="1" t="n">
        <f aca="false">VLOOKUP(D48,TO10kVAdj,MATCH(LEEDS_KV,$B$30:$E$30,0)+1)</f>
        <v>0.167</v>
      </c>
      <c r="D62" s="1" t="n">
        <f aca="false">(C62+E62)/2</f>
        <v>0.1475</v>
      </c>
      <c r="E62" s="1" t="n">
        <f aca="false">VLOOKUP(E48,TO10kVAdj,MATCH(LEEDS_KV,$B$30:$E$30,0)+1)</f>
        <v>0.128</v>
      </c>
      <c r="F62" s="1" t="n">
        <f aca="false">(E62+G62)/2</f>
        <v>0.1078</v>
      </c>
      <c r="G62" s="1" t="n">
        <f aca="false">VLOOKUP(F48,TO10kVAdj,MATCH(LEEDS_KV,$B$30:$E$30,0)+1)</f>
        <v>0.0876</v>
      </c>
      <c r="H62" s="1" t="n">
        <f aca="false">(G62+I62)/2</f>
        <v>0.0775</v>
      </c>
      <c r="I62" s="1" t="n">
        <f aca="false">VLOOKUP(G48,TO10kVAdj,MATCH(LEEDS_KV,$B$30:$E$30,0)+1)</f>
        <v>0.0674</v>
      </c>
      <c r="J62" s="1" t="n">
        <f aca="false">(I62+K62)/2</f>
        <v>0.0562</v>
      </c>
      <c r="K62" s="1" t="n">
        <f aca="false">VLOOKUP(H48,TO10kVAdj,MATCH(LEEDS_KV,$B$30:$E$30,0)+1)</f>
        <v>0.045</v>
      </c>
      <c r="L62" s="1" t="n">
        <f aca="false">(K62+M62)/2</f>
        <v>0.0386</v>
      </c>
      <c r="M62" s="1" t="n">
        <f aca="false">VLOOKUP(I48,TO10kVAdj,MATCH(LEEDS_KV,$B$30:$E$30,0)+1)</f>
        <v>0.0322</v>
      </c>
      <c r="N62" s="1" t="n">
        <f aca="false">(M62+O62)/2</f>
        <v>0.02685</v>
      </c>
      <c r="O62" s="1" t="n">
        <f aca="false">VLOOKUP(J48,TO10kVAdj,MATCH(LEEDS_KV,$B$30:$E$30,0)+1)</f>
        <v>0.0215</v>
      </c>
      <c r="P62" s="1" t="n">
        <f aca="false">(O62+Q62)/2</f>
        <v>0.0185</v>
      </c>
      <c r="Q62" s="1" t="n">
        <f aca="false">VLOOKUP(K48,TO10kVAdj,MATCH(LEEDS_KV,$B$30:$E$30,0)+1)</f>
        <v>0.0155</v>
      </c>
      <c r="R62" s="1" t="n">
        <f aca="false">(Q62+S62)/2</f>
        <v>0.01325</v>
      </c>
      <c r="S62" s="1" t="n">
        <f aca="false">VLOOKUP(L48,TO10kVAdj,MATCH(LEEDS_KV,$B$30:$E$30,0)+1)</f>
        <v>0.011</v>
      </c>
    </row>
    <row r="63" customFormat="false" ht="15.75" hidden="false" customHeight="false" outlineLevel="0" collapsed="false">
      <c r="A63" s="1" t="s">
        <v>327</v>
      </c>
      <c r="B63" s="1" t="e">
        <f aca="false">#N/A</f>
        <v>#N/A</v>
      </c>
      <c r="C63" s="1" t="n">
        <f aca="false">VLOOKUP(D49,TO10kVAdj,MATCH(LEEDS_KV,$B$30:$E$30,0)+1)</f>
        <v>0.167</v>
      </c>
      <c r="D63" s="1" t="n">
        <f aca="false">(C63+E63)/2</f>
        <v>0.1475</v>
      </c>
      <c r="E63" s="1" t="n">
        <f aca="false">VLOOKUP(E49,TO10kVAdj,MATCH(LEEDS_KV,$B$30:$E$30,0)+1)</f>
        <v>0.128</v>
      </c>
      <c r="F63" s="1" t="n">
        <f aca="false">(E63+G63)/2</f>
        <v>0.1078</v>
      </c>
      <c r="G63" s="1" t="n">
        <f aca="false">VLOOKUP(F49,TO10kVAdj,MATCH(LEEDS_KV,$B$30:$E$30,0)+1)</f>
        <v>0.0876</v>
      </c>
      <c r="H63" s="1" t="n">
        <f aca="false">(G63+I63)/2</f>
        <v>0.0775</v>
      </c>
      <c r="I63" s="1" t="n">
        <f aca="false">VLOOKUP(G49,TO10kVAdj,MATCH(LEEDS_KV,$B$30:$E$30,0)+1)</f>
        <v>0.0674</v>
      </c>
      <c r="J63" s="1" t="n">
        <f aca="false">(I63+K63)/2</f>
        <v>0.0562</v>
      </c>
      <c r="K63" s="1" t="n">
        <f aca="false">VLOOKUP(H49,TO10kVAdj,MATCH(LEEDS_KV,$B$30:$E$30,0)+1)</f>
        <v>0.045</v>
      </c>
      <c r="L63" s="1" t="n">
        <f aca="false">(K63+M63)/2</f>
        <v>0.0386</v>
      </c>
      <c r="M63" s="1" t="n">
        <f aca="false">VLOOKUP(I49,TO10kVAdj,MATCH(LEEDS_KV,$B$30:$E$30,0)+1)</f>
        <v>0.0322</v>
      </c>
      <c r="N63" s="1" t="n">
        <f aca="false">(M63+O63)/2</f>
        <v>0.02685</v>
      </c>
      <c r="O63" s="1" t="n">
        <f aca="false">VLOOKUP(J49,TO10kVAdj,MATCH(LEEDS_KV,$B$30:$E$30,0)+1)</f>
        <v>0.0215</v>
      </c>
      <c r="P63" s="1" t="n">
        <f aca="false">(O63+Q63)/2</f>
        <v>0.0185</v>
      </c>
      <c r="Q63" s="1" t="n">
        <f aca="false">VLOOKUP(K49,TO10kVAdj,MATCH(LEEDS_KV,$B$30:$E$30,0)+1)</f>
        <v>0.0155</v>
      </c>
      <c r="R63" s="1" t="n">
        <f aca="false">(Q63+S63)/2</f>
        <v>0.01325</v>
      </c>
      <c r="S63" s="1" t="n">
        <f aca="false">VLOOKUP(L49,TO10kVAdj,MATCH(LEEDS_KV,$B$30:$E$30,0)+1)</f>
        <v>0.011</v>
      </c>
    </row>
    <row r="64" customFormat="false" ht="15.75" hidden="false" customHeight="false" outlineLevel="0" collapsed="false">
      <c r="A64" s="1" t="s">
        <v>329</v>
      </c>
      <c r="B64" s="1" t="e">
        <f aca="false">#N/A</f>
        <v>#N/A</v>
      </c>
      <c r="C64" s="1" t="n">
        <f aca="false">VLOOKUP(D50,TO10kVAdj,MATCH(LEEDS_KV,$B$30:$E$30,0)+1)</f>
        <v>0.238</v>
      </c>
      <c r="D64" s="1" t="n">
        <f aca="false">(C64+E64)/2</f>
        <v>0.2025</v>
      </c>
      <c r="E64" s="1" t="n">
        <f aca="false">VLOOKUP(E50,TO10kVAdj,MATCH(LEEDS_KV,$B$30:$E$30,0)+1)</f>
        <v>0.167</v>
      </c>
      <c r="F64" s="1" t="n">
        <f aca="false">(E64+G64)/2</f>
        <v>0.1475</v>
      </c>
      <c r="G64" s="1" t="n">
        <f aca="false">VLOOKUP(F50,TO10kVAdj,MATCH(LEEDS_KV,$B$30:$E$30,0)+1)</f>
        <v>0.128</v>
      </c>
      <c r="H64" s="1" t="n">
        <f aca="false">(G64+I64)/2</f>
        <v>0.1078</v>
      </c>
      <c r="I64" s="1" t="n">
        <f aca="false">VLOOKUP(G50,TO10kVAdj,MATCH(LEEDS_KV,$B$30:$E$30,0)+1)</f>
        <v>0.0876</v>
      </c>
      <c r="J64" s="1" t="n">
        <f aca="false">(I64+K64)/2</f>
        <v>0.0775</v>
      </c>
      <c r="K64" s="1" t="n">
        <f aca="false">VLOOKUP(H50,TO10kVAdj,MATCH(LEEDS_KV,$B$30:$E$30,0)+1)</f>
        <v>0.0674</v>
      </c>
      <c r="L64" s="1" t="n">
        <f aca="false">(K64+M64)/2</f>
        <v>0.0562</v>
      </c>
      <c r="M64" s="1" t="n">
        <f aca="false">VLOOKUP(I50,TO10kVAdj,MATCH(LEEDS_KV,$B$30:$E$30,0)+1)</f>
        <v>0.045</v>
      </c>
      <c r="N64" s="1" t="n">
        <f aca="false">(M64+O64)/2</f>
        <v>0.0386</v>
      </c>
      <c r="O64" s="1" t="n">
        <f aca="false">VLOOKUP(J50,TO10kVAdj,MATCH(LEEDS_KV,$B$30:$E$30,0)+1)</f>
        <v>0.0322</v>
      </c>
      <c r="P64" s="1" t="n">
        <f aca="false">(O64+Q64)/2</f>
        <v>0.02685</v>
      </c>
      <c r="Q64" s="1" t="n">
        <f aca="false">VLOOKUP(K50,TO10kVAdj,MATCH(LEEDS_KV,$B$30:$E$30,0)+1)</f>
        <v>0.0215</v>
      </c>
      <c r="R64" s="1" t="n">
        <f aca="false">(Q64+S64)/2</f>
        <v>0.0185</v>
      </c>
      <c r="S64" s="1" t="n">
        <f aca="false">VLOOKUP(L50,TO10kVAdj,MATCH(LEEDS_KV,$B$30:$E$30,0)+1)</f>
        <v>0.0155</v>
      </c>
    </row>
    <row r="65" customFormat="false" ht="15.75" hidden="false" customHeight="false" outlineLevel="0" collapsed="false">
      <c r="A65" s="1" t="s">
        <v>331</v>
      </c>
      <c r="B65" s="1" t="e">
        <f aca="false">#N/A</f>
        <v>#N/A</v>
      </c>
      <c r="C65" s="1" t="n">
        <f aca="false">VLOOKUP(D51,TO10kVAdj,MATCH(LEEDS_KV,$B$30:$E$30,0)+1)</f>
        <v>0.238</v>
      </c>
      <c r="D65" s="1" t="n">
        <f aca="false">(C65+E65)/2</f>
        <v>0.2025</v>
      </c>
      <c r="E65" s="1" t="n">
        <f aca="false">VLOOKUP(E51,TO10kVAdj,MATCH(LEEDS_KV,$B$30:$E$30,0)+1)</f>
        <v>0.167</v>
      </c>
      <c r="F65" s="1" t="n">
        <f aca="false">(E65+G65)/2</f>
        <v>0.1475</v>
      </c>
      <c r="G65" s="1" t="n">
        <f aca="false">VLOOKUP(F51,TO10kVAdj,MATCH(LEEDS_KV,$B$30:$E$30,0)+1)</f>
        <v>0.128</v>
      </c>
      <c r="H65" s="1" t="n">
        <f aca="false">(G65+I65)/2</f>
        <v>0.1078</v>
      </c>
      <c r="I65" s="1" t="n">
        <f aca="false">VLOOKUP(G51,TO10kVAdj,MATCH(LEEDS_KV,$B$30:$E$30,0)+1)</f>
        <v>0.0876</v>
      </c>
      <c r="J65" s="1" t="n">
        <f aca="false">(I65+K65)/2</f>
        <v>0.0775</v>
      </c>
      <c r="K65" s="1" t="n">
        <f aca="false">VLOOKUP(H51,TO10kVAdj,MATCH(LEEDS_KV,$B$30:$E$30,0)+1)</f>
        <v>0.0674</v>
      </c>
      <c r="L65" s="1" t="n">
        <f aca="false">(K65+M65)/2</f>
        <v>0.0562</v>
      </c>
      <c r="M65" s="1" t="n">
        <f aca="false">VLOOKUP(I51,TO10kVAdj,MATCH(LEEDS_KV,$B$30:$E$30,0)+1)</f>
        <v>0.045</v>
      </c>
      <c r="N65" s="1" t="n">
        <f aca="false">(M65+O65)/2</f>
        <v>0.0386</v>
      </c>
      <c r="O65" s="1" t="n">
        <f aca="false">VLOOKUP(J51,TO10kVAdj,MATCH(LEEDS_KV,$B$30:$E$30,0)+1)</f>
        <v>0.0322</v>
      </c>
      <c r="P65" s="1" t="n">
        <f aca="false">(O65+Q65)/2</f>
        <v>0.02685</v>
      </c>
      <c r="Q65" s="1" t="n">
        <f aca="false">VLOOKUP(K51,TO10kVAdj,MATCH(LEEDS_KV,$B$30:$E$30,0)+1)</f>
        <v>0.0215</v>
      </c>
      <c r="R65" s="1" t="n">
        <f aca="false">(Q65+S65)/2</f>
        <v>0.0185</v>
      </c>
      <c r="S65" s="1" t="n">
        <f aca="false">VLOOKUP(L51,TO10kVAdj,MATCH(LEEDS_KV,$B$30:$E$30,0)+1)</f>
        <v>0.0155</v>
      </c>
    </row>
    <row r="66" customFormat="false" ht="15.75" hidden="false" customHeight="false" outlineLevel="0" collapsed="false">
      <c r="A66" s="1" t="s">
        <v>333</v>
      </c>
      <c r="B66" s="1" t="e">
        <f aca="false">#N/A</f>
        <v>#N/A</v>
      </c>
      <c r="C66" s="1" t="n">
        <f aca="false">VLOOKUP(D52,TO10kVAdj,MATCH(LEEDS_KV,$B$30:$E$30,0)+1)</f>
        <v>0.238</v>
      </c>
      <c r="D66" s="1" t="n">
        <f aca="false">(C66+E66)/2</f>
        <v>0.2025</v>
      </c>
      <c r="E66" s="1" t="n">
        <f aca="false">VLOOKUP(E52,TO10kVAdj,MATCH(LEEDS_KV,$B$30:$E$30,0)+1)</f>
        <v>0.167</v>
      </c>
      <c r="F66" s="1" t="n">
        <f aca="false">(E66+G66)/2</f>
        <v>0.1475</v>
      </c>
      <c r="G66" s="1" t="n">
        <f aca="false">VLOOKUP(F52,TO10kVAdj,MATCH(LEEDS_KV,$B$30:$E$30,0)+1)</f>
        <v>0.128</v>
      </c>
      <c r="H66" s="1" t="n">
        <f aca="false">(G66+I66)/2</f>
        <v>0.1078</v>
      </c>
      <c r="I66" s="1" t="n">
        <f aca="false">VLOOKUP(G52,TO10kVAdj,MATCH(LEEDS_KV,$B$30:$E$30,0)+1)</f>
        <v>0.0876</v>
      </c>
      <c r="J66" s="1" t="n">
        <f aca="false">(I66+K66)/2</f>
        <v>0.0775</v>
      </c>
      <c r="K66" s="1" t="n">
        <f aca="false">VLOOKUP(H52,TO10kVAdj,MATCH(LEEDS_KV,$B$30:$E$30,0)+1)</f>
        <v>0.0674</v>
      </c>
      <c r="L66" s="1" t="n">
        <f aca="false">(K66+M66)/2</f>
        <v>0.0562</v>
      </c>
      <c r="M66" s="1" t="n">
        <f aca="false">VLOOKUP(I52,TO10kVAdj,MATCH(LEEDS_KV,$B$30:$E$30,0)+1)</f>
        <v>0.045</v>
      </c>
      <c r="N66" s="1" t="n">
        <f aca="false">(M66+O66)/2</f>
        <v>0.0386</v>
      </c>
      <c r="O66" s="1" t="n">
        <f aca="false">VLOOKUP(J52,TO10kVAdj,MATCH(LEEDS_KV,$B$30:$E$30,0)+1)</f>
        <v>0.0322</v>
      </c>
      <c r="P66" s="1" t="n">
        <f aca="false">(O66+Q66)/2</f>
        <v>0.02685</v>
      </c>
      <c r="Q66" s="1" t="n">
        <f aca="false">VLOOKUP(K52,TO10kVAdj,MATCH(LEEDS_KV,$B$30:$E$30,0)+1)</f>
        <v>0.0215</v>
      </c>
      <c r="R66" s="1" t="n">
        <f aca="false">(Q66+S66)/2</f>
        <v>0.0185</v>
      </c>
      <c r="S66" s="1" t="n">
        <f aca="false">VLOOKUP(L52,TO10kVAdj,MATCH(LEEDS_KV,$B$30:$E$30,0)+1)</f>
        <v>0.0155</v>
      </c>
    </row>
    <row r="67" customFormat="false" ht="15.75" hidden="false" customHeight="false" outlineLevel="0" collapsed="false">
      <c r="A67" s="1" t="s">
        <v>334</v>
      </c>
      <c r="B67" s="1" t="e">
        <f aca="false">#N/A</f>
        <v>#N/A</v>
      </c>
      <c r="C67" s="1" t="n">
        <f aca="false">VLOOKUP(D53,TO10kVAdj,MATCH(LEEDS_KV,$B$30:$E$30,0)+1)</f>
        <v>0.573</v>
      </c>
      <c r="D67" s="1" t="n">
        <f aca="false">(C67+E67)/2</f>
        <v>0.4665</v>
      </c>
      <c r="E67" s="1" t="n">
        <f aca="false">VLOOKUP(E53,TO10kVAdj,MATCH(LEEDS_KV,$B$30:$E$30,0)+1)</f>
        <v>0.36</v>
      </c>
      <c r="F67" s="1" t="n">
        <f aca="false">(E67+G67)/2</f>
        <v>0.299</v>
      </c>
      <c r="G67" s="1" t="n">
        <f aca="false">VLOOKUP(F53,TO10kVAdj,MATCH(LEEDS_KV,$B$30:$E$30,0)+1)</f>
        <v>0.238</v>
      </c>
      <c r="H67" s="1" t="n">
        <f aca="false">(G67+I67)/2</f>
        <v>0.2025</v>
      </c>
      <c r="I67" s="1" t="n">
        <f aca="false">VLOOKUP(G53,TO10kVAdj,MATCH(LEEDS_KV,$B$30:$E$30,0)+1)</f>
        <v>0.167</v>
      </c>
      <c r="J67" s="1" t="n">
        <f aca="false">(I67+K67)/2</f>
        <v>0.1475</v>
      </c>
      <c r="K67" s="1" t="n">
        <f aca="false">VLOOKUP(H53,TO10kVAdj,MATCH(LEEDS_KV,$B$30:$E$30,0)+1)</f>
        <v>0.128</v>
      </c>
      <c r="L67" s="1" t="n">
        <f aca="false">(K67+M67)/2</f>
        <v>0.1078</v>
      </c>
      <c r="M67" s="1" t="n">
        <f aca="false">VLOOKUP(I53,TO10kVAdj,MATCH(LEEDS_KV,$B$30:$E$30,0)+1)</f>
        <v>0.0876</v>
      </c>
      <c r="N67" s="1" t="n">
        <f aca="false">(M67+O67)/2</f>
        <v>0.0775</v>
      </c>
      <c r="O67" s="1" t="n">
        <f aca="false">VLOOKUP(J53,TO10kVAdj,MATCH(LEEDS_KV,$B$30:$E$30,0)+1)</f>
        <v>0.0674</v>
      </c>
      <c r="P67" s="1" t="n">
        <f aca="false">(O67+Q67)/2</f>
        <v>0.0562</v>
      </c>
      <c r="Q67" s="1" t="n">
        <f aca="false">VLOOKUP(K53,TO10kVAdj,MATCH(LEEDS_KV,$B$30:$E$30,0)+1)</f>
        <v>0.045</v>
      </c>
      <c r="R67" s="1" t="n">
        <f aca="false">(Q67+S67)/2</f>
        <v>0.0386</v>
      </c>
      <c r="S67" s="1" t="n">
        <f aca="false">VLOOKUP(L53,TO10kVAdj,MATCH(LEEDS_KV,$B$30:$E$30,0)+1)</f>
        <v>0.0322</v>
      </c>
    </row>
    <row r="68" customFormat="false" ht="15.75" hidden="false" customHeight="false" outlineLevel="0" collapsed="false">
      <c r="A68" s="1" t="s">
        <v>337</v>
      </c>
      <c r="B68" s="1" t="e">
        <f aca="false">#N/A</f>
        <v>#N/A</v>
      </c>
      <c r="C68" s="1" t="n">
        <f aca="false">VLOOKUP(D54,TO10kVAdj,MATCH(LEEDS_KV,$B$30:$E$30,0)+1)</f>
        <v>0.573</v>
      </c>
      <c r="D68" s="1" t="n">
        <f aca="false">(C68+E68)/2</f>
        <v>0.4665</v>
      </c>
      <c r="E68" s="1" t="n">
        <f aca="false">VLOOKUP(E54,TO10kVAdj,MATCH(LEEDS_KV,$B$30:$E$30,0)+1)</f>
        <v>0.36</v>
      </c>
      <c r="F68" s="1" t="n">
        <f aca="false">(E68+G68)/2</f>
        <v>0.299</v>
      </c>
      <c r="G68" s="1" t="n">
        <f aca="false">VLOOKUP(F54,TO10kVAdj,MATCH(LEEDS_KV,$B$30:$E$30,0)+1)</f>
        <v>0.238</v>
      </c>
      <c r="H68" s="1" t="n">
        <f aca="false">(G68+I68)/2</f>
        <v>0.2025</v>
      </c>
      <c r="I68" s="1" t="n">
        <f aca="false">VLOOKUP(G54,TO10kVAdj,MATCH(LEEDS_KV,$B$30:$E$30,0)+1)</f>
        <v>0.167</v>
      </c>
      <c r="J68" s="1" t="n">
        <f aca="false">(I68+K68)/2</f>
        <v>0.1475</v>
      </c>
      <c r="K68" s="1" t="n">
        <f aca="false">VLOOKUP(H54,TO10kVAdj,MATCH(LEEDS_KV,$B$30:$E$30,0)+1)</f>
        <v>0.128</v>
      </c>
      <c r="L68" s="1" t="n">
        <f aca="false">(K68+M68)/2</f>
        <v>0.1078</v>
      </c>
      <c r="M68" s="1" t="n">
        <f aca="false">VLOOKUP(I54,TO10kVAdj,MATCH(LEEDS_KV,$B$30:$E$30,0)+1)</f>
        <v>0.0876</v>
      </c>
      <c r="N68" s="1" t="n">
        <f aca="false">(M68+O68)/2</f>
        <v>0.0775</v>
      </c>
      <c r="O68" s="1" t="n">
        <f aca="false">VLOOKUP(J54,TO10kVAdj,MATCH(LEEDS_KV,$B$30:$E$30,0)+1)</f>
        <v>0.0674</v>
      </c>
      <c r="P68" s="1" t="n">
        <f aca="false">(O68+Q68)/2</f>
        <v>0.0562</v>
      </c>
      <c r="Q68" s="1" t="n">
        <f aca="false">VLOOKUP(K54,TO10kVAdj,MATCH(LEEDS_KV,$B$30:$E$30,0)+1)</f>
        <v>0.045</v>
      </c>
      <c r="R68" s="1" t="n">
        <f aca="false">(Q68+S68)/2</f>
        <v>0.0386</v>
      </c>
      <c r="S68" s="1" t="n">
        <f aca="false">VLOOKUP(L54,TO10kVAdj,MATCH(LEEDS_KV,$B$30:$E$30,0)+1)</f>
        <v>0.0322</v>
      </c>
    </row>
    <row r="69" customFormat="false" ht="15.75" hidden="false" customHeight="false" outlineLevel="0" collapsed="false">
      <c r="A69" s="1" t="s">
        <v>338</v>
      </c>
      <c r="B69" s="1" t="e">
        <f aca="false">#N/A</f>
        <v>#N/A</v>
      </c>
      <c r="C69" s="1" t="n">
        <f aca="false">VLOOKUP(D55,TO10kVAdj,MATCH(LEEDS_KV,$B$30:$E$30,0)+1)</f>
        <v>0.573</v>
      </c>
      <c r="D69" s="1" t="n">
        <f aca="false">(C69+E69)/2</f>
        <v>0.4665</v>
      </c>
      <c r="E69" s="1" t="n">
        <f aca="false">VLOOKUP(E55,TO10kVAdj,MATCH(LEEDS_KV,$B$30:$E$30,0)+1)</f>
        <v>0.36</v>
      </c>
      <c r="F69" s="1" t="n">
        <f aca="false">(E69+G69)/2</f>
        <v>0.299</v>
      </c>
      <c r="G69" s="1" t="n">
        <f aca="false">VLOOKUP(F55,TO10kVAdj,MATCH(LEEDS_KV,$B$30:$E$30,0)+1)</f>
        <v>0.238</v>
      </c>
      <c r="H69" s="1" t="n">
        <f aca="false">(G69+I69)/2</f>
        <v>0.2025</v>
      </c>
      <c r="I69" s="1" t="n">
        <f aca="false">VLOOKUP(G55,TO10kVAdj,MATCH(LEEDS_KV,$B$30:$E$30,0)+1)</f>
        <v>0.167</v>
      </c>
      <c r="J69" s="1" t="n">
        <f aca="false">(I69+K69)/2</f>
        <v>0.1475</v>
      </c>
      <c r="K69" s="1" t="n">
        <f aca="false">VLOOKUP(H55,TO10kVAdj,MATCH(LEEDS_KV,$B$30:$E$30,0)+1)</f>
        <v>0.128</v>
      </c>
      <c r="L69" s="1" t="n">
        <f aca="false">(K69+M69)/2</f>
        <v>0.1078</v>
      </c>
      <c r="M69" s="1" t="n">
        <f aca="false">VLOOKUP(I55,TO10kVAdj,MATCH(LEEDS_KV,$B$30:$E$30,0)+1)</f>
        <v>0.0876</v>
      </c>
      <c r="N69" s="1" t="n">
        <f aca="false">(M69+O69)/2</f>
        <v>0.0775</v>
      </c>
      <c r="O69" s="1" t="n">
        <f aca="false">VLOOKUP(J55,TO10kVAdj,MATCH(LEEDS_KV,$B$30:$E$30,0)+1)</f>
        <v>0.0674</v>
      </c>
      <c r="P69" s="1" t="n">
        <f aca="false">(O69+Q69)/2</f>
        <v>0.0562</v>
      </c>
      <c r="Q69" s="1" t="n">
        <f aca="false">VLOOKUP(K55,TO10kVAdj,MATCH(LEEDS_KV,$B$30:$E$30,0)+1)</f>
        <v>0.045</v>
      </c>
      <c r="R69" s="1" t="n">
        <f aca="false">(Q69+S69)/2</f>
        <v>0.0386</v>
      </c>
      <c r="S69" s="1" t="n">
        <f aca="false">VLOOKUP(L55,TO10kVAdj,MATCH(LEEDS_KV,$B$30:$E$30,0)+1)</f>
        <v>0.0322</v>
      </c>
    </row>
    <row r="70" customFormat="false" ht="15.75" hidden="false" customHeight="false" outlineLevel="0" collapsed="false">
      <c r="A70" s="1" t="s">
        <v>339</v>
      </c>
      <c r="B70" s="1" t="e">
        <f aca="false">#N/A</f>
        <v>#N/A</v>
      </c>
      <c r="C70" s="1" t="n">
        <f aca="false">VLOOKUP(D56,TO10kVAdj,MATCH(LEEDS_KV,$B$30:$E$30,0)+1)</f>
        <v>0.954</v>
      </c>
      <c r="D70" s="1" t="n">
        <f aca="false">(C70+E70)/2</f>
        <v>0.84</v>
      </c>
      <c r="E70" s="1" t="n">
        <f aca="false">VLOOKUP(E56,TO10kVAdj,MATCH(LEEDS_KV,$B$30:$E$30,0)+1)</f>
        <v>0.726</v>
      </c>
      <c r="F70" s="1" t="n">
        <f aca="false">(E70+G70)/2</f>
        <v>0.6495</v>
      </c>
      <c r="G70" s="1" t="n">
        <f aca="false">VLOOKUP(F56,TO10kVAdj,MATCH(LEEDS_KV,$B$30:$E$30,0)+1)</f>
        <v>0.573</v>
      </c>
      <c r="H70" s="1" t="n">
        <f aca="false">(G70+I70)/2</f>
        <v>0.4665</v>
      </c>
      <c r="I70" s="1" t="n">
        <f aca="false">VLOOKUP(G56,TO10kVAdj,MATCH(LEEDS_KV,$B$30:$E$30,0)+1)</f>
        <v>0.36</v>
      </c>
      <c r="J70" s="1" t="n">
        <f aca="false">(I70+K70)/2</f>
        <v>0.299</v>
      </c>
      <c r="K70" s="1" t="n">
        <f aca="false">VLOOKUP(H56,TO10kVAdj,MATCH(LEEDS_KV,$B$30:$E$30,0)+1)</f>
        <v>0.238</v>
      </c>
      <c r="L70" s="1" t="n">
        <f aca="false">(K70+M70)/2</f>
        <v>0.2025</v>
      </c>
      <c r="M70" s="1" t="n">
        <f aca="false">VLOOKUP(I56,TO10kVAdj,MATCH(LEEDS_KV,$B$30:$E$30,0)+1)</f>
        <v>0.167</v>
      </c>
      <c r="N70" s="1" t="n">
        <f aca="false">(M70+O70)/2</f>
        <v>0.1475</v>
      </c>
      <c r="O70" s="1" t="n">
        <f aca="false">VLOOKUP(J56,TO10kVAdj,MATCH(LEEDS_KV,$B$30:$E$30,0)+1)</f>
        <v>0.128</v>
      </c>
      <c r="P70" s="1" t="n">
        <f aca="false">(O70+Q70)/2</f>
        <v>0.1078</v>
      </c>
      <c r="Q70" s="1" t="n">
        <f aca="false">VLOOKUP(K56,TO10kVAdj,MATCH(LEEDS_KV,$B$30:$E$30,0)+1)</f>
        <v>0.0876</v>
      </c>
      <c r="R70" s="1" t="n">
        <f aca="false">(Q70+S70)/2</f>
        <v>0.0775</v>
      </c>
      <c r="S70" s="1" t="n">
        <f aca="false">VLOOKUP(L56,TO10kVAdj,MATCH(LEEDS_KV,$B$30:$E$30,0)+1)</f>
        <v>0.0674</v>
      </c>
    </row>
    <row r="71" customFormat="false" ht="15.75" hidden="false" customHeight="false" outlineLevel="0" collapsed="false">
      <c r="A71" s="1" t="s">
        <v>340</v>
      </c>
      <c r="B71" s="1" t="e">
        <f aca="false">#N/A</f>
        <v>#N/A</v>
      </c>
      <c r="C71" s="1" t="n">
        <f aca="false">VLOOKUP(D57,TO10kVAdj,MATCH(LEEDS_KV,$B$30:$E$30,0)+1)</f>
        <v>0.954</v>
      </c>
      <c r="D71" s="1" t="n">
        <f aca="false">(C71+E71)/2</f>
        <v>0.84</v>
      </c>
      <c r="E71" s="1" t="n">
        <f aca="false">VLOOKUP(E57,TO10kVAdj,MATCH(LEEDS_KV,$B$30:$E$30,0)+1)</f>
        <v>0.726</v>
      </c>
      <c r="F71" s="1" t="n">
        <f aca="false">(E71+G71)/2</f>
        <v>0.6495</v>
      </c>
      <c r="G71" s="1" t="n">
        <f aca="false">VLOOKUP(F57,TO10kVAdj,MATCH(LEEDS_KV,$B$30:$E$30,0)+1)</f>
        <v>0.573</v>
      </c>
      <c r="H71" s="1" t="n">
        <f aca="false">(G71+I71)/2</f>
        <v>0.4665</v>
      </c>
      <c r="I71" s="1" t="n">
        <f aca="false">VLOOKUP(G57,TO10kVAdj,MATCH(LEEDS_KV,$B$30:$E$30,0)+1)</f>
        <v>0.36</v>
      </c>
      <c r="J71" s="1" t="n">
        <f aca="false">(I71+K71)/2</f>
        <v>0.299</v>
      </c>
      <c r="K71" s="1" t="n">
        <f aca="false">VLOOKUP(H57,TO10kVAdj,MATCH(LEEDS_KV,$B$30:$E$30,0)+1)</f>
        <v>0.238</v>
      </c>
      <c r="L71" s="1" t="n">
        <f aca="false">(K71+M71)/2</f>
        <v>0.2025</v>
      </c>
      <c r="M71" s="1" t="n">
        <f aca="false">VLOOKUP(I57,TO10kVAdj,MATCH(LEEDS_KV,$B$30:$E$30,0)+1)</f>
        <v>0.167</v>
      </c>
      <c r="N71" s="1" t="n">
        <f aca="false">(M71+O71)/2</f>
        <v>0.1475</v>
      </c>
      <c r="O71" s="1" t="n">
        <f aca="false">VLOOKUP(J57,TO10kVAdj,MATCH(LEEDS_KV,$B$30:$E$30,0)+1)</f>
        <v>0.128</v>
      </c>
      <c r="P71" s="1" t="n">
        <f aca="false">(O71+Q71)/2</f>
        <v>0.1078</v>
      </c>
      <c r="Q71" s="1" t="n">
        <f aca="false">VLOOKUP(K57,TO10kVAdj,MATCH(LEEDS_KV,$B$30:$E$30,0)+1)</f>
        <v>0.0876</v>
      </c>
      <c r="R71" s="1" t="n">
        <f aca="false">(Q71+S71)/2</f>
        <v>0.0775</v>
      </c>
      <c r="S71" s="1" t="n">
        <f aca="false">VLOOKUP(L57,TO10kVAdj,MATCH(LEEDS_KV,$B$30:$E$30,0)+1)</f>
        <v>0.0674</v>
      </c>
    </row>
    <row r="72" customFormat="false" ht="15.75" hidden="false" customHeight="false" outlineLevel="0" collapsed="false">
      <c r="A72" s="1" t="s">
        <v>341</v>
      </c>
      <c r="B72" s="1" t="e">
        <f aca="false">#N/A</f>
        <v>#N/A</v>
      </c>
      <c r="C72" s="1" t="n">
        <f aca="false">VLOOKUP(D58,TO10kVAdj,MATCH(LEEDS_KV,$B$30:$E$30,0)+1)</f>
        <v>0.954</v>
      </c>
      <c r="D72" s="1" t="n">
        <f aca="false">(C72+E72)/2</f>
        <v>0.84</v>
      </c>
      <c r="E72" s="1" t="n">
        <f aca="false">VLOOKUP(E58,TO10kVAdj,MATCH(LEEDS_KV,$B$30:$E$30,0)+1)</f>
        <v>0.726</v>
      </c>
      <c r="F72" s="1" t="n">
        <f aca="false">(E72+G72)/2</f>
        <v>0.6495</v>
      </c>
      <c r="G72" s="1" t="n">
        <f aca="false">VLOOKUP(F58,TO10kVAdj,MATCH(LEEDS_KV,$B$30:$E$30,0)+1)</f>
        <v>0.573</v>
      </c>
      <c r="H72" s="1" t="n">
        <f aca="false">(G72+I72)/2</f>
        <v>0.4665</v>
      </c>
      <c r="I72" s="1" t="n">
        <f aca="false">VLOOKUP(G58,TO10kVAdj,MATCH(LEEDS_KV,$B$30:$E$30,0)+1)</f>
        <v>0.36</v>
      </c>
      <c r="J72" s="1" t="n">
        <f aca="false">(I72+K72)/2</f>
        <v>0.299</v>
      </c>
      <c r="K72" s="1" t="n">
        <f aca="false">VLOOKUP(H58,TO10kVAdj,MATCH(LEEDS_KV,$B$30:$E$30,0)+1)</f>
        <v>0.238</v>
      </c>
      <c r="L72" s="1" t="n">
        <f aca="false">(K72+M72)/2</f>
        <v>0.2025</v>
      </c>
      <c r="M72" s="1" t="n">
        <f aca="false">VLOOKUP(I58,TO10kVAdj,MATCH(LEEDS_KV,$B$30:$E$30,0)+1)</f>
        <v>0.167</v>
      </c>
      <c r="N72" s="1" t="n">
        <f aca="false">(M72+O72)/2</f>
        <v>0.1475</v>
      </c>
      <c r="O72" s="1" t="n">
        <f aca="false">VLOOKUP(J58,TO10kVAdj,MATCH(LEEDS_KV,$B$30:$E$30,0)+1)</f>
        <v>0.128</v>
      </c>
      <c r="P72" s="1" t="n">
        <f aca="false">(O72+Q72)/2</f>
        <v>0.1078</v>
      </c>
      <c r="Q72" s="1" t="n">
        <f aca="false">VLOOKUP(K58,TO10kVAdj,MATCH(LEEDS_KV,$B$30:$E$30,0)+1)</f>
        <v>0.0876</v>
      </c>
      <c r="R72" s="1" t="n">
        <f aca="false">(Q72+S72)/2</f>
        <v>0.0775</v>
      </c>
      <c r="S72" s="1" t="n">
        <f aca="false">VLOOKUP(L58,TO10kVAdj,MATCH(LEEDS_KV,$B$30:$E$30,0)+1)</f>
        <v>0.0674</v>
      </c>
    </row>
    <row r="74" customFormat="false" ht="15.75" hidden="false" customHeight="false" outlineLevel="0" collapsed="false">
      <c r="A74" s="1" t="s">
        <v>199</v>
      </c>
    </row>
    <row r="75" customFormat="false" ht="15.75" hidden="false" customHeight="false" outlineLevel="0" collapsed="false">
      <c r="B75" s="1" t="s">
        <v>428</v>
      </c>
      <c r="E75" s="1" t="s">
        <v>429</v>
      </c>
      <c r="I75" s="1" t="s">
        <v>430</v>
      </c>
    </row>
    <row r="76" customFormat="false" ht="15.75" hidden="false" customHeight="false" outlineLevel="0" collapsed="false">
      <c r="B76" s="1" t="s">
        <v>431</v>
      </c>
      <c r="E76" s="1" t="s">
        <v>120</v>
      </c>
      <c r="F76" s="1" t="s">
        <v>431</v>
      </c>
      <c r="G76" s="1" t="s">
        <v>432</v>
      </c>
      <c r="I76" s="1" t="s">
        <v>202</v>
      </c>
      <c r="J76" s="1" t="s">
        <v>204</v>
      </c>
    </row>
    <row r="77" customFormat="false" ht="15.75" hidden="false" customHeight="false" outlineLevel="0" collapsed="false">
      <c r="A77" s="1" t="s">
        <v>157</v>
      </c>
      <c r="B77" s="1" t="s">
        <v>433</v>
      </c>
      <c r="D77" s="1" t="s">
        <v>157</v>
      </c>
      <c r="E77" s="1" t="s">
        <v>433</v>
      </c>
      <c r="F77" s="1" t="s">
        <v>433</v>
      </c>
      <c r="G77" s="1" t="s">
        <v>433</v>
      </c>
    </row>
    <row r="78" customFormat="false" ht="15.75" hidden="false" customHeight="false" outlineLevel="0" collapsed="false">
      <c r="A78" s="1" t="n">
        <v>30</v>
      </c>
      <c r="B78" s="1" t="n">
        <v>0.3</v>
      </c>
      <c r="D78" s="1" t="n">
        <v>60</v>
      </c>
      <c r="E78" s="1" t="n">
        <v>2.2</v>
      </c>
      <c r="F78" s="1" t="n">
        <v>1.8</v>
      </c>
      <c r="G78" s="1" t="n">
        <v>2.4</v>
      </c>
    </row>
    <row r="79" customFormat="false" ht="15.75" hidden="false" customHeight="false" outlineLevel="0" collapsed="false">
      <c r="A79" s="1" t="n">
        <v>40</v>
      </c>
      <c r="B79" s="1" t="n">
        <v>0.4</v>
      </c>
      <c r="D79" s="1" t="n">
        <v>70</v>
      </c>
      <c r="E79" s="1" t="n">
        <v>2.6</v>
      </c>
      <c r="F79" s="1" t="n">
        <v>2.2</v>
      </c>
      <c r="G79" s="1" t="n">
        <v>2.9</v>
      </c>
    </row>
    <row r="80" customFormat="false" ht="15.75" hidden="false" customHeight="false" outlineLevel="0" collapsed="false">
      <c r="A80" s="1" t="n">
        <v>50</v>
      </c>
      <c r="B80" s="1" t="n">
        <v>0.5</v>
      </c>
      <c r="D80" s="1" t="n">
        <v>80</v>
      </c>
      <c r="E80" s="1" t="n">
        <v>3</v>
      </c>
      <c r="F80" s="1" t="n">
        <v>2.6</v>
      </c>
      <c r="G80" s="1" t="n">
        <v>3.5</v>
      </c>
    </row>
    <row r="81" customFormat="false" ht="15.75" hidden="false" customHeight="false" outlineLevel="0" collapsed="false">
      <c r="A81" s="1" t="n">
        <v>51</v>
      </c>
      <c r="B81" s="1" t="n">
        <v>1.2</v>
      </c>
      <c r="D81" s="1" t="n">
        <v>90</v>
      </c>
      <c r="E81" s="1" t="n">
        <v>3.5</v>
      </c>
      <c r="F81" s="1" t="n">
        <v>3.1</v>
      </c>
      <c r="G81" s="1" t="n">
        <v>4</v>
      </c>
    </row>
    <row r="82" customFormat="false" ht="15.75" hidden="false" customHeight="false" outlineLevel="0" collapsed="false">
      <c r="A82" s="1" t="n">
        <v>60</v>
      </c>
      <c r="B82" s="1" t="n">
        <v>1.3</v>
      </c>
      <c r="D82" s="1" t="n">
        <v>100</v>
      </c>
      <c r="E82" s="1" t="n">
        <v>3.9</v>
      </c>
      <c r="F82" s="1" t="n">
        <v>3.5</v>
      </c>
      <c r="G82" s="1" t="n">
        <v>4.5</v>
      </c>
    </row>
    <row r="83" customFormat="false" ht="15.75" hidden="false" customHeight="false" outlineLevel="0" collapsed="false">
      <c r="A83" s="1" t="n">
        <v>70</v>
      </c>
      <c r="B83" s="1" t="n">
        <v>1.5</v>
      </c>
      <c r="D83" s="1" t="n">
        <v>110</v>
      </c>
      <c r="E83" s="1" t="n">
        <v>4.3</v>
      </c>
      <c r="F83" s="1" t="n">
        <v>3.9</v>
      </c>
      <c r="G83" s="1" t="n">
        <v>5.1</v>
      </c>
    </row>
    <row r="84" customFormat="false" ht="15.75" hidden="false" customHeight="false" outlineLevel="0" collapsed="false">
      <c r="A84" s="1" t="n">
        <v>71</v>
      </c>
      <c r="B84" s="1" t="n">
        <v>2.1</v>
      </c>
      <c r="D84" s="1" t="n">
        <v>120</v>
      </c>
      <c r="E84" s="1" t="n">
        <v>5.7</v>
      </c>
      <c r="F84" s="1" t="n">
        <v>4.4</v>
      </c>
      <c r="G84" s="1" t="n">
        <v>5.6</v>
      </c>
    </row>
    <row r="85" customFormat="false" ht="15.75" hidden="false" customHeight="false" outlineLevel="0" collapsed="false">
      <c r="A85" s="1" t="n">
        <v>80</v>
      </c>
      <c r="B85" s="1" t="n">
        <v>2.3</v>
      </c>
      <c r="D85" s="1" t="n">
        <v>130</v>
      </c>
      <c r="E85" s="1" t="n">
        <v>5.2</v>
      </c>
      <c r="F85" s="1" t="n">
        <v>4.8</v>
      </c>
      <c r="G85" s="1" t="n">
        <v>6.1</v>
      </c>
    </row>
    <row r="86" customFormat="false" ht="15.75" hidden="false" customHeight="false" outlineLevel="0" collapsed="false">
      <c r="A86" s="1" t="n">
        <v>90</v>
      </c>
      <c r="B86" s="1" t="n">
        <v>2.5</v>
      </c>
    </row>
    <row r="87" customFormat="false" ht="15.75" hidden="false" customHeight="false" outlineLevel="0" collapsed="false">
      <c r="A87" s="1" t="n">
        <v>100</v>
      </c>
      <c r="B87" s="1" t="n">
        <v>2.7</v>
      </c>
    </row>
    <row r="88" customFormat="false" ht="15.75" hidden="false" customHeight="false" outlineLevel="0" collapsed="false">
      <c r="A88" s="1" t="n">
        <v>110</v>
      </c>
      <c r="B88" s="1" t="n">
        <v>3</v>
      </c>
    </row>
    <row r="89" customFormat="false" ht="15.75" hidden="false" customHeight="false" outlineLevel="0" collapsed="false">
      <c r="A89" s="1" t="n">
        <v>120</v>
      </c>
      <c r="B89" s="1" t="n">
        <v>3.2</v>
      </c>
    </row>
    <row r="90" customFormat="false" ht="15.75" hidden="false" customHeight="false" outlineLevel="0" collapsed="false">
      <c r="A90" s="1" t="n">
        <v>130</v>
      </c>
      <c r="B90" s="1" t="n">
        <v>3.5</v>
      </c>
    </row>
    <row r="91" customFormat="false" ht="15.75" hidden="false" customHeight="false" outlineLevel="0" collapsed="false">
      <c r="A91" s="1" t="n">
        <v>140</v>
      </c>
      <c r="B91" s="1" t="n">
        <v>3.8</v>
      </c>
    </row>
    <row r="92" customFormat="false" ht="15.75" hidden="false" customHeight="false" outlineLevel="0" collapsed="false">
      <c r="A92" s="1" t="n">
        <v>150</v>
      </c>
      <c r="B92" s="1" t="n">
        <v>4.1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F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1" activeCellId="0" sqref="M1"/>
    </sheetView>
  </sheetViews>
  <sheetFormatPr defaultColWidth="8.6171875" defaultRowHeight="15.75" zeroHeight="false" outlineLevelRow="0" outlineLevelCol="0"/>
  <sheetData>
    <row r="1" customFormat="false" ht="15.75" hidden="false" customHeight="false" outlineLevel="0" collapsed="false">
      <c r="A1" s="43" t="s">
        <v>148</v>
      </c>
      <c r="B1" s="8"/>
      <c r="C1" s="8"/>
      <c r="D1" s="8"/>
      <c r="E1" s="8"/>
      <c r="F1" s="8"/>
      <c r="G1" s="8"/>
      <c r="H1" s="8"/>
      <c r="I1" s="8"/>
      <c r="J1" s="8"/>
      <c r="K1" s="8"/>
      <c r="M1" s="204" t="s">
        <v>434</v>
      </c>
      <c r="N1" s="205"/>
      <c r="O1" s="205"/>
      <c r="P1" s="205"/>
      <c r="Q1" s="205"/>
      <c r="R1" s="205"/>
      <c r="S1" s="205"/>
      <c r="T1" s="205"/>
      <c r="U1" s="204" t="s">
        <v>434</v>
      </c>
      <c r="V1" s="205"/>
      <c r="W1" s="205"/>
      <c r="X1" s="205"/>
      <c r="Y1" s="205"/>
      <c r="Z1" s="205"/>
      <c r="AA1" s="205"/>
      <c r="AB1" s="205"/>
      <c r="AC1" s="205"/>
      <c r="AD1" s="205"/>
      <c r="AE1" s="205"/>
      <c r="AF1" s="205"/>
    </row>
    <row r="2" customFormat="false" ht="15.75" hidden="false" customHeight="false" outlineLevel="0" collapsed="false">
      <c r="A2" s="44" t="s">
        <v>150</v>
      </c>
      <c r="B2" s="45" t="s">
        <v>151</v>
      </c>
      <c r="C2" s="46"/>
      <c r="D2" s="11"/>
      <c r="E2" s="47"/>
      <c r="F2" s="46"/>
      <c r="G2" s="11"/>
      <c r="H2" s="47"/>
      <c r="I2" s="12"/>
      <c r="J2" s="11"/>
      <c r="K2" s="47"/>
      <c r="M2" s="205"/>
      <c r="N2" s="205"/>
      <c r="O2" s="205"/>
      <c r="P2" s="205"/>
      <c r="Q2" s="205"/>
      <c r="R2" s="205"/>
      <c r="S2" s="205"/>
      <c r="T2" s="205"/>
      <c r="U2" s="205"/>
      <c r="V2" s="205"/>
      <c r="W2" s="205"/>
      <c r="X2" s="205"/>
      <c r="Y2" s="205"/>
      <c r="Z2" s="205"/>
      <c r="AA2" s="205"/>
      <c r="AB2" s="205"/>
      <c r="AC2" s="205"/>
      <c r="AD2" s="205"/>
      <c r="AE2" s="205"/>
      <c r="AF2" s="205"/>
    </row>
    <row r="3" customFormat="false" ht="15.75" hidden="false" customHeight="false" outlineLevel="0" collapsed="false">
      <c r="A3" s="44" t="s">
        <v>153</v>
      </c>
      <c r="B3" s="45" t="s">
        <v>154</v>
      </c>
      <c r="C3" s="45"/>
      <c r="D3" s="45"/>
      <c r="E3" s="45"/>
      <c r="F3" s="45"/>
      <c r="G3" s="45"/>
      <c r="H3" s="45"/>
      <c r="I3" s="48"/>
      <c r="J3" s="48"/>
      <c r="K3" s="48"/>
      <c r="M3" s="206" t="s">
        <v>435</v>
      </c>
      <c r="N3" s="206" t="s">
        <v>436</v>
      </c>
      <c r="O3" s="206" t="s">
        <v>437</v>
      </c>
      <c r="P3" s="206" t="s">
        <v>438</v>
      </c>
      <c r="Q3" s="206" t="s">
        <v>439</v>
      </c>
      <c r="R3" s="206" t="s">
        <v>440</v>
      </c>
      <c r="S3" s="206" t="s">
        <v>441</v>
      </c>
      <c r="T3" s="205"/>
      <c r="U3" s="206" t="s">
        <v>435</v>
      </c>
      <c r="V3" s="206" t="s">
        <v>436</v>
      </c>
      <c r="W3" s="206" t="s">
        <v>437</v>
      </c>
      <c r="X3" s="206" t="s">
        <v>438</v>
      </c>
      <c r="Y3" s="206" t="s">
        <v>439</v>
      </c>
      <c r="Z3" s="206" t="s">
        <v>440</v>
      </c>
      <c r="AA3" s="206" t="s">
        <v>441</v>
      </c>
      <c r="AB3" s="206" t="s">
        <v>442</v>
      </c>
      <c r="AC3" s="206" t="s">
        <v>443</v>
      </c>
      <c r="AD3" s="206" t="s">
        <v>444</v>
      </c>
      <c r="AE3" s="206" t="s">
        <v>445</v>
      </c>
      <c r="AF3" s="206" t="s">
        <v>446</v>
      </c>
    </row>
    <row r="4" customFormat="false" ht="16.5" hidden="false" customHeight="false" outlineLevel="0" collapsed="false">
      <c r="A4" s="44" t="s">
        <v>156</v>
      </c>
      <c r="B4" s="45" t="s">
        <v>156</v>
      </c>
      <c r="C4" s="49" t="s">
        <v>157</v>
      </c>
      <c r="D4" s="13" t="s">
        <v>158</v>
      </c>
      <c r="E4" s="48" t="s">
        <v>159</v>
      </c>
      <c r="F4" s="49" t="s">
        <v>157</v>
      </c>
      <c r="G4" s="13" t="s">
        <v>158</v>
      </c>
      <c r="H4" s="48" t="s">
        <v>159</v>
      </c>
      <c r="I4" s="13" t="s">
        <v>157</v>
      </c>
      <c r="J4" s="13" t="s">
        <v>158</v>
      </c>
      <c r="K4" s="48" t="s">
        <v>159</v>
      </c>
      <c r="M4" s="205" t="n">
        <v>60</v>
      </c>
      <c r="N4" s="205" t="n">
        <v>5</v>
      </c>
      <c r="O4" s="205"/>
      <c r="P4" s="205"/>
      <c r="Q4" s="205"/>
      <c r="R4" s="205"/>
      <c r="S4" s="205"/>
      <c r="T4" s="205"/>
      <c r="U4" s="205" t="n">
        <v>60</v>
      </c>
      <c r="V4" s="205" t="n">
        <v>5</v>
      </c>
      <c r="W4" s="205"/>
      <c r="X4" s="205"/>
      <c r="Y4" s="205"/>
      <c r="Z4" s="205"/>
      <c r="AA4" s="205"/>
      <c r="AB4" s="205"/>
      <c r="AC4" s="205"/>
      <c r="AD4" s="205"/>
      <c r="AE4" s="205"/>
      <c r="AF4" s="205"/>
    </row>
    <row r="5" customFormat="false" ht="15.75" hidden="false" customHeight="false" outlineLevel="0" collapsed="false">
      <c r="A5" s="50" t="s">
        <v>161</v>
      </c>
      <c r="B5" s="51" t="n">
        <v>10</v>
      </c>
      <c r="C5" s="52"/>
      <c r="D5" s="53"/>
      <c r="E5" s="54"/>
      <c r="F5" s="52"/>
      <c r="G5" s="53"/>
      <c r="H5" s="55"/>
      <c r="I5" s="56"/>
      <c r="J5" s="53"/>
      <c r="K5" s="55"/>
      <c r="M5" s="205" t="n">
        <v>80</v>
      </c>
      <c r="N5" s="205" t="n">
        <v>5</v>
      </c>
      <c r="O5" s="205"/>
      <c r="P5" s="205"/>
      <c r="Q5" s="205"/>
      <c r="R5" s="205"/>
      <c r="S5" s="205"/>
      <c r="T5" s="205"/>
      <c r="U5" s="205" t="n">
        <v>80</v>
      </c>
      <c r="V5" s="205" t="n">
        <v>5</v>
      </c>
      <c r="W5" s="205"/>
      <c r="X5" s="205"/>
      <c r="Y5" s="205"/>
      <c r="Z5" s="205"/>
      <c r="AA5" s="205"/>
      <c r="AB5" s="205"/>
      <c r="AC5" s="205"/>
      <c r="AD5" s="205"/>
      <c r="AE5" s="205"/>
      <c r="AF5" s="205"/>
    </row>
    <row r="6" customFormat="false" ht="15.75" hidden="false" customHeight="false" outlineLevel="0" collapsed="false">
      <c r="A6" s="57"/>
      <c r="B6" s="58" t="n">
        <v>20</v>
      </c>
      <c r="C6" s="59"/>
      <c r="D6" s="60"/>
      <c r="E6" s="61"/>
      <c r="F6" s="59"/>
      <c r="G6" s="60"/>
      <c r="H6" s="62"/>
      <c r="I6" s="63"/>
      <c r="J6" s="60"/>
      <c r="K6" s="62"/>
      <c r="M6" s="205" t="n">
        <v>80</v>
      </c>
      <c r="N6" s="205" t="n">
        <v>5</v>
      </c>
      <c r="O6" s="205"/>
      <c r="P6" s="205"/>
      <c r="Q6" s="205"/>
      <c r="R6" s="205"/>
      <c r="S6" s="205"/>
      <c r="T6" s="205"/>
      <c r="U6" s="205" t="n">
        <v>80</v>
      </c>
      <c r="V6" s="205" t="n">
        <v>5</v>
      </c>
      <c r="W6" s="205"/>
      <c r="X6" s="205"/>
      <c r="Y6" s="205"/>
      <c r="Z6" s="205"/>
      <c r="AA6" s="205"/>
      <c r="AB6" s="205"/>
      <c r="AC6" s="205"/>
      <c r="AD6" s="205"/>
      <c r="AE6" s="205"/>
      <c r="AF6" s="205"/>
    </row>
    <row r="7" customFormat="false" ht="16.5" hidden="false" customHeight="false" outlineLevel="0" collapsed="false">
      <c r="A7" s="64"/>
      <c r="B7" s="65" t="n">
        <v>30</v>
      </c>
      <c r="C7" s="66"/>
      <c r="D7" s="67"/>
      <c r="E7" s="68"/>
      <c r="F7" s="66"/>
      <c r="G7" s="67"/>
      <c r="H7" s="69"/>
      <c r="I7" s="70"/>
      <c r="J7" s="67"/>
      <c r="K7" s="69"/>
      <c r="M7" s="205" t="n">
        <v>80</v>
      </c>
      <c r="N7" s="205" t="n">
        <v>5</v>
      </c>
      <c r="O7" s="205"/>
      <c r="P7" s="205"/>
      <c r="Q7" s="205"/>
      <c r="R7" s="205"/>
      <c r="S7" s="205"/>
      <c r="T7" s="205"/>
      <c r="U7" s="205" t="n">
        <v>80</v>
      </c>
      <c r="V7" s="205" t="n">
        <v>5</v>
      </c>
      <c r="W7" s="205"/>
      <c r="X7" s="205"/>
      <c r="Y7" s="205"/>
      <c r="Z7" s="205"/>
      <c r="AA7" s="205"/>
      <c r="AB7" s="205"/>
      <c r="AC7" s="205"/>
      <c r="AD7" s="205"/>
      <c r="AE7" s="205"/>
      <c r="AF7" s="205"/>
    </row>
    <row r="8" customFormat="false" ht="15.75" hidden="false" customHeight="false" outlineLevel="0" collapsed="false">
      <c r="A8" s="50" t="s">
        <v>165</v>
      </c>
      <c r="B8" s="51" t="n">
        <v>10</v>
      </c>
      <c r="C8" s="52"/>
      <c r="D8" s="53"/>
      <c r="E8" s="54"/>
      <c r="F8" s="52"/>
      <c r="G8" s="53"/>
      <c r="H8" s="55"/>
      <c r="I8" s="56"/>
      <c r="J8" s="53"/>
      <c r="K8" s="55"/>
      <c r="M8" s="205" t="n">
        <v>80</v>
      </c>
      <c r="N8" s="205" t="n">
        <v>5</v>
      </c>
      <c r="O8" s="205"/>
      <c r="P8" s="205"/>
      <c r="Q8" s="205"/>
      <c r="R8" s="205"/>
      <c r="S8" s="205"/>
      <c r="T8" s="205"/>
      <c r="U8" s="205" t="n">
        <v>80</v>
      </c>
      <c r="V8" s="205" t="n">
        <v>5</v>
      </c>
      <c r="W8" s="205"/>
      <c r="X8" s="205"/>
      <c r="Y8" s="205"/>
      <c r="Z8" s="205"/>
      <c r="AA8" s="205"/>
      <c r="AB8" s="205"/>
      <c r="AC8" s="205"/>
      <c r="AD8" s="205"/>
      <c r="AE8" s="205"/>
      <c r="AF8" s="205"/>
    </row>
    <row r="9" customFormat="false" ht="15.75" hidden="false" customHeight="false" outlineLevel="0" collapsed="false">
      <c r="A9" s="57"/>
      <c r="B9" s="58" t="n">
        <v>20</v>
      </c>
      <c r="C9" s="59"/>
      <c r="D9" s="60"/>
      <c r="E9" s="61"/>
      <c r="F9" s="59"/>
      <c r="G9" s="60"/>
      <c r="H9" s="62"/>
      <c r="I9" s="63"/>
      <c r="J9" s="60"/>
      <c r="K9" s="62"/>
      <c r="M9" s="205" t="n">
        <v>80</v>
      </c>
      <c r="N9" s="205" t="n">
        <v>5</v>
      </c>
      <c r="O9" s="205"/>
      <c r="P9" s="205"/>
      <c r="Q9" s="205"/>
      <c r="R9" s="205"/>
      <c r="S9" s="205"/>
      <c r="T9" s="205"/>
      <c r="U9" s="205" t="n">
        <v>80</v>
      </c>
      <c r="V9" s="205" t="n">
        <v>5</v>
      </c>
      <c r="W9" s="205"/>
      <c r="X9" s="205"/>
      <c r="Y9" s="205"/>
      <c r="Z9" s="205"/>
      <c r="AA9" s="205"/>
      <c r="AB9" s="205"/>
      <c r="AC9" s="205"/>
      <c r="AD9" s="205"/>
      <c r="AE9" s="205"/>
      <c r="AF9" s="205"/>
    </row>
    <row r="10" customFormat="false" ht="16.5" hidden="false" customHeight="false" outlineLevel="0" collapsed="false">
      <c r="A10" s="64"/>
      <c r="B10" s="65" t="n">
        <v>30</v>
      </c>
      <c r="C10" s="71"/>
      <c r="D10" s="72"/>
      <c r="E10" s="73"/>
      <c r="F10" s="71"/>
      <c r="G10" s="72"/>
      <c r="H10" s="74"/>
      <c r="I10" s="75"/>
      <c r="J10" s="72"/>
      <c r="K10" s="74"/>
      <c r="M10" s="205" t="n">
        <v>100</v>
      </c>
      <c r="N10" s="205" t="n">
        <v>5</v>
      </c>
      <c r="O10" s="205"/>
      <c r="P10" s="205"/>
      <c r="Q10" s="205"/>
      <c r="R10" s="205"/>
      <c r="S10" s="205"/>
      <c r="T10" s="205"/>
      <c r="U10" s="205" t="n">
        <v>100</v>
      </c>
      <c r="V10" s="205" t="n">
        <v>5</v>
      </c>
      <c r="W10" s="205"/>
      <c r="X10" s="205"/>
      <c r="Y10" s="205"/>
      <c r="Z10" s="205"/>
      <c r="AA10" s="205"/>
      <c r="AB10" s="205"/>
      <c r="AC10" s="205"/>
      <c r="AD10" s="205"/>
      <c r="AE10" s="205"/>
      <c r="AF10" s="205"/>
    </row>
    <row r="11" customFormat="false" ht="15.75" hidden="false" customHeight="false" outlineLevel="0" collapsed="false">
      <c r="A11" s="44" t="s">
        <v>169</v>
      </c>
      <c r="B11" s="51" t="n">
        <v>10</v>
      </c>
      <c r="C11" s="76"/>
      <c r="D11" s="77"/>
      <c r="E11" s="78"/>
      <c r="F11" s="76"/>
      <c r="G11" s="77"/>
      <c r="H11" s="79"/>
      <c r="I11" s="80"/>
      <c r="J11" s="77"/>
      <c r="K11" s="79"/>
      <c r="M11" s="205" t="n">
        <v>120</v>
      </c>
      <c r="N11" s="205" t="n">
        <v>5</v>
      </c>
      <c r="O11" s="205"/>
      <c r="P11" s="205"/>
      <c r="Q11" s="205"/>
      <c r="R11" s="205"/>
      <c r="S11" s="205"/>
      <c r="T11" s="205"/>
      <c r="U11" s="205" t="n">
        <v>120</v>
      </c>
      <c r="V11" s="205" t="n">
        <v>5</v>
      </c>
      <c r="W11" s="205"/>
      <c r="X11" s="205"/>
      <c r="Y11" s="205"/>
      <c r="Z11" s="205"/>
      <c r="AA11" s="205"/>
      <c r="AB11" s="205"/>
      <c r="AC11" s="205"/>
      <c r="AD11" s="205"/>
      <c r="AE11" s="205"/>
      <c r="AF11" s="205"/>
    </row>
    <row r="12" customFormat="false" ht="15.75" hidden="false" customHeight="false" outlineLevel="0" collapsed="false">
      <c r="A12" s="57"/>
      <c r="B12" s="58" t="n">
        <v>20</v>
      </c>
      <c r="C12" s="59"/>
      <c r="D12" s="60"/>
      <c r="E12" s="61"/>
      <c r="F12" s="59"/>
      <c r="G12" s="60"/>
      <c r="H12" s="62"/>
      <c r="I12" s="63"/>
      <c r="J12" s="60"/>
      <c r="K12" s="62"/>
      <c r="M12" s="205" t="n">
        <v>80</v>
      </c>
      <c r="N12" s="205" t="n">
        <v>1</v>
      </c>
      <c r="O12" s="205"/>
      <c r="P12" s="205"/>
      <c r="Q12" s="205"/>
      <c r="R12" s="205"/>
      <c r="S12" s="205"/>
      <c r="T12" s="205"/>
      <c r="U12" s="205" t="n">
        <v>80</v>
      </c>
      <c r="V12" s="205" t="n">
        <v>5</v>
      </c>
      <c r="W12" s="205"/>
      <c r="X12" s="205"/>
      <c r="Y12" s="205"/>
      <c r="Z12" s="205"/>
      <c r="AA12" s="205"/>
      <c r="AB12" s="205"/>
      <c r="AC12" s="205"/>
      <c r="AD12" s="205"/>
      <c r="AE12" s="205"/>
      <c r="AF12" s="205"/>
    </row>
    <row r="13" customFormat="false" ht="16.5" hidden="false" customHeight="false" outlineLevel="0" collapsed="false">
      <c r="A13" s="64"/>
      <c r="B13" s="65" t="n">
        <v>30</v>
      </c>
      <c r="C13" s="71"/>
      <c r="D13" s="72"/>
      <c r="E13" s="73"/>
      <c r="F13" s="71"/>
      <c r="G13" s="72"/>
      <c r="H13" s="74"/>
      <c r="I13" s="75"/>
      <c r="J13" s="72"/>
      <c r="K13" s="74"/>
      <c r="M13" s="205" t="n">
        <v>80</v>
      </c>
      <c r="N13" s="205" t="n">
        <v>10</v>
      </c>
      <c r="O13" s="205"/>
      <c r="P13" s="205"/>
      <c r="Q13" s="205"/>
      <c r="R13" s="205"/>
      <c r="S13" s="205"/>
      <c r="T13" s="205"/>
      <c r="U13" s="205" t="n">
        <v>80</v>
      </c>
      <c r="V13" s="205" t="n">
        <v>5</v>
      </c>
      <c r="W13" s="205"/>
      <c r="X13" s="205"/>
      <c r="Y13" s="205"/>
      <c r="Z13" s="205"/>
      <c r="AA13" s="205"/>
      <c r="AB13" s="205"/>
      <c r="AC13" s="205"/>
      <c r="AD13" s="205"/>
      <c r="AE13" s="205"/>
      <c r="AF13" s="205"/>
    </row>
    <row r="14" customFormat="false" ht="16.5" hidden="false" customHeight="false" outlineLevel="0" collapsed="false">
      <c r="A14" s="7"/>
      <c r="B14" s="81" t="s">
        <v>173</v>
      </c>
      <c r="C14" s="71"/>
      <c r="D14" s="72"/>
      <c r="E14" s="73"/>
      <c r="F14" s="71"/>
      <c r="G14" s="72"/>
      <c r="H14" s="74"/>
      <c r="I14" s="75"/>
      <c r="J14" s="72"/>
      <c r="K14" s="74"/>
      <c r="M14" s="205" t="n">
        <v>80</v>
      </c>
      <c r="N14" s="205" t="n">
        <v>7.5</v>
      </c>
      <c r="O14" s="205"/>
      <c r="P14" s="205"/>
      <c r="Q14" s="205"/>
      <c r="R14" s="205"/>
      <c r="S14" s="205"/>
      <c r="T14" s="205"/>
      <c r="U14" s="205" t="n">
        <v>80</v>
      </c>
      <c r="V14" s="205" t="n">
        <v>5</v>
      </c>
      <c r="W14" s="205"/>
      <c r="X14" s="205"/>
      <c r="Y14" s="205"/>
      <c r="Z14" s="205"/>
      <c r="AA14" s="205"/>
      <c r="AB14" s="205"/>
      <c r="AC14" s="205"/>
      <c r="AD14" s="205"/>
      <c r="AE14" s="205"/>
      <c r="AF14" s="205"/>
    </row>
  </sheetData>
  <mergeCells count="3">
    <mergeCell ref="C3:E3"/>
    <mergeCell ref="F3:H3"/>
    <mergeCell ref="I3:K3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74</TotalTime>
  <Application>LibreOffice/7.6.7.2$Linux_X86_64 LibreOffice_project/60$Build-2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2023-04-26T15:01:43Z</dcterms:created>
  <dc:creator>Eugene Mah</dc:creator>
  <dc:description/>
  <dc:language>en-US</dc:language>
  <cp:lastModifiedBy/>
  <cp:lastPrinted>2023-05-17T13:04:29Z</cp:lastPrinted>
  <dcterms:modified xsi:type="dcterms:W3CDTF">2024-05-21T13:16:44Z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