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 name="Tables" sheetId="2" state="visible" r:id="rId4"/>
    <sheet name="Data Entry" sheetId="3" state="visible" r:id="rId5"/>
  </sheets>
  <definedNames>
    <definedName function="false" hidden="false" name="ACRPhantom" vbProcedure="false">#REF!</definedName>
    <definedName function="false" hidden="false" name="AUTO_MANUAL" vbProcedure="false">Sheet1!$I$91</definedName>
    <definedName function="false" hidden="false" name="Comments" vbProcedure="false">#REF!</definedName>
    <definedName function="false" hidden="false" name="CTDI" vbProcedure="false">#REF!</definedName>
    <definedName function="false" hidden="false" name="DHALF" vbProcedure="false">Sheet1!$P$128:$P$131</definedName>
    <definedName function="false" hidden="false" name="First" vbProcedure="false">#REF!</definedName>
    <definedName function="false" hidden="false" name="Huttner" vbProcedure="false">#REF!</definedName>
    <definedName function="false" hidden="false" name="HVL_KV" vbProcedure="false">Sheet1!$I$127</definedName>
    <definedName function="false" hidden="false" name="LeedsMS" vbProcedure="false">#REF!</definedName>
    <definedName function="false" hidden="false" name="LeedsN3" vbProcedure="false">#REF!</definedName>
    <definedName function="false" hidden="false" name="LEEDS_KV" vbProcedure="false">Sheet1!$P$227</definedName>
    <definedName function="false" hidden="false" name="TO10Group" vbProcedure="false">#REF!</definedName>
    <definedName function="false" hidden="false" name="TO10kVAdj" vbProcedure="false">Tables!$A$30:$E$44</definedName>
    <definedName function="false" hidden="false" name="TO10Values" vbProcedure="false">#REF!</definedName>
    <definedName function="false" hidden="false" localSheetId="0" name="ALUM" vbProcedure="false">Sheet1!$Q$128:$Q$129</definedName>
    <definedName function="false" hidden="false" localSheetId="0" name="AUTO_MA" vbProcedure="false">Sheet1!$P$91</definedName>
    <definedName function="false" hidden="false" localSheetId="0" name="HVL" vbProcedure="false">Sheet1!$R$128</definedName>
    <definedName function="false" hidden="false" localSheetId="0" name="LNEXP" vbProcedure="false">Sheet1!$R$132:$R$133</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A30" authorId="0">
      <text>
        <r>
          <rPr>
            <sz val="10"/>
            <rFont val="Arial"/>
            <family val="2"/>
          </rPr>
          <t xml:space="preserve">Eugene Mah:
</t>
        </r>
        <r>
          <rPr>
            <sz val="9"/>
            <color rgb="FF000000"/>
            <rFont val="Tahoma"/>
            <family val="2"/>
            <charset val="1"/>
          </rPr>
          <t xml:space="preserve">Nominal contrast values as a function of kVp</t>
        </r>
      </text>
    </comment>
    <comment ref="A46" authorId="0">
      <text>
        <r>
          <rPr>
            <sz val="10"/>
            <rFont val="Arial"/>
            <family val="2"/>
          </rPr>
          <t xml:space="preserve">Eugene Mah:
</t>
        </r>
        <r>
          <rPr>
            <sz val="9"/>
            <color rgb="FF000000"/>
            <rFont val="Tahoma"/>
            <family val="2"/>
            <charset val="1"/>
          </rPr>
          <t xml:space="preserve">TO.10 nominal contrast values</t>
        </r>
      </text>
    </comment>
    <comment ref="A60" authorId="0">
      <text>
        <r>
          <rPr>
            <sz val="10"/>
            <rFont val="Arial"/>
            <family val="2"/>
          </rPr>
          <t xml:space="preserve">Eugene Mah:
</t>
        </r>
        <r>
          <rPr>
            <sz val="9"/>
            <color rgb="FF000000"/>
            <rFont val="Tahoma"/>
            <family val="2"/>
            <charset val="1"/>
          </rPr>
          <t xml:space="preserve">TO.10 contrast values at the kVp specified in Sheet1!I229</t>
        </r>
      </text>
    </comment>
  </commentList>
</comments>
</file>

<file path=xl/sharedStrings.xml><?xml version="1.0" encoding="utf-8"?>
<sst xmlns="http://schemas.openxmlformats.org/spreadsheetml/2006/main" count="890" uniqueCount="465">
  <si>
    <t xml:space="preserve">Revision 1.0-20230427</t>
  </si>
  <si>
    <t xml:space="preserve">Print Area</t>
  </si>
  <si>
    <t xml:space="preserve">Medical University of South Carolina</t>
  </si>
  <si>
    <t xml:space="preserve">Charleston, South Carolina</t>
  </si>
  <si>
    <t xml:space="preserve">All:</t>
  </si>
  <si>
    <t xml:space="preserve">Page1,Page2,HVLPage,KAP_AKR,ExpChartFluoroPage,ExpChartDAPage,ImgQualityPage,Com1Page,Com2Page,OutputGraphFluoroPage,OutputGraphDAPage,LeedsTO10Page</t>
  </si>
  <si>
    <t xml:space="preserve">O-Arm System Compliance Inspection</t>
  </si>
  <si>
    <t xml:space="preserve">Date:</t>
  </si>
  <si>
    <t xml:space="preserve">Inspector:</t>
  </si>
  <si>
    <t xml:space="preserve">Measurement Parameter</t>
  </si>
  <si>
    <t xml:space="preserve">Last Year</t>
  </si>
  <si>
    <t xml:space="preserve">This Year</t>
  </si>
  <si>
    <t xml:space="preserve">Previous Date:</t>
  </si>
  <si>
    <t xml:space="preserve">P2</t>
  </si>
  <si>
    <t xml:space="preserve">Location</t>
  </si>
  <si>
    <t xml:space="preserve">System Information</t>
  </si>
  <si>
    <t xml:space="preserve">Date</t>
  </si>
  <si>
    <t xml:space="preserve">D6</t>
  </si>
  <si>
    <t xml:space="preserve">Facility:</t>
  </si>
  <si>
    <t xml:space="preserve">Site Number:</t>
  </si>
  <si>
    <t xml:space="preserve">Input Changes Only</t>
  </si>
  <si>
    <t xml:space="preserve">Inspector</t>
  </si>
  <si>
    <t xml:space="preserve">L6</t>
  </si>
  <si>
    <t xml:space="preserve">Department:</t>
  </si>
  <si>
    <t xml:space="preserve">Authorized Use:</t>
  </si>
  <si>
    <t xml:space="preserve">E10</t>
  </si>
  <si>
    <t xml:space="preserve">Area/Division:</t>
  </si>
  <si>
    <t xml:space="preserve">Date of Installation:</t>
  </si>
  <si>
    <t xml:space="preserve">E11</t>
  </si>
  <si>
    <t xml:space="preserve">Survey ID:</t>
  </si>
  <si>
    <t xml:space="preserve">Accession Number:</t>
  </si>
  <si>
    <t xml:space="preserve">E12</t>
  </si>
  <si>
    <t xml:space="preserve">Room Number:</t>
  </si>
  <si>
    <t xml:space="preserve">E13</t>
  </si>
  <si>
    <t xml:space="preserve">X-Ray Generator</t>
  </si>
  <si>
    <t xml:space="preserve">E14</t>
  </si>
  <si>
    <t xml:space="preserve">Manufacturer:</t>
  </si>
  <si>
    <t xml:space="preserve">Manufacture Date:</t>
  </si>
  <si>
    <t xml:space="preserve">J10</t>
  </si>
  <si>
    <t xml:space="preserve">Model:</t>
  </si>
  <si>
    <t xml:space="preserve">Serial Number:</t>
  </si>
  <si>
    <t xml:space="preserve">J11</t>
  </si>
  <si>
    <t xml:space="preserve">Max kVp:</t>
  </si>
  <si>
    <t xml:space="preserve">Max mA:</t>
  </si>
  <si>
    <t xml:space="preserve">J12</t>
  </si>
  <si>
    <t xml:space="preserve">Software Version:</t>
  </si>
  <si>
    <t xml:space="preserve">Accesssion Number:</t>
  </si>
  <si>
    <t xml:space="preserve">J13</t>
  </si>
  <si>
    <t xml:space="preserve">X-Ray Tube</t>
  </si>
  <si>
    <t xml:space="preserve">Tube Designation/Use:</t>
  </si>
  <si>
    <t xml:space="preserve">Focal Spot Sizes (mm)</t>
  </si>
  <si>
    <t xml:space="preserve">E16</t>
  </si>
  <si>
    <t xml:space="preserve">Large:</t>
  </si>
  <si>
    <t xml:space="preserve">E17</t>
  </si>
  <si>
    <t xml:space="preserve">Insert</t>
  </si>
  <si>
    <t xml:space="preserve">Small:</t>
  </si>
  <si>
    <t xml:space="preserve">E18</t>
  </si>
  <si>
    <t xml:space="preserve">Micro:</t>
  </si>
  <si>
    <t xml:space="preserve">J16</t>
  </si>
  <si>
    <t xml:space="preserve">J17</t>
  </si>
  <si>
    <t xml:space="preserve">Filtration</t>
  </si>
  <si>
    <t xml:space="preserve">J18</t>
  </si>
  <si>
    <t xml:space="preserve">Housing</t>
  </si>
  <si>
    <t xml:space="preserve">Inherent:</t>
  </si>
  <si>
    <t xml:space="preserve">J19</t>
  </si>
  <si>
    <t xml:space="preserve">Added:</t>
  </si>
  <si>
    <t xml:space="preserve">X-Ray Tube 1</t>
  </si>
  <si>
    <t xml:space="preserve">E21</t>
  </si>
  <si>
    <t xml:space="preserve">E22</t>
  </si>
  <si>
    <t xml:space="preserve">E24</t>
  </si>
  <si>
    <t xml:space="preserve">E25</t>
  </si>
  <si>
    <t xml:space="preserve">Labels, Notices, Postings</t>
  </si>
  <si>
    <t xml:space="preserve">Compliance</t>
  </si>
  <si>
    <t xml:space="preserve">E26</t>
  </si>
  <si>
    <t xml:space="preserve">DHEC Registration sticker is present, clearly visible and legible</t>
  </si>
  <si>
    <t xml:space="preserve">E28</t>
  </si>
  <si>
    <t xml:space="preserve">DHEC form SC-RHA-20 “Notice to Employees” posted or referenced</t>
  </si>
  <si>
    <t xml:space="preserve">Enter 1 for YES, 2 for NO, 3 for NA</t>
  </si>
  <si>
    <t xml:space="preserve">E29</t>
  </si>
  <si>
    <t xml:space="preserve">Radiation warning label posted on the generator control panel</t>
  </si>
  <si>
    <t xml:space="preserve">Is this a new installation?</t>
  </si>
  <si>
    <t xml:space="preserve">Tube Number:</t>
  </si>
  <si>
    <t xml:space="preserve">E30</t>
  </si>
  <si>
    <t xml:space="preserve">Tube loading charts for each focal spot are posted</t>
  </si>
  <si>
    <t xml:space="preserve">**Input only one of the following</t>
  </si>
  <si>
    <t xml:space="preserve">J22</t>
  </si>
  <si>
    <t xml:space="preserve">Tube loading charts are correct for installed tube(s).</t>
  </si>
  <si>
    <t xml:space="preserve">numbers or names</t>
  </si>
  <si>
    <t xml:space="preserve">J23</t>
  </si>
  <si>
    <t xml:space="preserve">Operator manuals are available.</t>
  </si>
  <si>
    <t xml:space="preserve">J24</t>
  </si>
  <si>
    <t xml:space="preserve">Monthly radiation monitoring reports are posted.</t>
  </si>
  <si>
    <t xml:space="preserve">J27</t>
  </si>
  <si>
    <t xml:space="preserve">J28</t>
  </si>
  <si>
    <t xml:space="preserve">AP</t>
  </si>
  <si>
    <t xml:space="preserve">New install:</t>
  </si>
  <si>
    <t xml:space="preserve">C35</t>
  </si>
  <si>
    <t xml:space="preserve">Front</t>
  </si>
  <si>
    <t xml:space="preserve">K35</t>
  </si>
  <si>
    <t xml:space="preserve">Room:</t>
  </si>
  <si>
    <t xml:space="preserve">Frontal</t>
  </si>
  <si>
    <t xml:space="preserve">Tube Designation:</t>
  </si>
  <si>
    <t xml:space="preserve">K38</t>
  </si>
  <si>
    <t xml:space="preserve">Lat</t>
  </si>
  <si>
    <t xml:space="preserve">K39</t>
  </si>
  <si>
    <t xml:space="preserve">Lateral</t>
  </si>
  <si>
    <t xml:space="preserve">K40</t>
  </si>
  <si>
    <t xml:space="preserve">Fluoroscopy Systems</t>
  </si>
  <si>
    <t xml:space="preserve">K41</t>
  </si>
  <si>
    <t xml:space="preserve">Interlock systems function to prevent fluoro while II is parked</t>
  </si>
  <si>
    <t xml:space="preserve">K42</t>
  </si>
  <si>
    <t xml:space="preserve">The minimum Source Skin Distance &gt; 38 cm (20 cm for surgical applications)</t>
  </si>
  <si>
    <t xml:space="preserve">K43</t>
  </si>
  <si>
    <t xml:space="preserve">Minimum of 2.5 mm lead equivalent shielding (i.e. drapes or sliding panels)</t>
  </si>
  <si>
    <t xml:space="preserve">K44</t>
  </si>
  <si>
    <t xml:space="preserve">The useful beam is intercepted by the image assembly at any SID</t>
  </si>
  <si>
    <t xml:space="preserve">K45</t>
  </si>
  <si>
    <t xml:space="preserve">Fluoroscopy patient dose charts are posted</t>
  </si>
  <si>
    <t xml:space="preserve">Receptor Size</t>
  </si>
  <si>
    <t xml:space="preserve">Max Entrance Exposure rate &lt;= 88 mGy/min (auto) and &lt;= 44 mGy/min (manual)</t>
  </si>
  <si>
    <t xml:space="preserve">Normal:</t>
  </si>
  <si>
    <t xml:space="preserve">Max Entrance Exposure Rate &lt;= 176 mGy/min (high level)</t>
  </si>
  <si>
    <t xml:space="preserve">Mag 1:</t>
  </si>
  <si>
    <t xml:space="preserve">High contrast resolution within MUSC specifications</t>
  </si>
  <si>
    <t xml:space="preserve">Mag 2:</t>
  </si>
  <si>
    <t xml:space="preserve">Low contrast resolution within MUSC specifications</t>
  </si>
  <si>
    <t xml:space="preserve">Pt Dose Measured Fluoro</t>
  </si>
  <si>
    <t xml:space="preserve">Transmission through II &lt; 2 uGy/hr for each mGy/min at patient entrance</t>
  </si>
  <si>
    <t xml:space="preserve">Manual/Auto:</t>
  </si>
  <si>
    <t xml:space="preserve">Beam limiting device available (functioning) to restrict the x-ray field</t>
  </si>
  <si>
    <t xml:space="preserve">Lucite/Al:</t>
  </si>
  <si>
    <t xml:space="preserve">The useful beam is centered on the image receptor</t>
  </si>
  <si>
    <t xml:space="preserve"># dose rates:</t>
  </si>
  <si>
    <t xml:space="preserve">Collimator edges are visible at full open</t>
  </si>
  <si>
    <t xml:space="preserve">High level present:</t>
  </si>
  <si>
    <t xml:space="preserve">Elapsed timer (5 min maximum) functional</t>
  </si>
  <si>
    <t xml:space="preserve">cm/in:</t>
  </si>
  <si>
    <t xml:space="preserve">Fluoroscopic kV and mA meter present and functional</t>
  </si>
  <si>
    <t xml:space="preserve">Auto/mA:</t>
  </si>
  <si>
    <t xml:space="preserve">Radiation Safety</t>
  </si>
  <si>
    <t xml:space="preserve">Test equipment:</t>
  </si>
  <si>
    <t xml:space="preserve">Continuous pressure on exposure switch required to make an exposure</t>
  </si>
  <si>
    <t xml:space="preserve">Calibration date:</t>
  </si>
  <si>
    <t xml:space="preserve">Operator has full visibility of the exposure factors and patient</t>
  </si>
  <si>
    <t xml:space="preserve">Continuous pressure on exposure switch required to make an exposure with selected tube</t>
  </si>
  <si>
    <t xml:space="preserve">Calibration due:</t>
  </si>
  <si>
    <t xml:space="preserve">Lead aprons available</t>
  </si>
  <si>
    <t xml:space="preserve">Technique 1:</t>
  </si>
  <si>
    <t xml:space="preserve">Lead gloves available</t>
  </si>
  <si>
    <t xml:space="preserve">Technique 2:</t>
  </si>
  <si>
    <t xml:space="preserve">Properly designed and installed apron rack is present</t>
  </si>
  <si>
    <t xml:space="preserve">Technique 3:</t>
  </si>
  <si>
    <t xml:space="preserve">Documentation of annual protective apparel integrity inspection is available</t>
  </si>
  <si>
    <t xml:space="preserve">Maximum Dose Rates Fluoro</t>
  </si>
  <si>
    <t xml:space="preserve">Patient restraint devices available</t>
  </si>
  <si>
    <t xml:space="preserve">kV:</t>
  </si>
  <si>
    <t xml:space="preserve">Gonadal shielding is present and functional</t>
  </si>
  <si>
    <t xml:space="preserve">mA:</t>
  </si>
  <si>
    <t xml:space="preserve">Physical Inspection</t>
  </si>
  <si>
    <t xml:space="preserve">mGy/min:</t>
  </si>
  <si>
    <t xml:space="preserve">System clean and free of debris</t>
  </si>
  <si>
    <t xml:space="preserve">All cables free from excessive wear or restraints</t>
  </si>
  <si>
    <t xml:space="preserve">System free of missing or damaged components</t>
  </si>
  <si>
    <t xml:space="preserve">Tube support movements and locks are acceptable</t>
  </si>
  <si>
    <t xml:space="preserve">All other movements and locks functional</t>
  </si>
  <si>
    <t xml:space="preserve">Automatic Brightness Control / Display Monitor</t>
  </si>
  <si>
    <t xml:space="preserve">HVL</t>
  </si>
  <si>
    <t xml:space="preserve">Automatic Brightness Control maintains image brightness for varying attenuation</t>
  </si>
  <si>
    <t xml:space="preserve">HVL Measured kV:</t>
  </si>
  <si>
    <t xml:space="preserve">Display monitor is free of artifacts, shadows, bright spots, and burn-in</t>
  </si>
  <si>
    <t xml:space="preserve">HVL Measured:</t>
  </si>
  <si>
    <t xml:space="preserve">Display monitor is free of distortion</t>
  </si>
  <si>
    <t xml:space="preserve">Fluoro Scatter/Transmission</t>
  </si>
  <si>
    <t xml:space="preserve">Display monitor is free of excessive persistence (after-image)</t>
  </si>
  <si>
    <t xml:space="preserve">Transmission:</t>
  </si>
  <si>
    <t xml:space="preserve">Display monitor is free of static or rolling noise bands</t>
  </si>
  <si>
    <t xml:space="preserve">Unshielded Scatter (eyes):</t>
  </si>
  <si>
    <t xml:space="preserve">The last image hold (LIH) display is free of jitter or abnormal appearance</t>
  </si>
  <si>
    <t xml:space="preserve">Unshielded Scatter (waist):</t>
  </si>
  <si>
    <t xml:space="preserve">Shielded Scatter (eyes):</t>
  </si>
  <si>
    <t xml:space="preserve">Shielded Scatter (waist):</t>
  </si>
  <si>
    <t xml:space="preserve">Receptor Entr Exp Fluoro</t>
  </si>
  <si>
    <t xml:space="preserve">Patient Entrance Exposure Rate (Fluoroscopy)</t>
  </si>
  <si>
    <t xml:space="preserve">Image</t>
  </si>
  <si>
    <t xml:space="preserve">Acrylic</t>
  </si>
  <si>
    <t xml:space="preserve">Entrance Exposure Rate</t>
  </si>
  <si>
    <t xml:space="preserve">Mode</t>
  </si>
  <si>
    <t xml:space="preserve">Attenuator</t>
  </si>
  <si>
    <t xml:space="preserve">Type 1 for manual, leave blank for auto</t>
  </si>
  <si>
    <t xml:space="preserve">Auto/mA mode</t>
  </si>
  <si>
    <t xml:space="preserve">(cm)</t>
  </si>
  <si>
    <t xml:space="preserve">kVp</t>
  </si>
  <si>
    <t xml:space="preserve">mA</t>
  </si>
  <si>
    <t xml:space="preserve">mGy/min</t>
  </si>
  <si>
    <t xml:space="preserve">Type 1 if using Lucite, leave blank if using Al</t>
  </si>
  <si>
    <t xml:space="preserve">Test equipment</t>
  </si>
  <si>
    <t xml:space="preserve">How many dose rate settings are present (exclusing High Level)?</t>
  </si>
  <si>
    <t xml:space="preserve">Calibration date</t>
  </si>
  <si>
    <t xml:space="preserve">Is High Level provided? (1=Yes, 2=No)</t>
  </si>
  <si>
    <t xml:space="preserve">Calibration due</t>
  </si>
  <si>
    <t xml:space="preserve">cm</t>
  </si>
  <si>
    <t xml:space="preserve">Unit for image receptor size</t>
  </si>
  <si>
    <t xml:space="preserve">Leeds Phantom</t>
  </si>
  <si>
    <t xml:space="preserve">kVp:</t>
  </si>
  <si>
    <t xml:space="preserve">Huttner Normal:</t>
  </si>
  <si>
    <t xml:space="preserve">Huttner Mag 1:</t>
  </si>
  <si>
    <t xml:space="preserve">Normal</t>
  </si>
  <si>
    <t xml:space="preserve">Huttner Mag 2:</t>
  </si>
  <si>
    <t xml:space="preserve">Max</t>
  </si>
  <si>
    <t xml:space="preserve">N3 Normal:</t>
  </si>
  <si>
    <t xml:space="preserve">N3 Mag 1:</t>
  </si>
  <si>
    <t xml:space="preserve">Mag 1</t>
  </si>
  <si>
    <t xml:space="preserve">N3 Mag 2</t>
  </si>
  <si>
    <t xml:space="preserve">Field Shape:</t>
  </si>
  <si>
    <t xml:space="preserve">SID:</t>
  </si>
  <si>
    <t xml:space="preserve">Mag 2</t>
  </si>
  <si>
    <t xml:space="preserve">Front:</t>
  </si>
  <si>
    <t xml:space="preserve">Back:</t>
  </si>
  <si>
    <t xml:space="preserve">Left:</t>
  </si>
  <si>
    <t xml:space="preserve">Right:</t>
  </si>
  <si>
    <t xml:space="preserve">Last Year:</t>
  </si>
  <si>
    <t xml:space="preserve">TO.10.A</t>
  </si>
  <si>
    <t xml:space="preserve">*Measured at:</t>
  </si>
  <si>
    <t xml:space="preserve">Acceptable:</t>
  </si>
  <si>
    <t xml:space="preserve">TO.10.B</t>
  </si>
  <si>
    <t xml:space="preserve">Undertable fluoroscopy units: 1 cm above table top</t>
  </si>
  <si>
    <t xml:space="preserve">TO.10.C</t>
  </si>
  <si>
    <t xml:space="preserve">Overhead tube fluoroscopy units: 30 cm above table top (Tube as close as possible to measuring point)</t>
  </si>
  <si>
    <t xml:space="preserve">TO.10.D</t>
  </si>
  <si>
    <t xml:space="preserve">C-arm fluoroscopy units: 30 cm from image receptor input (Tube at any ID, but spacer no closer than measuring point</t>
  </si>
  <si>
    <t xml:space="preserve">TO.10.E</t>
  </si>
  <si>
    <t xml:space="preserve">Lateral fluoroscopy units: 15 cm from center line of table and towards the tube (Position table and tube so spacer is as close as possible to measuring point)</t>
  </si>
  <si>
    <t xml:space="preserve">TO.10.F</t>
  </si>
  <si>
    <t xml:space="preserve">Criteria:</t>
  </si>
  <si>
    <t xml:space="preserve">Max Entrance Exposure Rate &lt;= 88 mGy/min (auto) and &lt;= 44 mGy/min (manual)</t>
  </si>
  <si>
    <t xml:space="preserve">TO.10.G</t>
  </si>
  <si>
    <t xml:space="preserve">TO.10.H</t>
  </si>
  <si>
    <t xml:space="preserve">Comments:</t>
  </si>
  <si>
    <t xml:space="preserve">TO.10.J</t>
  </si>
  <si>
    <t xml:space="preserve">Do not exceed 390 chars</t>
  </si>
  <si>
    <t xml:space="preserve">TO.10.K</t>
  </si>
  <si>
    <t xml:space="preserve">New:</t>
  </si>
  <si>
    <t xml:space="preserve">TO.10.L</t>
  </si>
  <si>
    <t xml:space="preserve">TO.10.M</t>
  </si>
  <si>
    <t xml:space="preserve">Half Value Layer</t>
  </si>
  <si>
    <t xml:space="preserve">Use DHEC standards? (Type 1 to base acceptance on DHEC criteria)</t>
  </si>
  <si>
    <t xml:space="preserve">kV</t>
  </si>
  <si>
    <t xml:space="preserve">mm Al</t>
  </si>
  <si>
    <t xml:space="preserve">Data Processing</t>
  </si>
  <si>
    <t xml:space="preserve">Avg Exp</t>
  </si>
  <si>
    <t xml:space="preserve">DATA(1/2)</t>
  </si>
  <si>
    <t xml:space="preserve">Data Al</t>
  </si>
  <si>
    <t xml:space="preserve">Data Exp</t>
  </si>
  <si>
    <t xml:space="preserve">LN(EXP)</t>
  </si>
  <si>
    <t xml:space="preserve">Acceptable (mm Al)</t>
  </si>
  <si>
    <t xml:space="preserve">Low</t>
  </si>
  <si>
    <t xml:space="preserve">Desired</t>
  </si>
  <si>
    <t xml:space="preserve">HVL Acceptable:</t>
  </si>
  <si>
    <t xml:space="preserve">High</t>
  </si>
  <si>
    <t xml:space="preserve">Kerma Area Product/Cumulative Air Kerma/Air Kerma Rate</t>
  </si>
  <si>
    <t xml:space="preserve">Source-PDC distance (cm)</t>
  </si>
  <si>
    <t xml:space="preserve">Source-Isocenter</t>
  </si>
  <si>
    <t xml:space="preserve">Source-Ref Pt distance (cm)</t>
  </si>
  <si>
    <t xml:space="preserve">Table-Isocenter</t>
  </si>
  <si>
    <t xml:space="preserve">Reference Point correction factor</t>
  </si>
  <si>
    <t xml:space="preserve">RefPt-Isocenter</t>
  </si>
  <si>
    <t xml:space="preserve">Start KAP</t>
  </si>
  <si>
    <t xml:space="preserve">End KAP</t>
  </si>
  <si>
    <t xml:space="preserve">Measured</t>
  </si>
  <si>
    <t xml:space="preserve">Meas KAP</t>
  </si>
  <si>
    <t xml:space="preserve">Indicated</t>
  </si>
  <si>
    <t xml:space="preserve">µGy·m²</t>
  </si>
  <si>
    <t xml:space="preserve">KAP</t>
  </si>
  <si>
    <t xml:space="preserve">@ Ref Pt</t>
  </si>
  <si>
    <t xml:space="preserve">Deviation</t>
  </si>
  <si>
    <t xml:space="preserve">Comments</t>
  </si>
  <si>
    <t xml:space="preserve">Pt Entr Exp Fluoro:</t>
  </si>
  <si>
    <t xml:space="preserve">Receptor Entr Exp Fluoro:</t>
  </si>
  <si>
    <t xml:space="preserve">Scatter/Transmission:</t>
  </si>
  <si>
    <t xml:space="preserve">Start AK</t>
  </si>
  <si>
    <t xml:space="preserve">End AK</t>
  </si>
  <si>
    <t xml:space="preserve">Meas CAK</t>
  </si>
  <si>
    <t xml:space="preserve">Leeds Phantom:</t>
  </si>
  <si>
    <t xml:space="preserve">mGy</t>
  </si>
  <si>
    <t xml:space="preserve">CAK</t>
  </si>
  <si>
    <t xml:space="preserve">TO.10:</t>
  </si>
  <si>
    <t xml:space="preserve">Beam Limitation:</t>
  </si>
  <si>
    <t xml:space="preserve">CBCT</t>
  </si>
  <si>
    <t xml:space="preserve">CTDI:</t>
  </si>
  <si>
    <t xml:space="preserve">Meas AKR</t>
  </si>
  <si>
    <t xml:space="preserve">AKR</t>
  </si>
  <si>
    <t xml:space="preserve">f(0):</t>
  </si>
  <si>
    <t xml:space="preserve">CBCT comments:</t>
  </si>
  <si>
    <t xml:space="preserve">Image Quality</t>
  </si>
  <si>
    <t xml:space="preserve">Phantom serial number:</t>
  </si>
  <si>
    <t xml:space="preserve">CT Number</t>
  </si>
  <si>
    <t xml:space="preserve">Measured KAP/AK/AKR is within 40% of the displayed values</t>
  </si>
  <si>
    <t xml:space="preserve">mAs:</t>
  </si>
  <si>
    <t xml:space="preserve">Polyethylene:</t>
  </si>
  <si>
    <t xml:space="preserve">Scatter and Transmission</t>
  </si>
  <si>
    <t xml:space="preserve">Water:</t>
  </si>
  <si>
    <t xml:space="preserve">Pt Entrance</t>
  </si>
  <si>
    <t xml:space="preserve">Water SD:</t>
  </si>
  <si>
    <t xml:space="preserve">uGy/hr</t>
  </si>
  <si>
    <t xml:space="preserve">Acceptable</t>
  </si>
  <si>
    <t xml:space="preserve">Acrylic:</t>
  </si>
  <si>
    <t xml:space="preserve">Transmission* @ 10cm</t>
  </si>
  <si>
    <t xml:space="preserve">Bone:</t>
  </si>
  <si>
    <t xml:space="preserve">Unshielded</t>
  </si>
  <si>
    <t xml:space="preserve">Shielded</t>
  </si>
  <si>
    <t xml:space="preserve">Air:</t>
  </si>
  <si>
    <t xml:space="preserve">uGy/min</t>
  </si>
  <si>
    <t xml:space="preserve">Low Contrast</t>
  </si>
  <si>
    <t xml:space="preserve">Scatter – Fluoro</t>
  </si>
  <si>
    <t xml:space="preserve">Eye level</t>
  </si>
  <si>
    <t xml:space="preserve">Contrast:</t>
  </si>
  <si>
    <t xml:space="preserve">Waist level</t>
  </si>
  <si>
    <t xml:space="preserve">CNR:</t>
  </si>
  <si>
    <t xml:space="preserve">*Measured with 8” Lucite in beam</t>
  </si>
  <si>
    <t xml:space="preserve">Spatial Resolution:</t>
  </si>
  <si>
    <t xml:space="preserve">Largest field size mode, highest dose rate mode</t>
  </si>
  <si>
    <t xml:space="preserve">Transmission through the image receptor is &lt; 2 uGy/hr at 10 cm for each mGy/min of patient entrance exposure</t>
  </si>
  <si>
    <t xml:space="preserve">Comment Page:</t>
  </si>
  <si>
    <t xml:space="preserve">Image Receptor Entrance Exposure Rate – Fluoroscopy</t>
  </si>
  <si>
    <t xml:space="preserve">Dose</t>
  </si>
  <si>
    <t xml:space="preserve">Receptor</t>
  </si>
  <si>
    <t xml:space="preserve">Previous Year</t>
  </si>
  <si>
    <t xml:space="preserve">Level</t>
  </si>
  <si>
    <t xml:space="preserve">Size (cm)</t>
  </si>
  <si>
    <t xml:space="preserve">nGy/frame</t>
  </si>
  <si>
    <t xml:space="preserve">Measure using pancake probe placed against</t>
  </si>
  <si>
    <t xml:space="preserve">image receptor input window</t>
  </si>
  <si>
    <t xml:space="preserve">Use 1.5mm Cu filtration</t>
  </si>
  <si>
    <t xml:space="preserve">kV Accuracy and Reproducibility</t>
  </si>
  <si>
    <t xml:space="preserve">Test Equipment Used:</t>
  </si>
  <si>
    <t xml:space="preserve">Piranha</t>
  </si>
  <si>
    <t xml:space="preserve">Calibration Date:</t>
  </si>
  <si>
    <t xml:space="preserve">CB2-17090320</t>
  </si>
  <si>
    <t xml:space="preserve">Calibration Due:</t>
  </si>
  <si>
    <t xml:space="preserve">kV Accuracy</t>
  </si>
  <si>
    <t xml:space="preserve">Exposure</t>
  </si>
  <si>
    <t xml:space="preserve">Exp rate</t>
  </si>
  <si>
    <t xml:space="preserve">kV set</t>
  </si>
  <si>
    <t xml:space="preserve">mA Set</t>
  </si>
  <si>
    <t xml:space="preserve">(mGy)</t>
  </si>
  <si>
    <t xml:space="preserve">(mGy/min)</t>
  </si>
  <si>
    <t xml:space="preserve">Tot Filt</t>
  </si>
  <si>
    <t xml:space="preserve">kV % error</t>
  </si>
  <si>
    <t xml:space="preserve">kVp accurate to within 5% of indicated.</t>
  </si>
  <si>
    <t xml:space="preserve">kV/exposure reproducibility</t>
  </si>
  <si>
    <t xml:space="preserve">Air Kerma Rate Linearity</t>
  </si>
  <si>
    <t xml:space="preserve">kV Set:</t>
  </si>
  <si>
    <t xml:space="preserve">Coeff of Linearity:</t>
  </si>
  <si>
    <t xml:space="preserve">Mean:</t>
  </si>
  <si>
    <t xml:space="preserve">Std Dev:</t>
  </si>
  <si>
    <t xml:space="preserve">Coefficient of linearity &lt;= 10%.</t>
  </si>
  <si>
    <t xml:space="preserve">Coeff of Var:</t>
  </si>
  <si>
    <t xml:space="preserve">kVp coefficient of variation (std dev./mean) &lt;= 5%.</t>
  </si>
  <si>
    <t xml:space="preserve">MS1</t>
  </si>
  <si>
    <t xml:space="preserve">MS3</t>
  </si>
  <si>
    <t xml:space="preserve">MS4</t>
  </si>
  <si>
    <t xml:space="preserve">Huttner</t>
  </si>
  <si>
    <t xml:space="preserve">N3</t>
  </si>
  <si>
    <t xml:space="preserve">MS1-4</t>
  </si>
  <si>
    <t xml:space="preserve">Huttner: Enter col.row</t>
  </si>
  <si>
    <t xml:space="preserve">Clearly visible</t>
  </si>
  <si>
    <t xml:space="preserve">N3: Enter # of visible disks</t>
  </si>
  <si>
    <t xml:space="preserve">Visible</t>
  </si>
  <si>
    <t xml:space="preserve">Barely visible</t>
  </si>
  <si>
    <t xml:space="preserve">Not visible</t>
  </si>
  <si>
    <t xml:space="preserve">TO.10</t>
  </si>
  <si>
    <t xml:space="preserve">Field Size</t>
  </si>
  <si>
    <t xml:space="preserve">Row</t>
  </si>
  <si>
    <t xml:space="preserve">Type 1 for circular field, 2 for square field</t>
  </si>
  <si>
    <t xml:space="preserve">A</t>
  </si>
  <si>
    <t xml:space="preserve">B</t>
  </si>
  <si>
    <t xml:space="preserve">C</t>
  </si>
  <si>
    <t xml:space="preserve">Horizontal:</t>
  </si>
  <si>
    <t xml:space="preserve">D</t>
  </si>
  <si>
    <t xml:space="preserve">Vertical:</t>
  </si>
  <si>
    <t xml:space="preserve">E</t>
  </si>
  <si>
    <t xml:space="preserve">Diagonal:</t>
  </si>
  <si>
    <t xml:space="preserve">F</t>
  </si>
  <si>
    <t xml:space="preserve">G</t>
  </si>
  <si>
    <t xml:space="preserve">Criteria: </t>
  </si>
  <si>
    <t xml:space="preserve">Measured field size is at least 85% of nominal field size</t>
  </si>
  <si>
    <t xml:space="preserve">H</t>
  </si>
  <si>
    <t xml:space="preserve">J</t>
  </si>
  <si>
    <t xml:space="preserve">K</t>
  </si>
  <si>
    <t xml:space="preserve">L</t>
  </si>
  <si>
    <t xml:space="preserve">M</t>
  </si>
  <si>
    <t xml:space="preserve">Useful Beam Limitation</t>
  </si>
  <si>
    <t xml:space="preserve">SID (cm)</t>
  </si>
  <si>
    <t xml:space="preserve">Difference</t>
  </si>
  <si>
    <t xml:space="preserve">Sum</t>
  </si>
  <si>
    <t xml:space="preserve">T</t>
  </si>
  <si>
    <t xml:space="preserve">R</t>
  </si>
  <si>
    <t xml:space="preserve">Top:</t>
  </si>
  <si>
    <t xml:space="preserve">Visible:</t>
  </si>
  <si>
    <t xml:space="preserve">Bottom:</t>
  </si>
  <si>
    <t xml:space="preserve">X-ray:</t>
  </si>
  <si>
    <t xml:space="preserve">SOD:</t>
  </si>
  <si>
    <t xml:space="preserve">Difference between x-ray field and visible image area is less than 2% SID</t>
  </si>
  <si>
    <t xml:space="preserve">SID/SOD:</t>
  </si>
  <si>
    <t xml:space="preserve">Sum of length and width differences is less than 4% SID</t>
  </si>
  <si>
    <t xml:space="preserve">Planar Average Dose Profile</t>
  </si>
  <si>
    <t xml:space="preserve">Center</t>
  </si>
  <si>
    <t xml:space="preserve">Top</t>
  </si>
  <si>
    <t xml:space="preserve">Bottom</t>
  </si>
  <si>
    <t xml:space="preserve">Left</t>
  </si>
  <si>
    <t xml:space="preserve">Right</t>
  </si>
  <si>
    <t xml:space="preserve">Average:</t>
  </si>
  <si>
    <t xml:space="preserve">SD:</t>
  </si>
  <si>
    <t xml:space="preserve">Previous f(0):</t>
  </si>
  <si>
    <t xml:space="preserve">Variation from previous:</t>
  </si>
  <si>
    <t xml:space="preserve">Variation from indicated:</t>
  </si>
  <si>
    <t xml:space="preserve">Inside:</t>
  </si>
  <si>
    <t xml:space="preserve">Adjacent:</t>
  </si>
  <si>
    <t xml:space="preserve">Adj SD:</t>
  </si>
  <si>
    <t xml:space="preserve">Water Std Dev:</t>
  </si>
  <si>
    <t xml:space="preserve">Uniformity</t>
  </si>
  <si>
    <t xml:space="preserve">Mean</t>
  </si>
  <si>
    <t xml:space="preserve">SD</t>
  </si>
  <si>
    <t xml:space="preserve">Diff (center)</t>
  </si>
  <si>
    <t xml:space="preserve">Diff (Mean)</t>
  </si>
  <si>
    <t xml:space="preserve">Center:</t>
  </si>
  <si>
    <t xml:space="preserve">High Contrast Resolution</t>
  </si>
  <si>
    <t xml:space="preserve">lp/cm</t>
  </si>
  <si>
    <t xml:space="preserve">Comments Page 1</t>
  </si>
  <si>
    <t xml:space="preserve">Previous Year Comments</t>
  </si>
  <si>
    <t xml:space="preserve">**Patient exposure/dose measurements from the previous report were not posted at the time of inspection.  The exposure measurements provided with this report should be posted near the operator's console.</t>
  </si>
  <si>
    <t xml:space="preserve">Additional Comments:</t>
  </si>
  <si>
    <t xml:space="preserve">**Monthly radiation monitoring reports were not available at the time of inspection.  These should be posted in accordance with the requirements of the radiation safety office.</t>
  </si>
  <si>
    <t xml:space="preserve">A copy of the fluoroscopic skin entrance doses (attached) must be posted on the unit in a location visible to the operator (DHEC RHB 4.9.4.5.6).</t>
  </si>
  <si>
    <t xml:space="preserve">All lead aprons must be inspected and documented on an annual basis (DHEC RHB 4.2.14.7).  Please provide a copy of documentation of inspection or arrange to have lead aprons inspected.</t>
  </si>
  <si>
    <t xml:space="preserve">**The DHEC registration tag was not present on the system or was damaged and should be replaced.  Arrangements must be made with the Radiation Safety Office to obtain the required registration tag.</t>
  </si>
  <si>
    <t xml:space="preserve">Leeds MS</t>
  </si>
  <si>
    <t xml:space="preserve">Huttner Grating</t>
  </si>
  <si>
    <t xml:space="preserve">Leeds N3</t>
  </si>
  <si>
    <t xml:space="preserve">Nominal</t>
  </si>
  <si>
    <t xml:space="preserve">TO.10 kV Adj</t>
  </si>
  <si>
    <t xml:space="preserve">.</t>
  </si>
  <si>
    <t xml:space="preserve">Diameter (mm)</t>
  </si>
  <si>
    <t xml:space="preserve">sqrt(Area)</t>
  </si>
  <si>
    <t xml:space="preserve">TO.10 Values</t>
  </si>
  <si>
    <t xml:space="preserve">DHEC</t>
  </si>
  <si>
    <t xml:space="preserve">MUSC</t>
  </si>
  <si>
    <t xml:space="preserve">HVL Graph</t>
  </si>
  <si>
    <t xml:space="preserve">Min HVL</t>
  </si>
  <si>
    <t xml:space="preserve">Max HVL</t>
  </si>
  <si>
    <t xml:space="preserve">(mm Al)</t>
  </si>
  <si>
    <t xml:space="preserve">Patient Entrance Exposure Rate (Fluoroscopy)*</t>
  </si>
  <si>
    <t xml:space="preserve">Measurements</t>
  </si>
  <si>
    <t xml:space="preserve">Set kV(kV)</t>
  </si>
  <si>
    <t xml:space="preserve">Set mA(mA)</t>
  </si>
  <si>
    <t xml:space="preserve">Tube voltage(kV)</t>
  </si>
  <si>
    <t xml:space="preserve">Exposure(mGy)</t>
  </si>
  <si>
    <t xml:space="preserve">Exposure rate(mGy/min)</t>
  </si>
  <si>
    <t xml:space="preserve">HVL(mm Al)</t>
  </si>
  <si>
    <t xml:space="preserve">Total filtr.(mm Al)</t>
  </si>
  <si>
    <t xml:space="preserve">Set frames/s(FPS)</t>
  </si>
  <si>
    <t xml:space="preserve">Frames/s(FPS)</t>
  </si>
  <si>
    <t xml:space="preserve">Exposure/frame(µGy/frame)</t>
  </si>
  <si>
    <t xml:space="preserve">Frame exp. rate(mGy/s)</t>
  </si>
  <si>
    <t xml:space="preserve">Pulse width(ms)</t>
  </si>
</sst>
</file>

<file path=xl/styles.xml><?xml version="1.0" encoding="utf-8"?>
<styleSheet xmlns="http://schemas.openxmlformats.org/spreadsheetml/2006/main">
  <numFmts count="10">
    <numFmt numFmtId="164" formatCode="General"/>
    <numFmt numFmtId="165" formatCode="0.00"/>
    <numFmt numFmtId="166" formatCode="dd\-mmm\-yyyy"/>
    <numFmt numFmtId="167" formatCode="mmm\-yyyy"/>
    <numFmt numFmtId="168" formatCode="General"/>
    <numFmt numFmtId="169" formatCode="0.0"/>
    <numFmt numFmtId="170" formatCode="0.00%"/>
    <numFmt numFmtId="171" formatCode="0%"/>
    <numFmt numFmtId="172" formatCode="[$-409]d/mmm/yyyy;@"/>
    <numFmt numFmtId="173" formatCode="0.0%"/>
  </numFmts>
  <fonts count="24">
    <font>
      <sz val="12"/>
      <color theme="1"/>
      <name val="Calibri"/>
      <family val="2"/>
      <charset val="1"/>
    </font>
    <font>
      <sz val="10"/>
      <name val="Arial"/>
      <family val="0"/>
    </font>
    <font>
      <sz val="10"/>
      <name val="Arial"/>
      <family val="0"/>
    </font>
    <font>
      <sz val="10"/>
      <name val="Arial"/>
      <family val="0"/>
    </font>
    <font>
      <sz val="12"/>
      <name val="Times New Roman"/>
      <family val="1"/>
      <charset val="1"/>
    </font>
    <font>
      <sz val="12"/>
      <color theme="1"/>
      <name val="Times New Roman"/>
      <family val="1"/>
      <charset val="1"/>
    </font>
    <font>
      <sz val="12"/>
      <color rgb="FFFF0000"/>
      <name val="Times New Roman"/>
      <family val="1"/>
      <charset val="1"/>
    </font>
    <font>
      <b val="true"/>
      <sz val="12"/>
      <color theme="1"/>
      <name val="Times New Roman"/>
      <family val="1"/>
      <charset val="1"/>
    </font>
    <font>
      <b val="true"/>
      <sz val="10"/>
      <color theme="1"/>
      <name val="Times New Roman"/>
      <family val="1"/>
      <charset val="1"/>
    </font>
    <font>
      <u val="single"/>
      <sz val="12"/>
      <color theme="1"/>
      <name val="Times New Roman"/>
      <family val="1"/>
      <charset val="1"/>
    </font>
    <font>
      <sz val="10"/>
      <color theme="1"/>
      <name val="Times New Roman"/>
      <family val="1"/>
      <charset val="1"/>
    </font>
    <font>
      <b val="true"/>
      <sz val="12"/>
      <color theme="1"/>
      <name val="Calibri"/>
      <family val="2"/>
      <charset val="1"/>
    </font>
    <font>
      <b val="true"/>
      <u val="single"/>
      <sz val="12"/>
      <color theme="1"/>
      <name val="Times New Roman"/>
      <family val="1"/>
      <charset val="1"/>
    </font>
    <font>
      <sz val="10"/>
      <color theme="5"/>
      <name val="Times New Roman"/>
      <family val="1"/>
      <charset val="1"/>
    </font>
    <font>
      <sz val="9"/>
      <name val="Times New Roman"/>
      <family val="1"/>
      <charset val="1"/>
    </font>
    <font>
      <b val="true"/>
      <sz val="12"/>
      <name val="Times New Roman"/>
      <family val="1"/>
      <charset val="1"/>
    </font>
    <font>
      <sz val="10"/>
      <name val="Times New Roman"/>
      <family val="1"/>
      <charset val="1"/>
    </font>
    <font>
      <b val="true"/>
      <sz val="14"/>
      <name val="Times New Roman"/>
      <family val="1"/>
      <charset val="1"/>
    </font>
    <font>
      <sz val="8"/>
      <color rgb="FFFF6633"/>
      <name val="Times New Roman"/>
      <family val="1"/>
      <charset val="1"/>
    </font>
    <font>
      <sz val="10"/>
      <color rgb="FFFF6633"/>
      <name val="Times New Roman"/>
      <family val="1"/>
      <charset val="1"/>
    </font>
    <font>
      <sz val="8"/>
      <color rgb="FF008080"/>
      <name val="Times New Roman"/>
      <family val="1"/>
      <charset val="1"/>
    </font>
    <font>
      <sz val="10"/>
      <name val="Arial"/>
      <family val="2"/>
    </font>
    <font>
      <sz val="9"/>
      <color rgb="FF000000"/>
      <name val="Tahoma"/>
      <family val="2"/>
      <charset val="1"/>
    </font>
    <font>
      <b val="true"/>
      <sz val="12"/>
      <color rgb="FFFFFFFF"/>
      <name val="Times New Roman"/>
      <family val="1"/>
      <charset val="1"/>
    </font>
  </fonts>
  <fills count="7">
    <fill>
      <patternFill patternType="none"/>
    </fill>
    <fill>
      <patternFill patternType="gray125"/>
    </fill>
    <fill>
      <patternFill patternType="solid">
        <fgColor rgb="FF23B8DC"/>
        <bgColor rgb="FF00CCFF"/>
      </patternFill>
    </fill>
    <fill>
      <patternFill patternType="solid">
        <fgColor theme="0" tint="-0.25"/>
        <bgColor rgb="FFCCCCFF"/>
      </patternFill>
    </fill>
    <fill>
      <patternFill patternType="solid">
        <fgColor rgb="FFFFFF99"/>
        <bgColor rgb="FFCCFFCC"/>
      </patternFill>
    </fill>
    <fill>
      <patternFill patternType="solid">
        <fgColor rgb="FFE6E6E6"/>
        <bgColor rgb="FFFFFFFF"/>
      </patternFill>
    </fill>
    <fill>
      <patternFill patternType="solid">
        <fgColor rgb="FF000000"/>
        <bgColor rgb="FF003300"/>
      </patternFill>
    </fill>
  </fills>
  <borders count="89">
    <border diagonalUp="false" diagonalDown="false">
      <left/>
      <right/>
      <top/>
      <bottom/>
      <diagonal/>
    </border>
    <border diagonalUp="false" diagonalDown="false">
      <left style="double"/>
      <right/>
      <top style="double"/>
      <bottom/>
      <diagonal/>
    </border>
    <border diagonalUp="false" diagonalDown="false">
      <left/>
      <right/>
      <top style="double"/>
      <bottom/>
      <diagonal/>
    </border>
    <border diagonalUp="false" diagonalDown="false">
      <left/>
      <right style="double"/>
      <top style="double"/>
      <bottom/>
      <diagonal/>
    </border>
    <border diagonalUp="false" diagonalDown="false">
      <left style="double"/>
      <right/>
      <top/>
      <bottom/>
      <diagonal/>
    </border>
    <border diagonalUp="false" diagonalDown="false">
      <left/>
      <right style="double"/>
      <top/>
      <bottom/>
      <diagonal/>
    </border>
    <border diagonalUp="false" diagonalDown="false">
      <left/>
      <right/>
      <top/>
      <bottom style="thin"/>
      <diagonal/>
    </border>
    <border diagonalUp="false" diagonalDown="false">
      <left style="double"/>
      <right/>
      <top/>
      <bottom style="double"/>
      <diagonal/>
    </border>
    <border diagonalUp="false" diagonalDown="false">
      <left/>
      <right/>
      <top/>
      <bottom style="double"/>
      <diagonal/>
    </border>
    <border diagonalUp="false" diagonalDown="false">
      <left/>
      <right style="double"/>
      <top/>
      <bottom style="double"/>
      <diagonal/>
    </border>
    <border diagonalUp="false" diagonalDown="false">
      <left/>
      <right/>
      <top/>
      <bottom style="hair"/>
      <diagonal/>
    </border>
    <border diagonalUp="false" diagonalDown="false">
      <left style="double"/>
      <right/>
      <top/>
      <bottom style="thin"/>
      <diagonal/>
    </border>
    <border diagonalUp="false" diagonalDown="false">
      <left style="medium"/>
      <right style="hair"/>
      <top style="medium"/>
      <bottom style="hair"/>
      <diagonal/>
    </border>
    <border diagonalUp="false" diagonalDown="false">
      <left style="hair"/>
      <right style="medium"/>
      <top style="medium"/>
      <bottom style="hair"/>
      <diagonal/>
    </border>
    <border diagonalUp="false" diagonalDown="false">
      <left style="medium"/>
      <right style="hair"/>
      <top style="hair"/>
      <bottom style="hair"/>
      <diagonal/>
    </border>
    <border diagonalUp="false" diagonalDown="false">
      <left style="hair"/>
      <right style="medium"/>
      <top style="hair"/>
      <bottom style="hair"/>
      <diagonal/>
    </border>
    <border diagonalUp="false" diagonalDown="false">
      <left/>
      <right/>
      <top style="thin"/>
      <bottom style="thin"/>
      <diagonal/>
    </border>
    <border diagonalUp="false" diagonalDown="false">
      <left style="medium"/>
      <right style="hair"/>
      <top style="hair"/>
      <bottom style="medium"/>
      <diagonal/>
    </border>
    <border diagonalUp="false" diagonalDown="false">
      <left style="hair"/>
      <right style="medium"/>
      <top style="hair"/>
      <bottom style="medium"/>
      <diagonal/>
    </border>
    <border diagonalUp="false" diagonalDown="false">
      <left style="double"/>
      <right style="medium"/>
      <top/>
      <bottom/>
      <diagonal/>
    </border>
    <border diagonalUp="false" diagonalDown="false">
      <left style="medium"/>
      <right style="medium"/>
      <top/>
      <bottom/>
      <diagonal/>
    </border>
    <border diagonalUp="false" diagonalDown="false">
      <left/>
      <right style="thin"/>
      <top/>
      <bottom/>
      <diagonal/>
    </border>
    <border diagonalUp="false" diagonalDown="false">
      <left style="medium"/>
      <right/>
      <top/>
      <bottom/>
      <diagonal/>
    </border>
    <border diagonalUp="false" diagonalDown="false">
      <left/>
      <right style="medium"/>
      <top/>
      <bottom/>
      <diagonal/>
    </border>
    <border diagonalUp="false" diagonalDown="false">
      <left style="thin"/>
      <right style="thin"/>
      <top style="thin"/>
      <bottom style="thin"/>
      <diagonal/>
    </border>
    <border diagonalUp="false" diagonalDown="false">
      <left style="medium"/>
      <right style="medium"/>
      <top style="medium"/>
      <bottom style="hair"/>
      <diagonal/>
    </border>
    <border diagonalUp="false" diagonalDown="false">
      <left style="medium"/>
      <right style="medium"/>
      <top style="hair"/>
      <bottom style="hair"/>
      <diagonal/>
    </border>
    <border diagonalUp="false" diagonalDown="false">
      <left style="medium"/>
      <right style="medium"/>
      <top style="hair"/>
      <bottom style="medium"/>
      <diagonal/>
    </border>
    <border diagonalUp="false" diagonalDown="false">
      <left style="medium"/>
      <right/>
      <top/>
      <bottom style="thin"/>
      <diagonal/>
    </border>
    <border diagonalUp="false" diagonalDown="false">
      <left style="double"/>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right style="thin"/>
      <top style="medium"/>
      <bottom style="thin"/>
      <diagonal/>
    </border>
    <border diagonalUp="false" diagonalDown="false">
      <left style="double"/>
      <right style="medium"/>
      <top/>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style="double"/>
      <right style="medium"/>
      <top/>
      <bottom style="mediu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right style="thin"/>
      <top style="thin"/>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style="medium"/>
      <top/>
      <bottom style="thin"/>
      <diagonal/>
    </border>
    <border diagonalUp="false" diagonalDown="false">
      <left/>
      <right style="thin"/>
      <top/>
      <bottom style="thin"/>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double"/>
      <right/>
      <top/>
      <bottom style="medium"/>
      <diagonal/>
    </border>
    <border diagonalUp="false" diagonalDown="false">
      <left/>
      <right style="medium"/>
      <top/>
      <bottom style="medium"/>
      <diagonal/>
    </border>
    <border diagonalUp="false" diagonalDown="false">
      <left style="double"/>
      <right style="thin"/>
      <top style="medium"/>
      <bottom style="thin"/>
      <diagonal/>
    </border>
    <border diagonalUp="false" diagonalDown="false">
      <left style="medium"/>
      <right style="medium"/>
      <top style="medium"/>
      <bottom/>
      <diagonal/>
    </border>
    <border diagonalUp="false" diagonalDown="false">
      <left style="medium"/>
      <right style="medium"/>
      <top style="thin"/>
      <bottom style="medium"/>
      <diagonal/>
    </border>
    <border diagonalUp="false" diagonalDown="false">
      <left style="hair"/>
      <right style="hair"/>
      <top style="hair"/>
      <bottom style="thin"/>
      <diagonal/>
    </border>
    <border diagonalUp="false" diagonalDown="false">
      <left style="double"/>
      <right/>
      <top style="thin"/>
      <bottom style="thin"/>
      <diagonal/>
    </border>
    <border diagonalUp="false" diagonalDown="false">
      <left/>
      <right/>
      <top/>
      <bottom style="medium"/>
      <diagonal/>
    </border>
    <border diagonalUp="false" diagonalDown="false">
      <left style="medium"/>
      <right style="medium"/>
      <top style="medium"/>
      <bottom style="thin"/>
      <diagonal/>
    </border>
    <border diagonalUp="false" diagonalDown="false">
      <left style="double"/>
      <right style="thin"/>
      <top style="thin"/>
      <bottom style="thin"/>
      <diagonal/>
    </border>
    <border diagonalUp="false" diagonalDown="false">
      <left style="medium"/>
      <right style="medium"/>
      <top style="thin"/>
      <bottom style="thin"/>
      <diagonal/>
    </border>
    <border diagonalUp="false" diagonalDown="false">
      <left style="double"/>
      <right style="thin"/>
      <top style="thin"/>
      <bottom style="medium"/>
      <diagonal/>
    </border>
    <border diagonalUp="false" diagonalDown="false">
      <left/>
      <right style="medium"/>
      <top style="medium"/>
      <bottom style="thin"/>
      <diagonal/>
    </border>
    <border diagonalUp="false" diagonalDown="false">
      <left/>
      <right style="medium"/>
      <top style="thin"/>
      <bottom style="thin"/>
      <diagonal/>
    </border>
    <border diagonalUp="false" diagonalDown="false">
      <left/>
      <right style="medium"/>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double"/>
      <right style="thin"/>
      <top style="medium"/>
      <bottom style="medium"/>
      <diagonal/>
    </border>
    <border diagonalUp="false" diagonalDown="false">
      <left style="double"/>
      <right style="thin"/>
      <top style="medium"/>
      <bottom/>
      <diagonal/>
    </border>
    <border diagonalUp="false" diagonalDown="false">
      <left style="double"/>
      <right style="medium"/>
      <top style="medium"/>
      <bottom style="medium"/>
      <diagonal/>
    </border>
    <border diagonalUp="false" diagonalDown="false">
      <left style="double"/>
      <right style="thin"/>
      <top/>
      <bottom style="thin"/>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style="medium"/>
      <right/>
      <top style="thin"/>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right style="medium"/>
      <top/>
      <bottom style="thin"/>
      <diagonal/>
    </border>
    <border diagonalUp="false" diagonalDown="false">
      <left style="medium"/>
      <right/>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165" fontId="4" fillId="0" borderId="0" applyFont="true" applyBorder="true" applyAlignment="true" applyProtection="true">
      <alignment horizontal="center" vertical="center" textRotation="0" wrapText="false" indent="0" shrinkToFit="false"/>
      <protection locked="true" hidden="false"/>
    </xf>
  </cellStyleXfs>
  <cellXfs count="24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64" fontId="5" fillId="0" borderId="4"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5" fillId="0" borderId="5"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5" fillId="2" borderId="6" xfId="0" applyFont="true" applyBorder="true" applyAlignment="true" applyProtection="false">
      <alignment horizontal="general" vertical="center" textRotation="0" wrapText="false" indent="0" shrinkToFit="false"/>
      <protection locked="true" hidden="false"/>
    </xf>
    <xf numFmtId="164" fontId="5" fillId="3" borderId="6"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false" indent="0" shrinkToFit="false"/>
      <protection locked="true" hidden="false"/>
    </xf>
    <xf numFmtId="164" fontId="7" fillId="0" borderId="8" xfId="0" applyFont="tru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general" vertical="center" textRotation="0" wrapText="false" indent="0" shrinkToFit="false"/>
      <protection locked="true" hidden="false"/>
    </xf>
    <xf numFmtId="166" fontId="5" fillId="2" borderId="6"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6" fontId="5" fillId="3" borderId="0" xfId="0" applyFont="true" applyBorder="true" applyAlignment="true" applyProtection="false">
      <alignment horizontal="general" vertical="center" textRotation="0" wrapText="false" indent="0" shrinkToFit="false"/>
      <protection locked="true" hidden="false"/>
    </xf>
    <xf numFmtId="164" fontId="5" fillId="3" borderId="10" xfId="0" applyFont="true" applyBorder="true" applyAlignment="true" applyProtection="false">
      <alignment horizontal="center" vertical="center" textRotation="0" wrapText="false" indent="0" shrinkToFit="false"/>
      <protection locked="true" hidden="false"/>
    </xf>
    <xf numFmtId="164" fontId="5" fillId="2" borderId="10" xfId="0" applyFont="true" applyBorder="true" applyAlignment="true" applyProtection="false">
      <alignment horizontal="general" vertical="center" textRotation="0" wrapText="false" indent="0" shrinkToFit="false"/>
      <protection locked="true" hidden="false"/>
    </xf>
    <xf numFmtId="164" fontId="7" fillId="0" borderId="2" xfId="0" applyFont="true" applyBorder="true" applyAlignment="true" applyProtection="false">
      <alignment horizontal="general" vertical="center" textRotation="0" wrapText="false" indent="0" shrinkToFit="false"/>
      <protection locked="true" hidden="false"/>
    </xf>
    <xf numFmtId="164" fontId="7" fillId="0" borderId="2" xfId="0" applyFont="true" applyBorder="true" applyAlignment="true" applyProtection="false">
      <alignment horizontal="center" vertical="center" textRotation="0" wrapText="false" indent="0" shrinkToFit="false"/>
      <protection locked="true" hidden="false"/>
    </xf>
    <xf numFmtId="164" fontId="5" fillId="2" borderId="1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right" vertical="center" textRotation="0" wrapText="false" indent="0" shrinkToFit="false"/>
      <protection locked="true" hidden="false"/>
    </xf>
    <xf numFmtId="164" fontId="5" fillId="0" borderId="6"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general" vertical="center" textRotation="0" wrapText="false" indent="0" shrinkToFit="false"/>
      <protection locked="true" hidden="false"/>
    </xf>
    <xf numFmtId="167" fontId="5" fillId="2" borderId="6"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general" vertical="center" textRotation="0" wrapText="false" indent="0" shrinkToFit="false"/>
      <protection locked="true" hidden="false"/>
    </xf>
    <xf numFmtId="164" fontId="5" fillId="3" borderId="11" xfId="0" applyFont="true" applyBorder="true" applyAlignment="true" applyProtection="false">
      <alignment horizontal="center" vertical="center" textRotation="0" wrapText="false" indent="0" shrinkToFit="false"/>
      <protection locked="true" hidden="false"/>
    </xf>
    <xf numFmtId="164" fontId="5" fillId="2" borderId="6" xfId="0" applyFont="true" applyBorder="true" applyAlignment="true" applyProtection="false">
      <alignment horizontal="center" vertical="center" textRotation="0" wrapText="false" indent="0" shrinkToFit="false"/>
      <protection locked="true" hidden="false"/>
    </xf>
    <xf numFmtId="164" fontId="5" fillId="3" borderId="6"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general" vertical="center" textRotation="0" wrapText="false" indent="0" shrinkToFit="false"/>
      <protection locked="true" hidden="false"/>
    </xf>
    <xf numFmtId="164" fontId="5" fillId="4" borderId="11" xfId="0" applyFont="true" applyBorder="true" applyAlignment="true" applyProtection="false">
      <alignment horizontal="center" vertical="center" textRotation="0" wrapText="false" indent="0" shrinkToFit="false"/>
      <protection locked="true" hidden="false"/>
    </xf>
    <xf numFmtId="168" fontId="5" fillId="3" borderId="12" xfId="0" applyFont="true" applyBorder="true" applyAlignment="true" applyProtection="false">
      <alignment horizontal="center" vertical="center" textRotation="0" wrapText="false" indent="0" shrinkToFit="false"/>
      <protection locked="true" hidden="false"/>
    </xf>
    <xf numFmtId="164" fontId="5" fillId="2" borderId="13" xfId="0" applyFont="true" applyBorder="true" applyAlignment="true" applyProtection="false">
      <alignment horizontal="center" vertical="center" textRotation="0" wrapText="false" indent="0" shrinkToFit="false"/>
      <protection locked="true" hidden="false"/>
    </xf>
    <xf numFmtId="168" fontId="5" fillId="3" borderId="14" xfId="0" applyFont="true" applyBorder="true" applyAlignment="true" applyProtection="false">
      <alignment horizontal="center" vertical="center" textRotation="0" wrapText="false" indent="0" shrinkToFit="false"/>
      <protection locked="true" hidden="false"/>
    </xf>
    <xf numFmtId="164" fontId="5" fillId="2" borderId="1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right" vertical="center" textRotation="0" wrapText="false" indent="0" shrinkToFit="false"/>
      <protection locked="true" hidden="false"/>
    </xf>
    <xf numFmtId="166" fontId="10" fillId="0" borderId="6" xfId="0" applyFont="true" applyBorder="true" applyAlignment="true" applyProtection="false">
      <alignment horizontal="general" vertical="center" textRotation="0" wrapText="false" indent="0" shrinkToFit="false"/>
      <protection locked="true" hidden="false"/>
    </xf>
    <xf numFmtId="164" fontId="10" fillId="0" borderId="6" xfId="0" applyFont="true" applyBorder="true" applyAlignment="true" applyProtection="false">
      <alignment horizontal="general" vertical="center" textRotation="0" wrapText="false" indent="0" shrinkToFit="false"/>
      <protection locked="true" hidden="false"/>
    </xf>
    <xf numFmtId="164" fontId="10" fillId="0" borderId="16"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8" fontId="5" fillId="3" borderId="17" xfId="0" applyFont="true" applyBorder="true" applyAlignment="true" applyProtection="false">
      <alignment horizontal="center" vertical="center" textRotation="0" wrapText="false" indent="0" shrinkToFit="false"/>
      <protection locked="true" hidden="false"/>
    </xf>
    <xf numFmtId="164" fontId="5" fillId="2" borderId="18" xfId="0" applyFont="true" applyBorder="true" applyAlignment="true" applyProtection="false">
      <alignment horizontal="center" vertical="center"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8" fontId="9" fillId="0" borderId="9" xfId="0" applyFont="true" applyBorder="true" applyAlignment="true" applyProtection="false">
      <alignment horizontal="center" vertical="center" textRotation="0" wrapText="false" indent="0" shrinkToFit="false"/>
      <protection locked="true" hidden="false"/>
    </xf>
    <xf numFmtId="164" fontId="12" fillId="0" borderId="4" xfId="0" applyFont="true" applyBorder="true" applyAlignment="true" applyProtection="false">
      <alignment horizontal="general" vertical="center" textRotation="0" wrapText="false" indent="0" shrinkToFit="false"/>
      <protection locked="true" hidden="false"/>
    </xf>
    <xf numFmtId="164" fontId="5" fillId="0" borderId="19" xfId="0" applyFont="true" applyBorder="true" applyAlignment="true" applyProtection="false">
      <alignment horizontal="center" vertical="center" textRotation="0" wrapText="false" indent="0" shrinkToFit="false"/>
      <protection locked="true" hidden="false"/>
    </xf>
    <xf numFmtId="164" fontId="5" fillId="0" borderId="20" xfId="0" applyFont="true" applyBorder="true" applyAlignment="true" applyProtection="false">
      <alignment horizontal="center" vertical="center" textRotation="0" wrapText="false" indent="0" shrinkToFit="false"/>
      <protection locked="true" hidden="false"/>
    </xf>
    <xf numFmtId="164" fontId="5" fillId="0" borderId="21" xfId="0" applyFont="true" applyBorder="true" applyAlignment="true" applyProtection="false">
      <alignment horizontal="center" vertical="center" textRotation="0" wrapText="false" indent="0" shrinkToFit="false"/>
      <protection locked="true" hidden="false"/>
    </xf>
    <xf numFmtId="164" fontId="5" fillId="0" borderId="22" xfId="0" applyFont="true" applyBorder="true" applyAlignment="true" applyProtection="false">
      <alignment horizontal="center" vertical="center" textRotation="0" wrapText="false" indent="0" shrinkToFit="false"/>
      <protection locked="true" hidden="false"/>
    </xf>
    <xf numFmtId="164" fontId="5" fillId="0" borderId="23" xfId="0" applyFont="true" applyBorder="true" applyAlignment="true" applyProtection="false">
      <alignment horizontal="center" vertical="center" textRotation="0" wrapText="false" indent="0" shrinkToFit="false"/>
      <protection locked="true" hidden="false"/>
    </xf>
    <xf numFmtId="164" fontId="5" fillId="0" borderId="24" xfId="0" applyFont="true" applyBorder="true" applyAlignment="true" applyProtection="false">
      <alignment horizontal="center" vertical="center" textRotation="0" wrapText="false" indent="0" shrinkToFit="false"/>
      <protection locked="true" hidden="false"/>
    </xf>
    <xf numFmtId="164" fontId="5" fillId="0" borderId="25" xfId="0" applyFont="true" applyBorder="true" applyAlignment="true" applyProtection="false">
      <alignment horizontal="center" vertical="center" textRotation="0" wrapText="false" indent="0" shrinkToFit="false"/>
      <protection locked="true" hidden="false"/>
    </xf>
    <xf numFmtId="168" fontId="5" fillId="0" borderId="24" xfId="0" applyFont="true" applyBorder="true" applyAlignment="true" applyProtection="false">
      <alignment horizontal="center" vertical="center" textRotation="0" wrapText="false" indent="0" shrinkToFit="false"/>
      <protection locked="true" hidden="false"/>
    </xf>
    <xf numFmtId="166" fontId="5" fillId="3" borderId="6" xfId="0" applyFont="true" applyBorder="true" applyAlignment="true" applyProtection="false">
      <alignment horizontal="center" vertical="center" textRotation="0" wrapText="false" indent="0" shrinkToFit="false"/>
      <protection locked="true" hidden="false"/>
    </xf>
    <xf numFmtId="166" fontId="5" fillId="2" borderId="6" xfId="0" applyFont="true" applyBorder="true" applyAlignment="true" applyProtection="false">
      <alignment horizontal="center" vertical="center" textRotation="0" wrapText="false" indent="0" shrinkToFit="false"/>
      <protection locked="true" hidden="false"/>
    </xf>
    <xf numFmtId="164" fontId="5" fillId="0" borderId="26" xfId="0" applyFont="true" applyBorder="true" applyAlignment="true" applyProtection="false">
      <alignment horizontal="center" vertical="center" textRotation="0" wrapText="false" indent="0" shrinkToFit="false"/>
      <protection locked="true" hidden="false"/>
    </xf>
    <xf numFmtId="164" fontId="5" fillId="0" borderId="27" xfId="0" applyFont="true" applyBorder="true" applyAlignment="true" applyProtection="false">
      <alignment horizontal="center" vertical="center" textRotation="0" wrapText="false" indent="0" shrinkToFit="false"/>
      <protection locked="true" hidden="false"/>
    </xf>
    <xf numFmtId="168" fontId="10" fillId="0" borderId="4" xfId="0" applyFont="true" applyBorder="true" applyAlignment="true" applyProtection="false">
      <alignment horizontal="left" vertical="center" textRotation="0" wrapText="false" indent="0" shrinkToFit="false"/>
      <protection locked="true" hidden="false"/>
    </xf>
    <xf numFmtId="164" fontId="5" fillId="3" borderId="28" xfId="0" applyFont="true" applyBorder="true" applyAlignment="true" applyProtection="false">
      <alignment horizontal="general" vertical="center" textRotation="0" wrapText="false" indent="0" shrinkToFit="false"/>
      <protection locked="true" hidden="false"/>
    </xf>
    <xf numFmtId="164" fontId="5" fillId="0" borderId="23" xfId="0" applyFont="true" applyBorder="true" applyAlignment="true" applyProtection="false">
      <alignment horizontal="general" vertical="center" textRotation="0" wrapText="false" indent="0" shrinkToFit="false"/>
      <protection locked="true" hidden="false"/>
    </xf>
    <xf numFmtId="168" fontId="5" fillId="0" borderId="20" xfId="0" applyFont="true" applyBorder="true" applyAlignment="true" applyProtection="false">
      <alignment horizontal="center" vertical="center" textRotation="0" wrapText="false" indent="0" shrinkToFit="false"/>
      <protection locked="true" hidden="false"/>
    </xf>
    <xf numFmtId="168" fontId="5" fillId="0" borderId="23" xfId="0" applyFont="true" applyBorder="true" applyAlignment="true" applyProtection="false">
      <alignment horizontal="center" vertical="center" textRotation="0" wrapText="false" indent="0" shrinkToFit="false"/>
      <protection locked="true" hidden="false"/>
    </xf>
    <xf numFmtId="164" fontId="5" fillId="0" borderId="29" xfId="0" applyFont="true" applyBorder="true" applyAlignment="true" applyProtection="false">
      <alignment horizontal="center" vertical="center" textRotation="0" wrapText="false" indent="0" shrinkToFit="false"/>
      <protection locked="true" hidden="false"/>
    </xf>
    <xf numFmtId="168" fontId="5" fillId="4" borderId="30" xfId="0" applyFont="true" applyBorder="true" applyAlignment="true" applyProtection="false">
      <alignment horizontal="center" vertical="center" textRotation="0" wrapText="false" indent="0" shrinkToFit="false"/>
      <protection locked="true" hidden="false"/>
    </xf>
    <xf numFmtId="168" fontId="5" fillId="4" borderId="31" xfId="0" applyFont="true" applyBorder="true" applyAlignment="true" applyProtection="false">
      <alignment horizontal="center" vertical="center" textRotation="0" wrapText="false" indent="0" shrinkToFit="false"/>
      <protection locked="true" hidden="false"/>
    </xf>
    <xf numFmtId="168" fontId="5" fillId="4" borderId="32" xfId="0" applyFont="true" applyBorder="true" applyAlignment="true" applyProtection="false">
      <alignment horizontal="center" vertical="center" textRotation="0" wrapText="false" indent="0" shrinkToFit="false"/>
      <protection locked="true" hidden="false"/>
    </xf>
    <xf numFmtId="168" fontId="5" fillId="4" borderId="33" xfId="0" applyFont="true" applyBorder="true" applyAlignment="true" applyProtection="false">
      <alignment horizontal="center" vertical="center" textRotation="0" wrapText="false" indent="0" shrinkToFit="false"/>
      <protection locked="true" hidden="false"/>
    </xf>
    <xf numFmtId="168" fontId="5" fillId="4" borderId="34" xfId="0" applyFont="true" applyBorder="true" applyAlignment="true" applyProtection="false">
      <alignment horizontal="center" vertical="center" textRotation="0" wrapText="false" indent="0" shrinkToFit="false"/>
      <protection locked="true" hidden="false"/>
    </xf>
    <xf numFmtId="164" fontId="5" fillId="3" borderId="35" xfId="0" applyFont="true" applyBorder="true" applyAlignment="true" applyProtection="false">
      <alignment horizontal="center" vertical="center" textRotation="0" wrapText="false" indent="0" shrinkToFit="false"/>
      <protection locked="true" hidden="false"/>
    </xf>
    <xf numFmtId="168" fontId="5" fillId="4" borderId="36" xfId="0" applyFont="true" applyBorder="true" applyAlignment="true" applyProtection="false">
      <alignment horizontal="center" vertical="center" textRotation="0" wrapText="false" indent="0" shrinkToFit="false"/>
      <protection locked="true" hidden="false"/>
    </xf>
    <xf numFmtId="168" fontId="5" fillId="4" borderId="24" xfId="0" applyFont="true" applyBorder="true" applyAlignment="true" applyProtection="false">
      <alignment horizontal="center" vertical="center" textRotation="0" wrapText="false" indent="0" shrinkToFit="false"/>
      <protection locked="true" hidden="false"/>
    </xf>
    <xf numFmtId="168" fontId="5" fillId="4" borderId="37" xfId="0" applyFont="true" applyBorder="true" applyAlignment="true" applyProtection="false">
      <alignment horizontal="center" vertical="center" textRotation="0" wrapText="false" indent="0" shrinkToFit="false"/>
      <protection locked="true" hidden="false"/>
    </xf>
    <xf numFmtId="168" fontId="5" fillId="4" borderId="38" xfId="0" applyFont="true" applyBorder="true" applyAlignment="true" applyProtection="false">
      <alignment horizontal="center" vertical="center" textRotation="0" wrapText="false" indent="0" shrinkToFit="false"/>
      <protection locked="true" hidden="false"/>
    </xf>
    <xf numFmtId="168" fontId="5" fillId="4" borderId="39" xfId="0" applyFont="true" applyBorder="true" applyAlignment="true" applyProtection="false">
      <alignment horizontal="center" vertical="center" textRotation="0" wrapText="false" indent="0" shrinkToFit="false"/>
      <protection locked="true" hidden="false"/>
    </xf>
    <xf numFmtId="164" fontId="5" fillId="2" borderId="40" xfId="0" applyFont="true" applyBorder="true" applyAlignment="true" applyProtection="false">
      <alignment horizontal="center" vertical="center" textRotation="0" wrapText="false" indent="0" shrinkToFit="false"/>
      <protection locked="true" hidden="false"/>
    </xf>
    <xf numFmtId="168" fontId="5" fillId="4" borderId="41" xfId="0" applyFont="true" applyBorder="true" applyAlignment="true" applyProtection="false">
      <alignment horizontal="center" vertical="center" textRotation="0" wrapText="false" indent="0" shrinkToFit="false"/>
      <protection locked="true" hidden="false"/>
    </xf>
    <xf numFmtId="168" fontId="5" fillId="4" borderId="42" xfId="0" applyFont="true" applyBorder="true" applyAlignment="true" applyProtection="false">
      <alignment horizontal="center" vertical="center" textRotation="0" wrapText="false" indent="0" shrinkToFit="false"/>
      <protection locked="true" hidden="false"/>
    </xf>
    <xf numFmtId="168" fontId="5" fillId="4" borderId="43" xfId="0" applyFont="true" applyBorder="true" applyAlignment="true" applyProtection="false">
      <alignment horizontal="center" vertical="center" textRotation="0" wrapText="false" indent="0" shrinkToFit="false"/>
      <protection locked="true" hidden="false"/>
    </xf>
    <xf numFmtId="168" fontId="5" fillId="4" borderId="44" xfId="0" applyFont="true" applyBorder="true" applyAlignment="true" applyProtection="false">
      <alignment horizontal="center" vertical="center" textRotation="0" wrapText="false" indent="0" shrinkToFit="false"/>
      <protection locked="true" hidden="false"/>
    </xf>
    <xf numFmtId="168" fontId="5" fillId="4" borderId="45" xfId="0" applyFont="true" applyBorder="true" applyAlignment="true" applyProtection="false">
      <alignment horizontal="center" vertical="center" textRotation="0" wrapText="false" indent="0" shrinkToFit="false"/>
      <protection locked="true" hidden="false"/>
    </xf>
    <xf numFmtId="168" fontId="5" fillId="4" borderId="46" xfId="0" applyFont="true" applyBorder="true" applyAlignment="true" applyProtection="false">
      <alignment horizontal="center" vertical="center" textRotation="0" wrapText="false" indent="0" shrinkToFit="false"/>
      <protection locked="true" hidden="false"/>
    </xf>
    <xf numFmtId="168" fontId="5" fillId="4" borderId="47" xfId="0" applyFont="true" applyBorder="true" applyAlignment="true" applyProtection="false">
      <alignment horizontal="center" vertical="center" textRotation="0" wrapText="false" indent="0" shrinkToFit="false"/>
      <protection locked="true" hidden="false"/>
    </xf>
    <xf numFmtId="168" fontId="5" fillId="4" borderId="48" xfId="0" applyFont="true" applyBorder="true" applyAlignment="true" applyProtection="false">
      <alignment horizontal="center" vertical="center" textRotation="0" wrapText="false" indent="0" shrinkToFit="false"/>
      <protection locked="true" hidden="false"/>
    </xf>
    <xf numFmtId="168" fontId="5" fillId="4" borderId="49" xfId="0" applyFont="true" applyBorder="true" applyAlignment="true" applyProtection="false">
      <alignment horizontal="center" vertical="center" textRotation="0" wrapText="false" indent="0" shrinkToFit="false"/>
      <protection locked="true" hidden="false"/>
    </xf>
    <xf numFmtId="168" fontId="5" fillId="4" borderId="50" xfId="0" applyFont="true" applyBorder="true" applyAlignment="true" applyProtection="false">
      <alignment horizontal="center" vertical="center" textRotation="0" wrapText="false" indent="0" shrinkToFit="false"/>
      <protection locked="true" hidden="false"/>
    </xf>
    <xf numFmtId="168" fontId="5" fillId="4" borderId="51" xfId="0" applyFont="true" applyBorder="true" applyAlignment="true" applyProtection="false">
      <alignment horizontal="center" vertical="center" textRotation="0" wrapText="false" indent="0" shrinkToFit="false"/>
      <protection locked="true" hidden="false"/>
    </xf>
    <xf numFmtId="168" fontId="5" fillId="4" borderId="52" xfId="0" applyFont="true" applyBorder="true" applyAlignment="true" applyProtection="false">
      <alignment horizontal="center" vertical="center" textRotation="0" wrapText="false" indent="0" shrinkToFit="false"/>
      <protection locked="true" hidden="false"/>
    </xf>
    <xf numFmtId="168" fontId="5" fillId="4" borderId="53" xfId="0" applyFont="true" applyBorder="true" applyAlignment="true" applyProtection="false">
      <alignment horizontal="center" vertical="center" textRotation="0" wrapText="false" indent="0" shrinkToFit="false"/>
      <protection locked="true" hidden="false"/>
    </xf>
    <xf numFmtId="168" fontId="5" fillId="4" borderId="54" xfId="0" applyFont="true" applyBorder="true" applyAlignment="true" applyProtection="false">
      <alignment horizontal="center" vertical="center" textRotation="0" wrapText="false" indent="0" shrinkToFit="false"/>
      <protection locked="true" hidden="false"/>
    </xf>
    <xf numFmtId="168" fontId="5" fillId="4" borderId="55" xfId="0" applyFont="true" applyBorder="true" applyAlignment="true" applyProtection="false">
      <alignment horizontal="center" vertical="center" textRotation="0" wrapText="false" indent="0" shrinkToFit="false"/>
      <protection locked="true" hidden="false"/>
    </xf>
    <xf numFmtId="164" fontId="5" fillId="0" borderId="56" xfId="0" applyFont="true" applyBorder="true" applyAlignment="true" applyProtection="false">
      <alignment horizontal="center" vertical="center" textRotation="0" wrapText="false" indent="0" shrinkToFit="false"/>
      <protection locked="true" hidden="false"/>
    </xf>
    <xf numFmtId="164" fontId="5" fillId="3" borderId="46" xfId="0" applyFont="true" applyBorder="true" applyAlignment="true" applyProtection="false">
      <alignment horizontal="center" vertical="center" textRotation="0" wrapText="false" indent="0" shrinkToFit="false"/>
      <protection locked="true" hidden="false"/>
    </xf>
    <xf numFmtId="164" fontId="5" fillId="3" borderId="47" xfId="0" applyFont="true" applyBorder="true" applyAlignment="true" applyProtection="false">
      <alignment horizontal="center" vertical="center" textRotation="0" wrapText="false" indent="0" shrinkToFit="false"/>
      <protection locked="true" hidden="false"/>
    </xf>
    <xf numFmtId="164" fontId="5" fillId="3" borderId="48" xfId="0" applyFont="true" applyBorder="true" applyAlignment="true" applyProtection="false">
      <alignment horizontal="center" vertical="center" textRotation="0" wrapText="false" indent="0" shrinkToFit="false"/>
      <protection locked="true" hidden="false"/>
    </xf>
    <xf numFmtId="164" fontId="5" fillId="3" borderId="49" xfId="0" applyFont="true" applyBorder="true" applyAlignment="true" applyProtection="false">
      <alignment horizontal="center" vertical="center" textRotation="0" wrapText="false" indent="0" shrinkToFit="false"/>
      <protection locked="true" hidden="false"/>
    </xf>
    <xf numFmtId="164" fontId="5" fillId="3" borderId="5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10" fillId="0" borderId="57" xfId="0" applyFont="true" applyBorder="true" applyAlignment="true" applyProtection="false">
      <alignment horizontal="center" vertical="center" textRotation="0" wrapText="false" indent="0" shrinkToFit="false"/>
      <protection locked="true" hidden="false"/>
    </xf>
    <xf numFmtId="168" fontId="5" fillId="0" borderId="58"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true" applyAlignment="true" applyProtection="fals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5" fillId="0" borderId="59" xfId="0" applyFont="true" applyBorder="true" applyAlignment="true" applyProtection="false">
      <alignment horizontal="center" vertical="center" textRotation="0" wrapText="false" indent="0" shrinkToFit="false"/>
      <protection locked="true" hidden="false"/>
    </xf>
    <xf numFmtId="164" fontId="5" fillId="0" borderId="6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5" fillId="4" borderId="61" xfId="0" applyFont="true" applyBorder="true" applyAlignment="true" applyProtection="false">
      <alignment horizontal="center" vertical="center" textRotation="0" wrapText="false" indent="0" shrinkToFit="false"/>
      <protection locked="true" hidden="false"/>
    </xf>
    <xf numFmtId="169" fontId="5" fillId="0" borderId="30" xfId="0" applyFont="true" applyBorder="true" applyAlignment="true" applyProtection="false">
      <alignment horizontal="center" vertical="center" textRotation="0" wrapText="false" indent="0" shrinkToFit="false"/>
      <protection locked="true" hidden="false"/>
    </xf>
    <xf numFmtId="164" fontId="4" fillId="0" borderId="24" xfId="0" applyFont="true" applyBorder="true" applyAlignment="true" applyProtection="false">
      <alignment horizontal="center" vertical="center" textRotation="0" wrapText="false" indent="0" shrinkToFit="false"/>
      <protection locked="true" hidden="false"/>
    </xf>
    <xf numFmtId="164" fontId="4" fillId="0" borderId="62" xfId="0" applyFont="true" applyBorder="true" applyAlignment="true" applyProtection="false">
      <alignment horizontal="center" vertical="center" textRotation="0" wrapText="false" indent="0" shrinkToFit="false"/>
      <protection locked="true" hidden="false"/>
    </xf>
    <xf numFmtId="169" fontId="5" fillId="0" borderId="41" xfId="0" applyFont="true" applyBorder="true" applyAlignment="true" applyProtection="false">
      <alignment horizontal="center" vertical="center" textRotation="0" wrapText="false" indent="0" shrinkToFit="false"/>
      <protection locked="true" hidden="false"/>
    </xf>
    <xf numFmtId="169" fontId="4" fillId="0" borderId="24" xfId="0" applyFont="true" applyBorder="true" applyAlignment="true" applyProtection="false">
      <alignment horizontal="center" vertical="center" textRotation="0" wrapText="false" indent="0" shrinkToFit="false"/>
      <protection locked="true" hidden="false"/>
    </xf>
    <xf numFmtId="165" fontId="4" fillId="0" borderId="24" xfId="0" applyFont="true" applyBorder="true" applyAlignment="true" applyProtection="false">
      <alignment horizontal="center" vertical="center" textRotation="0" wrapText="false" indent="0" shrinkToFit="false"/>
      <protection locked="true" hidden="false"/>
    </xf>
    <xf numFmtId="165" fontId="4" fillId="0" borderId="63" xfId="0" applyFont="true" applyBorder="true" applyAlignment="true" applyProtection="false">
      <alignment horizontal="center" vertical="center" textRotation="0" wrapText="false" indent="0" shrinkToFit="false"/>
      <protection locked="true" hidden="false"/>
    </xf>
    <xf numFmtId="169" fontId="5" fillId="4" borderId="30" xfId="0" applyFont="true" applyBorder="true" applyAlignment="true" applyProtection="false">
      <alignment horizontal="center" vertical="center" textRotation="0" wrapText="false" indent="0" shrinkToFit="false"/>
      <protection locked="true" hidden="false"/>
    </xf>
    <xf numFmtId="169" fontId="5" fillId="0" borderId="46" xfId="0" applyFont="true" applyBorder="true" applyAlignment="true" applyProtection="false">
      <alignment horizontal="center" vertical="center" textRotation="0" wrapText="false" indent="0" shrinkToFit="false"/>
      <protection locked="true" hidden="false"/>
    </xf>
    <xf numFmtId="169" fontId="5" fillId="4" borderId="51" xfId="0" applyFont="true" applyBorder="true" applyAlignment="true" applyProtection="false">
      <alignment horizontal="center" vertical="center" textRotation="0" wrapText="false" indent="0" shrinkToFit="false"/>
      <protection locked="true" hidden="false"/>
    </xf>
    <xf numFmtId="165" fontId="4" fillId="0" borderId="24" xfId="0" applyFont="true" applyBorder="true" applyAlignment="true" applyProtection="false">
      <alignment horizontal="center" vertical="center" textRotation="0" wrapText="false" indent="0" shrinkToFit="false"/>
      <protection locked="true" hidden="false"/>
    </xf>
    <xf numFmtId="164" fontId="4" fillId="0" borderId="45" xfId="0" applyFont="true" applyBorder="true" applyAlignment="true" applyProtection="false">
      <alignment horizontal="center" vertical="center" textRotation="0" wrapText="false" indent="0" shrinkToFit="false"/>
      <protection locked="true" hidden="false"/>
    </xf>
    <xf numFmtId="164" fontId="4" fillId="0" borderId="2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right" vertical="center" textRotation="0" wrapText="false" indent="0" shrinkToFit="false"/>
      <protection locked="true" hidden="false"/>
    </xf>
    <xf numFmtId="168" fontId="4" fillId="0" borderId="56" xfId="0" applyFont="true" applyBorder="true" applyAlignment="true" applyProtection="false">
      <alignment horizontal="center" vertical="center" textRotation="0" wrapText="false" indent="0" shrinkToFit="false"/>
      <protection locked="true" hidden="false"/>
    </xf>
    <xf numFmtId="164" fontId="4" fillId="5" borderId="64"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center" vertical="center" textRotation="0" wrapText="false" indent="0" shrinkToFit="false"/>
      <protection locked="true" hidden="false"/>
    </xf>
    <xf numFmtId="164" fontId="5" fillId="4" borderId="6" xfId="0" applyFont="true" applyBorder="true" applyAlignment="true" applyProtection="false">
      <alignment horizontal="center" vertical="center" textRotation="0" wrapText="false" indent="0" shrinkToFit="false"/>
      <protection locked="true" hidden="false"/>
    </xf>
    <xf numFmtId="164" fontId="14" fillId="0" borderId="65"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center" vertical="center" textRotation="0" wrapText="false" indent="0" shrinkToFit="false"/>
      <protection locked="true" hidden="false"/>
    </xf>
    <xf numFmtId="164" fontId="5" fillId="4" borderId="66"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5" fillId="0" borderId="30" xfId="0" applyFont="true" applyBorder="true" applyAlignment="true" applyProtection="false">
      <alignment horizontal="center" vertical="center" textRotation="0" wrapText="false" indent="0" shrinkToFit="false"/>
      <protection locked="true" hidden="false"/>
    </xf>
    <xf numFmtId="164" fontId="5" fillId="0" borderId="31" xfId="0" applyFont="true" applyBorder="true" applyAlignment="true" applyProtection="false">
      <alignment horizontal="general" vertical="center" textRotation="0" wrapText="false" indent="0" shrinkToFit="false"/>
      <protection locked="true" hidden="false"/>
    </xf>
    <xf numFmtId="164" fontId="5" fillId="4" borderId="33" xfId="0" applyFont="true" applyBorder="true" applyAlignment="true" applyProtection="false">
      <alignment horizontal="general" vertical="center" textRotation="0" wrapText="false" indent="0" shrinkToFit="false"/>
      <protection locked="true" hidden="false"/>
    </xf>
    <xf numFmtId="170" fontId="5" fillId="0" borderId="67" xfId="0" applyFont="true" applyBorder="true" applyAlignment="true" applyProtection="false">
      <alignment horizontal="general" vertical="center" textRotation="0" wrapText="false" indent="0" shrinkToFit="false"/>
      <protection locked="true" hidden="false"/>
    </xf>
    <xf numFmtId="164" fontId="5" fillId="4" borderId="68" xfId="0" applyFont="true" applyBorder="true" applyAlignment="true" applyProtection="false">
      <alignment horizontal="center" vertical="center" textRotation="0" wrapText="false" indent="0" shrinkToFit="false"/>
      <protection locked="true" hidden="false"/>
    </xf>
    <xf numFmtId="164" fontId="5" fillId="0" borderId="36" xfId="0" applyFont="true" applyBorder="true" applyAlignment="true" applyProtection="false">
      <alignment horizontal="center" vertical="center" textRotation="0" wrapText="false" indent="0" shrinkToFit="false"/>
      <protection locked="true" hidden="false"/>
    </xf>
    <xf numFmtId="164" fontId="5" fillId="0" borderId="24" xfId="0" applyFont="true" applyBorder="true" applyAlignment="true" applyProtection="false">
      <alignment horizontal="general" vertical="center" textRotation="0" wrapText="false" indent="0" shrinkToFit="false"/>
      <protection locked="true" hidden="false"/>
    </xf>
    <xf numFmtId="164" fontId="5" fillId="4" borderId="38" xfId="0" applyFont="true" applyBorder="true" applyAlignment="true" applyProtection="false">
      <alignment horizontal="general" vertical="center" textRotation="0" wrapText="false" indent="0" shrinkToFit="false"/>
      <protection locked="true" hidden="false"/>
    </xf>
    <xf numFmtId="170" fontId="5" fillId="0" borderId="69" xfId="19" applyFont="true" applyBorder="true" applyAlignment="true" applyProtection="true">
      <alignment horizontal="general" vertical="center" textRotation="0" wrapText="false" indent="0" shrinkToFit="false"/>
      <protection locked="true" hidden="false"/>
    </xf>
    <xf numFmtId="164" fontId="5" fillId="4" borderId="70" xfId="0" applyFont="true" applyBorder="true" applyAlignment="true" applyProtection="false">
      <alignment horizontal="center" vertical="center" textRotation="0" wrapText="false" indent="0" shrinkToFit="false"/>
      <protection locked="true" hidden="false"/>
    </xf>
    <xf numFmtId="164" fontId="5" fillId="0" borderId="46" xfId="0" applyFont="true" applyBorder="true" applyAlignment="true" applyProtection="false">
      <alignment horizontal="center" vertical="center" textRotation="0" wrapText="false" indent="0" shrinkToFit="false"/>
      <protection locked="true" hidden="false"/>
    </xf>
    <xf numFmtId="164" fontId="5" fillId="0" borderId="47" xfId="0" applyFont="true" applyBorder="true" applyAlignment="true" applyProtection="false">
      <alignment horizontal="general" vertical="center" textRotation="0" wrapText="false" indent="0" shrinkToFit="false"/>
      <protection locked="true" hidden="false"/>
    </xf>
    <xf numFmtId="164" fontId="5" fillId="4" borderId="49" xfId="0" applyFont="true" applyBorder="true" applyAlignment="true" applyProtection="false">
      <alignment horizontal="general" vertical="center" textRotation="0" wrapText="false" indent="0" shrinkToFit="false"/>
      <protection locked="true" hidden="false"/>
    </xf>
    <xf numFmtId="170" fontId="5" fillId="0" borderId="63" xfId="19" applyFont="true" applyBorder="true" applyAlignment="true" applyProtection="true">
      <alignment horizontal="general" vertical="center" textRotation="0" wrapText="false" indent="0" shrinkToFit="false"/>
      <protection locked="true" hidden="false"/>
    </xf>
    <xf numFmtId="170" fontId="5" fillId="0" borderId="71" xfId="19" applyFont="true" applyBorder="true" applyAlignment="true" applyProtection="true">
      <alignment horizontal="general" vertical="center" textRotation="0" wrapText="false" indent="0" shrinkToFit="false"/>
      <protection locked="true" hidden="false"/>
    </xf>
    <xf numFmtId="170" fontId="5" fillId="0" borderId="72" xfId="19" applyFont="true" applyBorder="true" applyAlignment="true" applyProtection="true">
      <alignment horizontal="general" vertical="center" textRotation="0" wrapText="false" indent="0" shrinkToFit="false"/>
      <protection locked="true" hidden="false"/>
    </xf>
    <xf numFmtId="170" fontId="5" fillId="0" borderId="73" xfId="19" applyFont="true" applyBorder="true" applyAlignment="true" applyProtection="true">
      <alignment horizontal="general" vertical="center" textRotation="0" wrapText="false" indent="0" shrinkToFit="false"/>
      <protection locked="true" hidden="false"/>
    </xf>
    <xf numFmtId="170" fontId="5" fillId="0" borderId="33" xfId="19" applyFont="true" applyBorder="true" applyAlignment="true" applyProtection="true">
      <alignment horizontal="general" vertical="center" textRotation="0" wrapText="false" indent="0" shrinkToFit="false"/>
      <protection locked="true" hidden="false"/>
    </xf>
    <xf numFmtId="170" fontId="5" fillId="0" borderId="38" xfId="19" applyFont="true" applyBorder="true" applyAlignment="true" applyProtection="true">
      <alignment horizontal="general"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70" fontId="5" fillId="0" borderId="49" xfId="19" applyFont="true" applyBorder="true" applyAlignment="true" applyProtection="true">
      <alignment horizontal="general" vertical="center" textRotation="0" wrapText="false" indent="0" shrinkToFit="false"/>
      <protection locked="true" hidden="false"/>
    </xf>
    <xf numFmtId="164" fontId="8" fillId="0" borderId="4" xfId="0" applyFont="true" applyBorder="true" applyAlignment="true" applyProtection="false">
      <alignment horizontal="right" vertical="center" textRotation="0" wrapText="false" indent="0" shrinkToFit="false"/>
      <protection locked="true" hidden="false"/>
    </xf>
    <xf numFmtId="164" fontId="5" fillId="0" borderId="67" xfId="0" applyFont="true" applyBorder="true" applyAlignment="true" applyProtection="false">
      <alignment horizontal="center" vertical="center" textRotation="0" wrapText="false" indent="0" shrinkToFit="false"/>
      <protection locked="true" hidden="false"/>
    </xf>
    <xf numFmtId="164" fontId="5" fillId="0" borderId="74" xfId="0" applyFont="true" applyBorder="true" applyAlignment="true" applyProtection="false">
      <alignment horizontal="right" vertical="center" textRotation="0" wrapText="false" indent="0" shrinkToFit="false"/>
      <protection locked="true" hidden="false"/>
    </xf>
    <xf numFmtId="164" fontId="5" fillId="0" borderId="75" xfId="0" applyFont="true" applyBorder="true" applyAlignment="true" applyProtection="false">
      <alignment horizontal="center" vertical="center" textRotation="0" wrapText="false" indent="0" shrinkToFit="false"/>
      <protection locked="true" hidden="false"/>
    </xf>
    <xf numFmtId="164" fontId="5" fillId="4" borderId="75" xfId="0" applyFont="true" applyBorder="true" applyAlignment="true" applyProtection="false">
      <alignment horizontal="center" vertical="center" textRotation="0" wrapText="false" indent="0" shrinkToFit="false"/>
      <protection locked="true" hidden="false"/>
    </xf>
    <xf numFmtId="164" fontId="5" fillId="3" borderId="76" xfId="0" applyFont="true" applyBorder="true" applyAlignment="true" applyProtection="false">
      <alignment horizontal="center" vertical="center" textRotation="0" wrapText="false" indent="0" shrinkToFit="false"/>
      <protection locked="true" hidden="false"/>
    </xf>
    <xf numFmtId="164" fontId="5" fillId="0" borderId="63" xfId="0" applyFont="true" applyBorder="true" applyAlignment="true" applyProtection="false">
      <alignment horizontal="center" vertical="center" textRotation="0" wrapText="false" indent="0" shrinkToFit="false"/>
      <protection locked="true" hidden="false"/>
    </xf>
    <xf numFmtId="164" fontId="5" fillId="0" borderId="77" xfId="0" applyFont="true" applyBorder="true" applyAlignment="true" applyProtection="false">
      <alignment horizontal="center" vertical="center" textRotation="0" wrapText="true" indent="0" shrinkToFit="false"/>
      <protection locked="true" hidden="false"/>
    </xf>
    <xf numFmtId="164" fontId="5" fillId="0" borderId="31" xfId="0" applyFont="true" applyBorder="true" applyAlignment="true" applyProtection="false">
      <alignment horizontal="center" vertical="center" textRotation="0" wrapText="false" indent="0" shrinkToFit="false"/>
      <protection locked="true" hidden="false"/>
    </xf>
    <xf numFmtId="164" fontId="5" fillId="3" borderId="31" xfId="0" applyFont="true" applyBorder="true" applyAlignment="true" applyProtection="false">
      <alignment horizontal="center" vertical="center" textRotation="0" wrapText="false" indent="0" shrinkToFit="false"/>
      <protection locked="true" hidden="false"/>
    </xf>
    <xf numFmtId="164" fontId="5" fillId="3" borderId="33" xfId="0" applyFont="true" applyBorder="true" applyAlignment="true" applyProtection="false">
      <alignment horizontal="center" vertical="center" textRotation="0" wrapText="false" indent="0" shrinkToFit="false"/>
      <protection locked="true" hidden="false"/>
    </xf>
    <xf numFmtId="164" fontId="5" fillId="0" borderId="47" xfId="0" applyFont="true" applyBorder="true" applyAlignment="true" applyProtection="false">
      <alignment horizontal="center" vertical="center" textRotation="0" wrapText="false" indent="0" shrinkToFit="false"/>
      <protection locked="true" hidden="false"/>
    </xf>
    <xf numFmtId="164" fontId="5" fillId="0" borderId="78" xfId="0" applyFont="true" applyBorder="true" applyAlignment="true" applyProtection="false">
      <alignment horizontal="center" vertical="center" textRotation="0" wrapText="false" indent="0" shrinkToFit="false"/>
      <protection locked="true" hidden="false"/>
    </xf>
    <xf numFmtId="164" fontId="5" fillId="3" borderId="38" xfId="0" applyFont="true" applyBorder="true" applyAlignment="true" applyProtection="false">
      <alignment horizontal="center" vertical="center" textRotation="0" wrapText="false" indent="0" shrinkToFit="false"/>
      <protection locked="true" hidden="false"/>
    </xf>
    <xf numFmtId="164" fontId="5" fillId="0" borderId="42" xfId="0" applyFont="true" applyBorder="true" applyAlignment="true" applyProtection="false">
      <alignment horizontal="center" vertical="center" textRotation="0" wrapText="false" indent="0" shrinkToFit="false"/>
      <protection locked="true" hidden="false"/>
    </xf>
    <xf numFmtId="164" fontId="5" fillId="3" borderId="44" xfId="0" applyFont="true" applyBorder="true" applyAlignment="true" applyProtection="false">
      <alignment horizontal="center" vertical="center" textRotation="0" wrapText="false" indent="0" shrinkToFit="false"/>
      <protection locked="true" hidden="false"/>
    </xf>
    <xf numFmtId="164" fontId="5" fillId="0" borderId="77" xfId="0" applyFont="true" applyBorder="true" applyAlignment="true" applyProtection="false">
      <alignment horizontal="center" vertical="center" textRotation="0" wrapText="false" indent="0" shrinkToFit="false"/>
      <protection locked="true" hidden="false"/>
    </xf>
    <xf numFmtId="164" fontId="5" fillId="3" borderId="54"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right" vertical="center" textRotation="0" wrapText="false" indent="0" shrinkToFit="false"/>
      <protection locked="true" hidden="false"/>
    </xf>
    <xf numFmtId="172" fontId="5" fillId="2" borderId="6" xfId="0" applyFont="true" applyBorder="true" applyAlignment="true" applyProtection="false">
      <alignment horizontal="center" vertical="center" textRotation="0" wrapText="false" indent="0" shrinkToFit="false"/>
      <protection locked="true" hidden="false"/>
    </xf>
    <xf numFmtId="172" fontId="5" fillId="2" borderId="16" xfId="0" applyFont="true" applyBorder="true" applyAlignment="true" applyProtection="false">
      <alignment horizontal="center" vertical="center" textRotation="0" wrapText="false" indent="0" shrinkToFit="false"/>
      <protection locked="true" hidden="false"/>
    </xf>
    <xf numFmtId="168" fontId="5" fillId="0" borderId="61" xfId="0" applyFont="true" applyBorder="true" applyAlignment="true" applyProtection="false">
      <alignment horizontal="center" vertical="center" textRotation="0" wrapText="false" indent="0" shrinkToFit="false"/>
      <protection locked="true" hidden="false"/>
    </xf>
    <xf numFmtId="170" fontId="5" fillId="0" borderId="33" xfId="0" applyFont="true" applyBorder="true" applyAlignment="true" applyProtection="false">
      <alignment horizontal="center" vertical="center" textRotation="0" wrapText="false" indent="0" shrinkToFit="false"/>
      <protection locked="true" hidden="false"/>
    </xf>
    <xf numFmtId="168" fontId="5" fillId="0" borderId="68" xfId="0" applyFont="true" applyBorder="true" applyAlignment="true" applyProtection="false">
      <alignment horizontal="center" vertical="center" textRotation="0" wrapText="false" indent="0" shrinkToFit="false"/>
      <protection locked="true" hidden="false"/>
    </xf>
    <xf numFmtId="164" fontId="5" fillId="0" borderId="38" xfId="0" applyFont="true" applyBorder="true" applyAlignment="true" applyProtection="false">
      <alignment horizontal="center" vertical="center" textRotation="0" wrapText="false" indent="0" shrinkToFit="false"/>
      <protection locked="true" hidden="false"/>
    </xf>
    <xf numFmtId="168" fontId="5" fillId="0" borderId="70" xfId="0" applyFont="true" applyBorder="true" applyAlignment="true" applyProtection="false">
      <alignment horizontal="center" vertical="center" textRotation="0" wrapText="false" indent="0" shrinkToFit="false"/>
      <protection locked="true" hidden="false"/>
    </xf>
    <xf numFmtId="164" fontId="5" fillId="0" borderId="49"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8" fontId="5" fillId="0" borderId="79" xfId="0" applyFont="true" applyBorder="true" applyAlignment="true" applyProtection="false">
      <alignment horizontal="center" vertical="center" textRotation="0" wrapText="false" indent="0" shrinkToFit="false"/>
      <protection locked="true" hidden="false"/>
    </xf>
    <xf numFmtId="164" fontId="5" fillId="0" borderId="33"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right" vertical="center" textRotation="0" wrapText="false" indent="0" shrinkToFit="false"/>
      <protection locked="true" hidden="false"/>
    </xf>
    <xf numFmtId="164" fontId="5" fillId="0" borderId="69" xfId="0" applyFont="true" applyBorder="true" applyAlignment="true" applyProtection="false">
      <alignment horizontal="center" vertical="center" textRotation="0" wrapText="false" indent="0" shrinkToFit="false"/>
      <protection locked="true" hidden="false"/>
    </xf>
    <xf numFmtId="164" fontId="5" fillId="0" borderId="80" xfId="0" applyFont="true" applyBorder="true" applyAlignment="true" applyProtection="false">
      <alignment horizontal="center" vertical="center" textRotation="0" wrapText="false" indent="0" shrinkToFit="false"/>
      <protection locked="true" hidden="false"/>
    </xf>
    <xf numFmtId="164" fontId="5" fillId="0" borderId="52" xfId="0" applyFont="true" applyBorder="true" applyAlignment="true" applyProtection="false">
      <alignment horizontal="center" vertical="center" textRotation="0" wrapText="false" indent="0" shrinkToFit="false"/>
      <protection locked="true" hidden="false"/>
    </xf>
    <xf numFmtId="164" fontId="5" fillId="0" borderId="54" xfId="0" applyFont="true" applyBorder="true" applyAlignment="true" applyProtection="false">
      <alignment horizontal="center" vertical="center" textRotation="0" wrapText="false" indent="0" shrinkToFit="false"/>
      <protection locked="true" hidden="false"/>
    </xf>
    <xf numFmtId="164" fontId="10" fillId="0" borderId="24" xfId="0" applyFont="true" applyBorder="true" applyAlignment="true" applyProtection="false">
      <alignment horizontal="center" vertical="center" textRotation="0" wrapText="false" indent="0" shrinkToFit="false"/>
      <protection locked="true" hidden="false"/>
    </xf>
    <xf numFmtId="164" fontId="5" fillId="0" borderId="56" xfId="0" applyFont="true" applyBorder="true" applyAlignment="tru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5" fillId="3" borderId="11" xfId="0" applyFont="true" applyBorder="true" applyAlignment="true" applyProtection="false">
      <alignment horizontal="general" vertical="center" textRotation="0" wrapText="false" indent="0" shrinkToFit="false"/>
      <protection locked="true" hidden="false"/>
    </xf>
    <xf numFmtId="164" fontId="5" fillId="0" borderId="81" xfId="0" applyFont="true" applyBorder="true" applyAlignment="true" applyProtection="false">
      <alignment horizontal="center" vertical="center" textRotation="0" wrapText="false" indent="0" shrinkToFit="false"/>
      <protection locked="true" hidden="false"/>
    </xf>
    <xf numFmtId="164" fontId="5" fillId="3" borderId="71" xfId="0" applyFont="true" applyBorder="true" applyAlignment="true" applyProtection="false">
      <alignment horizontal="center" vertical="center" textRotation="0" wrapText="false" indent="0" shrinkToFit="false"/>
      <protection locked="true" hidden="false"/>
    </xf>
    <xf numFmtId="164" fontId="5" fillId="0" borderId="82" xfId="0" applyFont="true" applyBorder="true" applyAlignment="true" applyProtection="false">
      <alignment horizontal="center" vertical="center" textRotation="0" wrapText="false" indent="0" shrinkToFit="false"/>
      <protection locked="true" hidden="false"/>
    </xf>
    <xf numFmtId="164" fontId="5" fillId="3" borderId="72" xfId="0" applyFont="true" applyBorder="true" applyAlignment="true" applyProtection="false">
      <alignment horizontal="center" vertical="center" textRotation="0" wrapText="false" indent="0" shrinkToFit="false"/>
      <protection locked="true" hidden="false"/>
    </xf>
    <xf numFmtId="164" fontId="5" fillId="0" borderId="83" xfId="0" applyFont="true" applyBorder="true" applyAlignment="true" applyProtection="false">
      <alignment horizontal="center" vertical="center" textRotation="0" wrapText="false" indent="0" shrinkToFit="false"/>
      <protection locked="true" hidden="false"/>
    </xf>
    <xf numFmtId="164" fontId="5" fillId="3" borderId="73" xfId="0" applyFont="true" applyBorder="true" applyAlignment="true" applyProtection="false">
      <alignment horizontal="center" vertical="center" textRotation="0" wrapText="false" indent="0" shrinkToFit="false"/>
      <protection locked="true" hidden="false"/>
    </xf>
    <xf numFmtId="165" fontId="5" fillId="0" borderId="24" xfId="0" applyFont="true" applyBorder="true" applyAlignment="true" applyProtection="false">
      <alignment horizontal="general" vertical="center" textRotation="0" wrapText="false" indent="0" shrinkToFit="false"/>
      <protection locked="true" hidden="false"/>
    </xf>
    <xf numFmtId="164" fontId="5" fillId="3" borderId="24" xfId="0" applyFont="true" applyBorder="true" applyAlignment="true" applyProtection="false">
      <alignment horizontal="center" vertical="center" textRotation="0" wrapText="false" indent="0" shrinkToFit="false"/>
      <protection locked="true" hidden="false"/>
    </xf>
    <xf numFmtId="173" fontId="5" fillId="0" borderId="24" xfId="19" applyFont="true" applyBorder="tru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6" fillId="0" borderId="84" xfId="0" applyFont="true" applyBorder="true" applyAlignment="true" applyProtection="false">
      <alignment horizontal="general" vertical="center" textRotation="0" wrapText="false" indent="0" shrinkToFit="false"/>
      <protection locked="true" hidden="false"/>
    </xf>
    <xf numFmtId="164" fontId="16" fillId="0" borderId="85" xfId="0" applyFont="true" applyBorder="true" applyAlignment="true" applyProtection="false">
      <alignment horizontal="general" vertical="center" textRotation="0" wrapText="false" indent="0" shrinkToFit="false"/>
      <protection locked="true" hidden="false"/>
    </xf>
    <xf numFmtId="164" fontId="16" fillId="0" borderId="85" xfId="0" applyFont="true" applyBorder="true" applyAlignment="true" applyProtection="false">
      <alignment horizontal="left" vertical="center" textRotation="0" wrapText="false" indent="0" shrinkToFit="false"/>
      <protection locked="true" hidden="false"/>
    </xf>
    <xf numFmtId="164" fontId="16" fillId="0" borderId="86" xfId="0" applyFont="true" applyBorder="true" applyAlignment="true" applyProtection="false">
      <alignment horizontal="general" vertical="center" textRotation="0" wrapText="false" indent="0" shrinkToFit="false"/>
      <protection locked="true" hidden="false"/>
    </xf>
    <xf numFmtId="164" fontId="16" fillId="0" borderId="22" xfId="0" applyFont="true" applyBorder="tru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right" vertical="center" textRotation="0" wrapText="false" indent="0" shrinkToFit="false"/>
      <protection locked="true" hidden="false"/>
    </xf>
    <xf numFmtId="164" fontId="16" fillId="2" borderId="64" xfId="0" applyFont="true" applyBorder="true" applyAlignment="true" applyProtection="false">
      <alignment horizontal="left" vertical="center" textRotation="0" wrapText="false" indent="0" shrinkToFit="false"/>
      <protection locked="true" hidden="false"/>
    </xf>
    <xf numFmtId="164" fontId="16" fillId="0" borderId="87" xfId="0" applyFont="true" applyBorder="true" applyAlignment="true" applyProtection="false">
      <alignment horizontal="general" vertical="center" textRotation="0" wrapText="false" indent="0" shrinkToFit="false"/>
      <protection locked="true" hidden="false"/>
    </xf>
    <xf numFmtId="164" fontId="16" fillId="5" borderId="6" xfId="0" applyFont="true" applyBorder="true" applyAlignment="true" applyProtection="false">
      <alignment horizontal="left" vertical="center" textRotation="0" wrapText="false" indent="0" shrinkToFit="false"/>
      <protection locked="true" hidden="false"/>
    </xf>
    <xf numFmtId="164" fontId="16" fillId="0" borderId="6"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6" fillId="0" borderId="23"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right" vertical="center" textRotation="0" wrapText="false" indent="0" shrinkToFit="false"/>
      <protection locked="true" hidden="false"/>
    </xf>
    <xf numFmtId="164" fontId="16" fillId="0" borderId="16" xfId="0" applyFont="true" applyBorder="true" applyAlignment="true" applyProtection="false">
      <alignment horizontal="left" vertical="center" textRotation="0" wrapText="false" indent="0" shrinkToFit="false"/>
      <protection locked="true" hidden="false"/>
    </xf>
    <xf numFmtId="168" fontId="19" fillId="0" borderId="72" xfId="0" applyFont="true" applyBorder="true" applyAlignment="true" applyProtection="false">
      <alignment horizontal="general" vertical="center" textRotation="0" wrapText="false" indent="0" shrinkToFit="false"/>
      <protection locked="true" hidden="false"/>
    </xf>
    <xf numFmtId="164" fontId="16" fillId="0" borderId="16" xfId="0" applyFont="true" applyBorder="true" applyAlignment="true" applyProtection="false">
      <alignment horizontal="general" vertical="center" textRotation="0" wrapText="false" indent="0" shrinkToFit="false"/>
      <protection locked="true" hidden="false"/>
    </xf>
    <xf numFmtId="164" fontId="20" fillId="0" borderId="16" xfId="0" applyFont="true" applyBorder="true" applyAlignment="true" applyProtection="false">
      <alignment horizontal="left" vertical="center" textRotation="0" wrapText="false" indent="0" shrinkToFit="false"/>
      <protection locked="true" hidden="false"/>
    </xf>
    <xf numFmtId="164" fontId="16" fillId="0" borderId="88" xfId="0" applyFont="true" applyBorder="true" applyAlignment="true" applyProtection="false">
      <alignment horizontal="general" vertical="center" textRotation="0" wrapText="false" indent="0" shrinkToFit="false"/>
      <protection locked="true" hidden="false"/>
    </xf>
    <xf numFmtId="164" fontId="16" fillId="0" borderId="66" xfId="0" applyFont="true" applyBorder="true" applyAlignment="true" applyProtection="false">
      <alignment horizontal="general" vertical="center" textRotation="0" wrapText="false" indent="0" shrinkToFit="false"/>
      <protection locked="true" hidden="false"/>
    </xf>
    <xf numFmtId="164" fontId="16" fillId="0" borderId="60" xfId="0" applyFont="true" applyBorder="tru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23" fillId="6" borderId="0" xfId="0" applyFont="true" applyBorder="fals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E6E6E6"/>
      <rgbColor rgb="FFCCFFFF"/>
      <rgbColor rgb="FF660066"/>
      <rgbColor rgb="FFED7D31"/>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353"/>
  <sheetViews>
    <sheetView showFormulas="false" showGridLines="true" showRowColHeaders="true" showZeros="true" rightToLeft="false" tabSelected="true" showOutlineSymbols="true" defaultGridColor="true" view="normal" topLeftCell="A77" colorId="64" zoomScale="100" zoomScaleNormal="100" zoomScalePageLayoutView="100" workbookViewId="0">
      <selection pane="topLeft" activeCell="M112" activeCellId="0" sqref="M112"/>
    </sheetView>
  </sheetViews>
  <sheetFormatPr defaultColWidth="10.625" defaultRowHeight="15.75" zeroHeight="false" outlineLevelRow="0" outlineLevelCol="0"/>
  <cols>
    <col collapsed="false" customWidth="true" hidden="false" outlineLevel="0" max="7" min="1" style="1" width="11.8"/>
    <col collapsed="false" customWidth="false" hidden="false" outlineLevel="0" max="8" min="8" style="1" width="10.62"/>
    <col collapsed="false" customWidth="true" hidden="false" outlineLevel="0" max="9" min="9" style="1" width="13.92"/>
    <col collapsed="false" customWidth="false" hidden="false" outlineLevel="0" max="23" min="10" style="1" width="10.62"/>
    <col collapsed="false" customWidth="false" hidden="false" outlineLevel="0" max="24" min="24" style="2" width="10.62"/>
    <col collapsed="false" customWidth="false" hidden="false" outlineLevel="0" max="25" min="25" style="3" width="10.62"/>
    <col collapsed="false" customWidth="false" hidden="false" outlineLevel="0" max="27" min="26" style="2" width="10.62"/>
    <col collapsed="false" customWidth="false" hidden="false" outlineLevel="0" max="16377" min="28" style="1" width="10.62"/>
  </cols>
  <sheetData>
    <row r="1" customFormat="false" ht="15.75" hidden="false" customHeight="false" outlineLevel="0" collapsed="false">
      <c r="A1" s="4"/>
      <c r="B1" s="5"/>
      <c r="C1" s="5"/>
      <c r="D1" s="5"/>
      <c r="E1" s="5"/>
      <c r="F1" s="5"/>
      <c r="G1" s="6"/>
      <c r="I1" s="4" t="s">
        <v>0</v>
      </c>
      <c r="J1" s="5"/>
      <c r="K1" s="5"/>
      <c r="L1" s="5"/>
      <c r="M1" s="5"/>
      <c r="N1" s="5"/>
      <c r="O1" s="5"/>
      <c r="P1" s="5"/>
      <c r="Q1" s="5"/>
      <c r="R1" s="5"/>
      <c r="S1" s="5"/>
      <c r="T1" s="6"/>
      <c r="W1" s="1" t="s">
        <v>1</v>
      </c>
    </row>
    <row r="2" customFormat="false" ht="15.75" hidden="false" customHeight="false" outlineLevel="0" collapsed="false">
      <c r="A2" s="7"/>
      <c r="D2" s="8" t="s">
        <v>2</v>
      </c>
      <c r="G2" s="9"/>
      <c r="I2" s="7"/>
      <c r="J2" s="10"/>
      <c r="K2" s="10"/>
      <c r="L2" s="10"/>
      <c r="M2" s="10"/>
      <c r="N2" s="8" t="s">
        <v>2</v>
      </c>
      <c r="O2" s="10"/>
      <c r="P2" s="10"/>
      <c r="Q2" s="10"/>
      <c r="R2" s="10"/>
      <c r="S2" s="10"/>
      <c r="T2" s="9"/>
      <c r="W2" s="11"/>
    </row>
    <row r="3" customFormat="false" ht="15.75" hidden="false" customHeight="false" outlineLevel="0" collapsed="false">
      <c r="A3" s="7"/>
      <c r="D3" s="8" t="s">
        <v>3</v>
      </c>
      <c r="G3" s="9"/>
      <c r="I3" s="7"/>
      <c r="J3" s="10"/>
      <c r="K3" s="10"/>
      <c r="L3" s="10"/>
      <c r="M3" s="10"/>
      <c r="N3" s="8" t="s">
        <v>3</v>
      </c>
      <c r="O3" s="10"/>
      <c r="P3" s="10"/>
      <c r="Q3" s="10"/>
      <c r="R3" s="10"/>
      <c r="S3" s="10"/>
      <c r="T3" s="9"/>
      <c r="W3" s="12" t="str">
        <f aca="false">IF(X7="","",X7)</f>
        <v/>
      </c>
    </row>
    <row r="4" customFormat="false" ht="15.75" hidden="false" customHeight="false" outlineLevel="0" collapsed="false">
      <c r="A4" s="7"/>
      <c r="D4" s="13"/>
      <c r="G4" s="9"/>
      <c r="I4" s="7"/>
      <c r="J4" s="10"/>
      <c r="K4" s="10"/>
      <c r="L4" s="10"/>
      <c r="M4" s="10"/>
      <c r="N4" s="13"/>
      <c r="O4" s="10"/>
      <c r="P4" s="10"/>
      <c r="Q4" s="10"/>
      <c r="R4" s="10"/>
      <c r="S4" s="10"/>
      <c r="T4" s="9"/>
      <c r="W4" s="14" t="s">
        <v>4</v>
      </c>
      <c r="X4" s="1" t="s">
        <v>5</v>
      </c>
    </row>
    <row r="5" customFormat="false" ht="15.75" hidden="false" customHeight="false" outlineLevel="0" collapsed="false">
      <c r="A5" s="7"/>
      <c r="D5" s="8" t="s">
        <v>6</v>
      </c>
      <c r="G5" s="9"/>
      <c r="I5" s="15"/>
      <c r="J5" s="16"/>
      <c r="K5" s="16"/>
      <c r="L5" s="16"/>
      <c r="M5" s="16"/>
      <c r="N5" s="17" t="s">
        <v>6</v>
      </c>
      <c r="O5" s="16"/>
      <c r="P5" s="16"/>
      <c r="Q5" s="16"/>
      <c r="R5" s="16"/>
      <c r="S5" s="16"/>
      <c r="T5" s="18"/>
    </row>
    <row r="6" customFormat="false" ht="15.75" hidden="false" customHeight="false" outlineLevel="0" collapsed="false">
      <c r="A6" s="15"/>
      <c r="B6" s="16"/>
      <c r="C6" s="16"/>
      <c r="D6" s="16"/>
      <c r="E6" s="16"/>
      <c r="F6" s="16"/>
      <c r="G6" s="18"/>
      <c r="J6" s="14" t="s">
        <v>7</v>
      </c>
      <c r="K6" s="19"/>
      <c r="Q6" s="14" t="s">
        <v>8</v>
      </c>
      <c r="R6" s="12" t="str">
        <f aca="false">IF(S6&lt;&gt;"",S6,IF(X9="","",X9))</f>
        <v/>
      </c>
      <c r="S6" s="11"/>
      <c r="W6" s="20" t="s">
        <v>9</v>
      </c>
      <c r="X6" s="21" t="s">
        <v>10</v>
      </c>
      <c r="Z6" s="21" t="s">
        <v>11</v>
      </c>
    </row>
    <row r="7" customFormat="false" ht="15.75" hidden="false" customHeight="false" outlineLevel="0" collapsed="false">
      <c r="J7" s="14" t="s">
        <v>12</v>
      </c>
      <c r="K7" s="22" t="str">
        <f aca="false">IF(X8="","",X8)</f>
        <v/>
      </c>
      <c r="W7" s="14" t="s">
        <v>1</v>
      </c>
      <c r="X7" s="23"/>
      <c r="Y7" s="3" t="str">
        <f aca="false">IF(X7&lt;&gt;Z7,"Change","")</f>
        <v/>
      </c>
      <c r="Z7" s="24" t="str">
        <f aca="false">IF(OR(W2="",W2=0),"",W2)</f>
        <v/>
      </c>
      <c r="AA7" s="2" t="s">
        <v>13</v>
      </c>
    </row>
    <row r="8" customFormat="false" ht="15.75" hidden="false" customHeight="false" outlineLevel="0" collapsed="false">
      <c r="A8" s="4"/>
      <c r="B8" s="25" t="s">
        <v>14</v>
      </c>
      <c r="C8" s="5"/>
      <c r="D8" s="5"/>
      <c r="E8" s="5"/>
      <c r="F8" s="5"/>
      <c r="G8" s="6"/>
      <c r="I8" s="4"/>
      <c r="J8" s="5"/>
      <c r="K8" s="5"/>
      <c r="L8" s="5"/>
      <c r="M8" s="5"/>
      <c r="N8" s="26" t="s">
        <v>15</v>
      </c>
      <c r="O8" s="5"/>
      <c r="P8" s="5"/>
      <c r="Q8" s="5"/>
      <c r="R8" s="5"/>
      <c r="S8" s="5"/>
      <c r="T8" s="6"/>
      <c r="W8" s="14" t="s">
        <v>16</v>
      </c>
      <c r="X8" s="23"/>
      <c r="Y8" s="3" t="str">
        <f aca="false">IF(X8&lt;&gt;Z8,"Change","")</f>
        <v/>
      </c>
      <c r="Z8" s="27" t="str">
        <f aca="false">IF(K6="","",K6)</f>
        <v/>
      </c>
      <c r="AA8" s="2" t="s">
        <v>17</v>
      </c>
    </row>
    <row r="9" customFormat="false" ht="15.75" hidden="false" customHeight="false" outlineLevel="0" collapsed="false">
      <c r="A9" s="7"/>
      <c r="B9" s="28" t="s">
        <v>18</v>
      </c>
      <c r="C9" s="29" t="str">
        <f aca="false">IF(K10="","",K10)</f>
        <v/>
      </c>
      <c r="E9" s="28" t="s">
        <v>19</v>
      </c>
      <c r="F9" s="29" t="str">
        <f aca="false">IF(P10="","",P10)</f>
        <v/>
      </c>
      <c r="G9" s="9"/>
      <c r="I9" s="7"/>
      <c r="J9" s="30" t="s">
        <v>14</v>
      </c>
      <c r="K9" s="10"/>
      <c r="L9" s="31" t="s">
        <v>20</v>
      </c>
      <c r="M9" s="10"/>
      <c r="N9" s="10"/>
      <c r="O9" s="10"/>
      <c r="P9" s="10"/>
      <c r="Q9" s="31" t="s">
        <v>20</v>
      </c>
      <c r="R9" s="10"/>
      <c r="S9" s="10"/>
      <c r="T9" s="9"/>
      <c r="W9" s="14" t="s">
        <v>21</v>
      </c>
      <c r="X9" s="23"/>
      <c r="Y9" s="3" t="str">
        <f aca="false">IF(X9&lt;&gt;Z9,"Change","")</f>
        <v/>
      </c>
      <c r="Z9" s="27" t="str">
        <f aca="false">IF(S6="","",S6)</f>
        <v/>
      </c>
      <c r="AA9" s="2" t="s">
        <v>22</v>
      </c>
    </row>
    <row r="10" customFormat="false" ht="15.75" hidden="false" customHeight="false" outlineLevel="0" collapsed="false">
      <c r="A10" s="7"/>
      <c r="B10" s="28" t="s">
        <v>23</v>
      </c>
      <c r="C10" s="29" t="str">
        <f aca="false">IF(K11="","",K11)</f>
        <v/>
      </c>
      <c r="E10" s="28" t="s">
        <v>24</v>
      </c>
      <c r="F10" s="29" t="str">
        <f aca="false">IF(P11="","",P11)</f>
        <v/>
      </c>
      <c r="G10" s="9"/>
      <c r="I10" s="7"/>
      <c r="J10" s="28" t="s">
        <v>18</v>
      </c>
      <c r="K10" s="12" t="str">
        <f aca="false">IF(L10&lt;&gt;"",L10,IF(X10="","",X10))</f>
        <v/>
      </c>
      <c r="L10" s="11"/>
      <c r="M10" s="10"/>
      <c r="N10" s="10"/>
      <c r="O10" s="28" t="s">
        <v>19</v>
      </c>
      <c r="P10" s="12" t="str">
        <f aca="false">IF(Q10&lt;&gt;"",Q10,IF(X15="","",X15))</f>
        <v/>
      </c>
      <c r="Q10" s="11"/>
      <c r="R10" s="10"/>
      <c r="S10" s="10"/>
      <c r="T10" s="9"/>
      <c r="W10" s="14" t="s">
        <v>18</v>
      </c>
      <c r="X10" s="23"/>
      <c r="Y10" s="3" t="str">
        <f aca="false">IF(X10&lt;&gt;Z10,"Change","")</f>
        <v/>
      </c>
      <c r="Z10" s="27" t="str">
        <f aca="false">IF(L10="","",L10)</f>
        <v/>
      </c>
      <c r="AA10" s="2" t="s">
        <v>25</v>
      </c>
    </row>
    <row r="11" customFormat="false" ht="15.75" hidden="false" customHeight="false" outlineLevel="0" collapsed="false">
      <c r="A11" s="7"/>
      <c r="B11" s="28" t="s">
        <v>26</v>
      </c>
      <c r="C11" s="29" t="str">
        <f aca="false">IF(K12="","",K12)</f>
        <v/>
      </c>
      <c r="E11" s="28" t="s">
        <v>27</v>
      </c>
      <c r="F11" s="29" t="str">
        <f aca="false">IF(P12="","",P12)</f>
        <v/>
      </c>
      <c r="G11" s="9"/>
      <c r="I11" s="7"/>
      <c r="J11" s="28" t="s">
        <v>23</v>
      </c>
      <c r="K11" s="12" t="str">
        <f aca="false">IF(L11&lt;&gt;"",L11,IF(X11="","",X11))</f>
        <v/>
      </c>
      <c r="L11" s="11"/>
      <c r="M11" s="10"/>
      <c r="N11" s="10"/>
      <c r="O11" s="28" t="s">
        <v>24</v>
      </c>
      <c r="P11" s="12" t="str">
        <f aca="false">IF(Q11&lt;&gt;"",Q11,IF(X16="","",X16))</f>
        <v/>
      </c>
      <c r="Q11" s="11"/>
      <c r="R11" s="10"/>
      <c r="S11" s="10"/>
      <c r="T11" s="9"/>
      <c r="W11" s="14" t="s">
        <v>23</v>
      </c>
      <c r="X11" s="23"/>
      <c r="Y11" s="3" t="str">
        <f aca="false">IF(X11&lt;&gt;Z11,"Change","")</f>
        <v/>
      </c>
      <c r="Z11" s="27" t="str">
        <f aca="false">IF(L11="","",L11)</f>
        <v/>
      </c>
      <c r="AA11" s="2" t="s">
        <v>28</v>
      </c>
    </row>
    <row r="12" customFormat="false" ht="15.75" hidden="false" customHeight="false" outlineLevel="0" collapsed="false">
      <c r="A12" s="7"/>
      <c r="B12" s="28" t="s">
        <v>29</v>
      </c>
      <c r="C12" s="29" t="str">
        <f aca="false">IF(K13="","",K13)</f>
        <v/>
      </c>
      <c r="E12" s="28" t="s">
        <v>30</v>
      </c>
      <c r="F12" s="29" t="str">
        <f aca="false">IF(P13="","",P13)</f>
        <v/>
      </c>
      <c r="G12" s="9"/>
      <c r="I12" s="7"/>
      <c r="J12" s="28" t="s">
        <v>26</v>
      </c>
      <c r="K12" s="12" t="str">
        <f aca="false">IF(L12&lt;&gt;"",L12,IF(X12="","",X12))</f>
        <v/>
      </c>
      <c r="L12" s="11"/>
      <c r="M12" s="10"/>
      <c r="N12" s="10"/>
      <c r="O12" s="28" t="s">
        <v>27</v>
      </c>
      <c r="P12" s="12" t="str">
        <f aca="false">IF(Q12&lt;&gt;"",Q12,IF(X17="","",X17))</f>
        <v/>
      </c>
      <c r="Q12" s="32"/>
      <c r="R12" s="10"/>
      <c r="S12" s="10"/>
      <c r="T12" s="9"/>
      <c r="W12" s="14" t="s">
        <v>26</v>
      </c>
      <c r="X12" s="23"/>
      <c r="Y12" s="3" t="str">
        <f aca="false">IF(X12&lt;&gt;Z12,"Change","")</f>
        <v/>
      </c>
      <c r="Z12" s="27" t="str">
        <f aca="false">IF(L12="","",L12)</f>
        <v/>
      </c>
      <c r="AA12" s="2" t="s">
        <v>31</v>
      </c>
    </row>
    <row r="13" customFormat="false" ht="15.75" hidden="false" customHeight="false" outlineLevel="0" collapsed="false">
      <c r="A13" s="7"/>
      <c r="B13" s="28" t="s">
        <v>32</v>
      </c>
      <c r="C13" s="29" t="str">
        <f aca="false">IF(K14="","",K14)</f>
        <v/>
      </c>
      <c r="E13" s="10"/>
      <c r="G13" s="9"/>
      <c r="I13" s="7"/>
      <c r="J13" s="28" t="s">
        <v>29</v>
      </c>
      <c r="K13" s="12" t="str">
        <f aca="false">IF(L13&lt;&gt;"",L13,IF(X13="","",X13))</f>
        <v/>
      </c>
      <c r="L13" s="11"/>
      <c r="M13" s="10"/>
      <c r="N13" s="10"/>
      <c r="O13" s="28" t="s">
        <v>30</v>
      </c>
      <c r="P13" s="12" t="str">
        <f aca="false">IF(Q13&lt;&gt;"",Q13,IF(X18="","",X18))</f>
        <v/>
      </c>
      <c r="Q13" s="11"/>
      <c r="R13" s="10"/>
      <c r="S13" s="10"/>
      <c r="T13" s="9"/>
      <c r="W13" s="14" t="s">
        <v>29</v>
      </c>
      <c r="X13" s="23"/>
      <c r="Y13" s="3" t="str">
        <f aca="false">IF(X13&lt;&gt;Z13,"Change","")</f>
        <v/>
      </c>
      <c r="Z13" s="27" t="str">
        <f aca="false">IF(L13="","",L13)</f>
        <v/>
      </c>
      <c r="AA13" s="2" t="s">
        <v>33</v>
      </c>
    </row>
    <row r="14" customFormat="false" ht="15.75" hidden="false" customHeight="false" outlineLevel="0" collapsed="false">
      <c r="A14" s="7"/>
      <c r="B14" s="30" t="s">
        <v>34</v>
      </c>
      <c r="E14" s="10"/>
      <c r="G14" s="9"/>
      <c r="I14" s="7"/>
      <c r="J14" s="28" t="s">
        <v>32</v>
      </c>
      <c r="K14" s="12" t="str">
        <f aca="false">IF(L14&lt;&gt;"",L14,IF(X14="","",X14))</f>
        <v/>
      </c>
      <c r="L14" s="11"/>
      <c r="M14" s="10"/>
      <c r="N14" s="10"/>
      <c r="O14" s="10"/>
      <c r="P14" s="10"/>
      <c r="Q14" s="10"/>
      <c r="R14" s="10"/>
      <c r="S14" s="10"/>
      <c r="T14" s="9"/>
      <c r="W14" s="14" t="s">
        <v>32</v>
      </c>
      <c r="X14" s="23"/>
      <c r="Y14" s="3" t="str">
        <f aca="false">IF(X14&lt;&gt;Z14,"Change","")</f>
        <v/>
      </c>
      <c r="Z14" s="27" t="str">
        <f aca="false">IF(L14="","",L14)</f>
        <v/>
      </c>
      <c r="AA14" s="2" t="s">
        <v>35</v>
      </c>
    </row>
    <row r="15" customFormat="false" ht="15.75" hidden="false" customHeight="false" outlineLevel="0" collapsed="false">
      <c r="A15" s="7"/>
      <c r="B15" s="28" t="s">
        <v>36</v>
      </c>
      <c r="C15" s="29" t="str">
        <f aca="false">IF(K16="","",K16)</f>
        <v/>
      </c>
      <c r="E15" s="28" t="s">
        <v>37</v>
      </c>
      <c r="F15" s="29" t="str">
        <f aca="false">IF(P16="","",P16)</f>
        <v/>
      </c>
      <c r="G15" s="9"/>
      <c r="I15" s="7"/>
      <c r="J15" s="30" t="s">
        <v>34</v>
      </c>
      <c r="K15" s="10"/>
      <c r="L15" s="10"/>
      <c r="M15" s="10"/>
      <c r="N15" s="10"/>
      <c r="O15" s="10"/>
      <c r="P15" s="10"/>
      <c r="Q15" s="10"/>
      <c r="R15" s="10"/>
      <c r="S15" s="10"/>
      <c r="T15" s="9"/>
      <c r="W15" s="14" t="s">
        <v>19</v>
      </c>
      <c r="X15" s="23"/>
      <c r="Y15" s="3" t="str">
        <f aca="false">IF(X15&lt;&gt;Z15,"Change","")</f>
        <v/>
      </c>
      <c r="Z15" s="27" t="str">
        <f aca="false">IF(Q10="","",Q10)</f>
        <v/>
      </c>
      <c r="AA15" s="2" t="s">
        <v>38</v>
      </c>
    </row>
    <row r="16" customFormat="false" ht="15.75" hidden="false" customHeight="false" outlineLevel="0" collapsed="false">
      <c r="A16" s="7"/>
      <c r="B16" s="28" t="s">
        <v>39</v>
      </c>
      <c r="C16" s="29" t="str">
        <f aca="false">IF(K17="","",K17)</f>
        <v/>
      </c>
      <c r="E16" s="28" t="s">
        <v>40</v>
      </c>
      <c r="F16" s="29" t="str">
        <f aca="false">IF(P17="","",P17)</f>
        <v/>
      </c>
      <c r="G16" s="9"/>
      <c r="I16" s="7"/>
      <c r="J16" s="28" t="s">
        <v>36</v>
      </c>
      <c r="K16" s="12" t="str">
        <f aca="false">IF(L16&lt;&gt;"",L16,IF(X20="","",X20))</f>
        <v/>
      </c>
      <c r="L16" s="11"/>
      <c r="M16" s="10"/>
      <c r="N16" s="10"/>
      <c r="O16" s="28" t="s">
        <v>37</v>
      </c>
      <c r="P16" s="12" t="str">
        <f aca="false">IF(Q16&lt;&gt;"",Q16,IF(X23="","",X23))</f>
        <v/>
      </c>
      <c r="Q16" s="32"/>
      <c r="R16" s="10"/>
      <c r="S16" s="10"/>
      <c r="T16" s="9"/>
      <c r="W16" s="14" t="s">
        <v>24</v>
      </c>
      <c r="X16" s="23"/>
      <c r="Y16" s="3" t="str">
        <f aca="false">IF(X16&lt;&gt;Z16,"Change","")</f>
        <v/>
      </c>
      <c r="Z16" s="27" t="str">
        <f aca="false">IF(Q11="","",Q11)</f>
        <v/>
      </c>
      <c r="AA16" s="2" t="s">
        <v>41</v>
      </c>
    </row>
    <row r="17" customFormat="false" ht="15.75" hidden="false" customHeight="false" outlineLevel="0" collapsed="false">
      <c r="A17" s="7"/>
      <c r="B17" s="28" t="s">
        <v>42</v>
      </c>
      <c r="C17" s="29" t="str">
        <f aca="false">IF(K18="","",K18)</f>
        <v/>
      </c>
      <c r="E17" s="28" t="s">
        <v>43</v>
      </c>
      <c r="F17" s="29" t="str">
        <f aca="false">IF(P18="","",P18)</f>
        <v/>
      </c>
      <c r="G17" s="9"/>
      <c r="I17" s="7"/>
      <c r="J17" s="28" t="s">
        <v>39</v>
      </c>
      <c r="K17" s="12" t="str">
        <f aca="false">IF(L17&lt;&gt;"",L17,IF(X21="","",X21))</f>
        <v/>
      </c>
      <c r="L17" s="11"/>
      <c r="M17" s="10"/>
      <c r="N17" s="10"/>
      <c r="O17" s="28" t="s">
        <v>40</v>
      </c>
      <c r="P17" s="12" t="str">
        <f aca="false">IF(Q17&lt;&gt;"",Q17,IF(X24="","",X24))</f>
        <v/>
      </c>
      <c r="Q17" s="11"/>
      <c r="R17" s="10"/>
      <c r="S17" s="10"/>
      <c r="T17" s="9"/>
      <c r="W17" s="14" t="s">
        <v>27</v>
      </c>
      <c r="X17" s="23"/>
      <c r="Y17" s="3" t="str">
        <f aca="false">IF(X17&lt;&gt;Z17,"Change","")</f>
        <v/>
      </c>
      <c r="Z17" s="27" t="str">
        <f aca="false">IF(Q12="","",Q12)</f>
        <v/>
      </c>
      <c r="AA17" s="2" t="s">
        <v>44</v>
      </c>
    </row>
    <row r="18" customFormat="false" ht="15.75" hidden="false" customHeight="false" outlineLevel="0" collapsed="false">
      <c r="A18" s="7"/>
      <c r="B18" s="10"/>
      <c r="E18" s="28" t="s">
        <v>45</v>
      </c>
      <c r="F18" s="29" t="str">
        <f aca="false">IF(P19="","",P19)</f>
        <v/>
      </c>
      <c r="G18" s="9"/>
      <c r="I18" s="7"/>
      <c r="J18" s="28" t="s">
        <v>42</v>
      </c>
      <c r="K18" s="12" t="str">
        <f aca="false">IF(L18&lt;&gt;"",L18,IF(X22="","",X22))</f>
        <v/>
      </c>
      <c r="L18" s="11"/>
      <c r="M18" s="10"/>
      <c r="N18" s="10"/>
      <c r="O18" s="28" t="s">
        <v>43</v>
      </c>
      <c r="P18" s="12" t="str">
        <f aca="false">IF(Q18&lt;&gt;"",Q18,IF(X25="","",X25))</f>
        <v/>
      </c>
      <c r="Q18" s="11"/>
      <c r="R18" s="10"/>
      <c r="S18" s="10"/>
      <c r="T18" s="9"/>
      <c r="W18" s="14" t="s">
        <v>46</v>
      </c>
      <c r="X18" s="23"/>
      <c r="Y18" s="3" t="str">
        <f aca="false">IF(X18&lt;&gt;Z18,"Change","")</f>
        <v/>
      </c>
      <c r="Z18" s="27" t="str">
        <f aca="false">IF(Q13="","",Q13)</f>
        <v/>
      </c>
      <c r="AA18" s="2" t="s">
        <v>47</v>
      </c>
    </row>
    <row r="19" customFormat="false" ht="15.75" hidden="false" customHeight="false" outlineLevel="0" collapsed="false">
      <c r="A19" s="7"/>
      <c r="B19" s="30" t="s">
        <v>48</v>
      </c>
      <c r="E19" s="10"/>
      <c r="G19" s="9"/>
      <c r="I19" s="7"/>
      <c r="J19" s="10"/>
      <c r="K19" s="10"/>
      <c r="L19" s="10"/>
      <c r="M19" s="10"/>
      <c r="N19" s="10"/>
      <c r="O19" s="28" t="s">
        <v>45</v>
      </c>
      <c r="P19" s="12" t="str">
        <f aca="false">IF(Q19&lt;&gt;"",Q19,IF(X26="","",X26))</f>
        <v/>
      </c>
      <c r="Q19" s="11"/>
      <c r="R19" s="10"/>
      <c r="S19" s="10"/>
      <c r="T19" s="9"/>
      <c r="W19" s="20" t="s">
        <v>34</v>
      </c>
    </row>
    <row r="20" customFormat="false" ht="15.75" hidden="false" customHeight="false" outlineLevel="0" collapsed="false">
      <c r="A20" s="7"/>
      <c r="B20" s="28" t="s">
        <v>49</v>
      </c>
      <c r="C20" s="29" t="str">
        <f aca="false">IF(K21="","",K21)</f>
        <v/>
      </c>
      <c r="E20" s="30" t="s">
        <v>50</v>
      </c>
      <c r="G20" s="9"/>
      <c r="I20" s="7"/>
      <c r="J20" s="30" t="s">
        <v>48</v>
      </c>
      <c r="K20" s="10"/>
      <c r="L20" s="10"/>
      <c r="M20" s="10"/>
      <c r="N20" s="10"/>
      <c r="O20" s="10"/>
      <c r="P20" s="10"/>
      <c r="Q20" s="10"/>
      <c r="R20" s="10"/>
      <c r="S20" s="10"/>
      <c r="T20" s="9"/>
      <c r="W20" s="14" t="s">
        <v>36</v>
      </c>
      <c r="X20" s="23"/>
      <c r="Y20" s="3" t="str">
        <f aca="false">IF(X20&lt;&gt;Z20,"Change","")</f>
        <v/>
      </c>
      <c r="Z20" s="27" t="str">
        <f aca="false">IF(L16="","",L16)</f>
        <v/>
      </c>
      <c r="AA20" s="2" t="s">
        <v>51</v>
      </c>
    </row>
    <row r="21" customFormat="false" ht="15.75" hidden="false" customHeight="false" outlineLevel="0" collapsed="false">
      <c r="A21" s="7"/>
      <c r="B21" s="28" t="s">
        <v>37</v>
      </c>
      <c r="C21" s="29" t="str">
        <f aca="false">IF(K22="","",K22)</f>
        <v/>
      </c>
      <c r="E21" s="28" t="s">
        <v>52</v>
      </c>
      <c r="F21" s="29" t="str">
        <f aca="false">IF(P22="","",P22)</f>
        <v/>
      </c>
      <c r="G21" s="9"/>
      <c r="I21" s="7"/>
      <c r="J21" s="28" t="s">
        <v>49</v>
      </c>
      <c r="K21" s="12" t="str">
        <f aca="false">IF(L21&lt;&gt;"",L21,IF(X28="","",X28))</f>
        <v/>
      </c>
      <c r="L21" s="11"/>
      <c r="M21" s="10"/>
      <c r="N21" s="10"/>
      <c r="O21" s="30" t="s">
        <v>50</v>
      </c>
      <c r="P21" s="10"/>
      <c r="Q21" s="10"/>
      <c r="R21" s="10"/>
      <c r="S21" s="10"/>
      <c r="T21" s="9"/>
      <c r="W21" s="14" t="s">
        <v>39</v>
      </c>
      <c r="X21" s="23"/>
      <c r="Y21" s="3" t="str">
        <f aca="false">IF(X21&lt;&gt;Z21,"Change","")</f>
        <v/>
      </c>
      <c r="Z21" s="27" t="str">
        <f aca="false">IF(L17="","",L17)</f>
        <v/>
      </c>
      <c r="AA21" s="2" t="s">
        <v>53</v>
      </c>
    </row>
    <row r="22" customFormat="false" ht="15.75" hidden="false" customHeight="false" outlineLevel="0" collapsed="false">
      <c r="A22" s="7"/>
      <c r="B22" s="30" t="s">
        <v>54</v>
      </c>
      <c r="E22" s="28" t="s">
        <v>55</v>
      </c>
      <c r="F22" s="29" t="str">
        <f aca="false">IF(P23="","",P23)</f>
        <v/>
      </c>
      <c r="G22" s="9"/>
      <c r="I22" s="7"/>
      <c r="J22" s="28" t="s">
        <v>37</v>
      </c>
      <c r="K22" s="12" t="str">
        <f aca="false">IF(L22&lt;&gt;"",L22,IF(X29="","",X29))</f>
        <v/>
      </c>
      <c r="L22" s="32"/>
      <c r="M22" s="10"/>
      <c r="N22" s="10"/>
      <c r="O22" s="28" t="s">
        <v>52</v>
      </c>
      <c r="P22" s="12" t="str">
        <f aca="false">IF(Q22&lt;&gt;"",Q22,IF(X36="","",X36))</f>
        <v/>
      </c>
      <c r="Q22" s="11"/>
      <c r="R22" s="10"/>
      <c r="S22" s="10"/>
      <c r="T22" s="9"/>
      <c r="W22" s="14" t="s">
        <v>42</v>
      </c>
      <c r="X22" s="23"/>
      <c r="Y22" s="3" t="str">
        <f aca="false">IF(X22&lt;&gt;Z22,"Change","")</f>
        <v/>
      </c>
      <c r="Z22" s="27" t="str">
        <f aca="false">IF(L18="","",L18)</f>
        <v/>
      </c>
      <c r="AA22" s="2" t="s">
        <v>56</v>
      </c>
    </row>
    <row r="23" customFormat="false" ht="15.75" hidden="false" customHeight="false" outlineLevel="0" collapsed="false">
      <c r="A23" s="7"/>
      <c r="B23" s="28" t="s">
        <v>36</v>
      </c>
      <c r="C23" s="29" t="str">
        <f aca="false">IF(K24="","",K24)</f>
        <v/>
      </c>
      <c r="E23" s="28" t="s">
        <v>57</v>
      </c>
      <c r="F23" s="29" t="str">
        <f aca="false">IF(P24="","",P24)</f>
        <v/>
      </c>
      <c r="G23" s="9"/>
      <c r="I23" s="7"/>
      <c r="J23" s="30" t="s">
        <v>54</v>
      </c>
      <c r="K23" s="10"/>
      <c r="L23" s="10"/>
      <c r="M23" s="10"/>
      <c r="N23" s="10"/>
      <c r="O23" s="28" t="s">
        <v>55</v>
      </c>
      <c r="P23" s="12" t="str">
        <f aca="false">IF(Q23&lt;&gt;"",Q23,IF(X37="","",X37))</f>
        <v/>
      </c>
      <c r="Q23" s="11"/>
      <c r="R23" s="10"/>
      <c r="S23" s="10"/>
      <c r="T23" s="9"/>
      <c r="W23" s="14" t="s">
        <v>37</v>
      </c>
      <c r="X23" s="23"/>
      <c r="Y23" s="3" t="str">
        <f aca="false">IF(X23&lt;&gt;Z23,"Change","")</f>
        <v/>
      </c>
      <c r="Z23" s="27" t="str">
        <f aca="false">IF(Q16="","",Q16)</f>
        <v/>
      </c>
      <c r="AA23" s="2" t="s">
        <v>58</v>
      </c>
    </row>
    <row r="24" customFormat="false" ht="15.75" hidden="false" customHeight="false" outlineLevel="0" collapsed="false">
      <c r="A24" s="7"/>
      <c r="B24" s="28" t="s">
        <v>39</v>
      </c>
      <c r="C24" s="29" t="str">
        <f aca="false">IF(K25="","",K25)</f>
        <v/>
      </c>
      <c r="E24" s="10"/>
      <c r="G24" s="9"/>
      <c r="I24" s="7"/>
      <c r="J24" s="28" t="s">
        <v>36</v>
      </c>
      <c r="K24" s="12" t="str">
        <f aca="false">IF(L24&lt;&gt;"",L24,IF(X30="","",X30))</f>
        <v/>
      </c>
      <c r="L24" s="11"/>
      <c r="M24" s="10"/>
      <c r="N24" s="10"/>
      <c r="O24" s="28" t="s">
        <v>57</v>
      </c>
      <c r="P24" s="12" t="str">
        <f aca="false">IF(Q24&lt;&gt;"",Q24,IF(X38="","",X38))</f>
        <v/>
      </c>
      <c r="Q24" s="11"/>
      <c r="R24" s="10"/>
      <c r="S24" s="10"/>
      <c r="T24" s="9"/>
      <c r="W24" s="14" t="s">
        <v>40</v>
      </c>
      <c r="X24" s="23"/>
      <c r="Y24" s="3" t="str">
        <f aca="false">IF(X24&lt;&gt;Z24,"Change","")</f>
        <v/>
      </c>
      <c r="Z24" s="27" t="str">
        <f aca="false">IF(Q17="","",Q17)</f>
        <v/>
      </c>
      <c r="AA24" s="2" t="s">
        <v>59</v>
      </c>
    </row>
    <row r="25" customFormat="false" ht="15.75" hidden="false" customHeight="false" outlineLevel="0" collapsed="false">
      <c r="A25" s="7"/>
      <c r="B25" s="28" t="s">
        <v>40</v>
      </c>
      <c r="C25" s="29" t="str">
        <f aca="false">IF(K26="","",K26)</f>
        <v/>
      </c>
      <c r="E25" s="30" t="s">
        <v>60</v>
      </c>
      <c r="G25" s="9"/>
      <c r="I25" s="7"/>
      <c r="J25" s="28" t="s">
        <v>39</v>
      </c>
      <c r="K25" s="12" t="str">
        <f aca="false">IF(L25&lt;&gt;"",L25,IF(X31="","",X31))</f>
        <v/>
      </c>
      <c r="L25" s="11"/>
      <c r="M25" s="10"/>
      <c r="N25" s="10"/>
      <c r="O25" s="10"/>
      <c r="P25" s="10"/>
      <c r="Q25" s="10"/>
      <c r="R25" s="10"/>
      <c r="S25" s="10"/>
      <c r="T25" s="9"/>
      <c r="W25" s="14" t="s">
        <v>43</v>
      </c>
      <c r="X25" s="23"/>
      <c r="Y25" s="3" t="str">
        <f aca="false">IF(X25&lt;&gt;Z25,"Change","")</f>
        <v/>
      </c>
      <c r="Z25" s="27" t="str">
        <f aca="false">IF(Q18="","",Q18)</f>
        <v/>
      </c>
      <c r="AA25" s="2" t="s">
        <v>61</v>
      </c>
    </row>
    <row r="26" customFormat="false" ht="15.75" hidden="false" customHeight="false" outlineLevel="0" collapsed="false">
      <c r="A26" s="7"/>
      <c r="B26" s="30" t="s">
        <v>62</v>
      </c>
      <c r="E26" s="28" t="s">
        <v>63</v>
      </c>
      <c r="F26" s="29" t="str">
        <f aca="false">IF(P27="","",P27)</f>
        <v/>
      </c>
      <c r="G26" s="9"/>
      <c r="I26" s="7"/>
      <c r="J26" s="28" t="s">
        <v>40</v>
      </c>
      <c r="K26" s="12" t="str">
        <f aca="false">IF(L26&lt;&gt;"",L26,IF(X32="","",X32))</f>
        <v/>
      </c>
      <c r="L26" s="11"/>
      <c r="M26" s="10"/>
      <c r="N26" s="10"/>
      <c r="O26" s="30" t="s">
        <v>60</v>
      </c>
      <c r="P26" s="10"/>
      <c r="Q26" s="10"/>
      <c r="R26" s="10"/>
      <c r="S26" s="10"/>
      <c r="T26" s="9"/>
      <c r="W26" s="14" t="s">
        <v>45</v>
      </c>
      <c r="X26" s="23"/>
      <c r="Y26" s="3" t="str">
        <f aca="false">IF(X26&lt;&gt;Z26,"Change","")</f>
        <v/>
      </c>
      <c r="Z26" s="27" t="str">
        <f aca="false">IF(Q19="","",Q19)</f>
        <v/>
      </c>
      <c r="AA26" s="2" t="s">
        <v>64</v>
      </c>
    </row>
    <row r="27" customFormat="false" ht="15.75" hidden="false" customHeight="false" outlineLevel="0" collapsed="false">
      <c r="A27" s="7"/>
      <c r="B27" s="28" t="s">
        <v>36</v>
      </c>
      <c r="C27" s="29" t="str">
        <f aca="false">IF(K28="","",K28)</f>
        <v/>
      </c>
      <c r="E27" s="28" t="s">
        <v>65</v>
      </c>
      <c r="F27" s="29" t="str">
        <f aca="false">IF(P28="","",P28)</f>
        <v/>
      </c>
      <c r="G27" s="9"/>
      <c r="I27" s="7"/>
      <c r="J27" s="30" t="s">
        <v>62</v>
      </c>
      <c r="K27" s="10"/>
      <c r="L27" s="10"/>
      <c r="M27" s="10"/>
      <c r="N27" s="10"/>
      <c r="O27" s="28" t="s">
        <v>63</v>
      </c>
      <c r="P27" s="12" t="str">
        <f aca="false">IF(Q27&lt;&gt;"",Q27,IF(X39="","",X39))</f>
        <v/>
      </c>
      <c r="Q27" s="11"/>
      <c r="R27" s="10"/>
      <c r="S27" s="10"/>
      <c r="T27" s="9"/>
      <c r="W27" s="20" t="s">
        <v>66</v>
      </c>
    </row>
    <row r="28" customFormat="false" ht="15.75" hidden="false" customHeight="false" outlineLevel="0" collapsed="false">
      <c r="A28" s="7"/>
      <c r="B28" s="28" t="s">
        <v>39</v>
      </c>
      <c r="C28" s="29" t="str">
        <f aca="false">IF(K29="","",K29)</f>
        <v/>
      </c>
      <c r="G28" s="9"/>
      <c r="I28" s="7"/>
      <c r="J28" s="28" t="s">
        <v>36</v>
      </c>
      <c r="K28" s="12" t="str">
        <f aca="false">IF(L28&lt;&gt;"",L28,IF(X33="","",X33))</f>
        <v/>
      </c>
      <c r="L28" s="11"/>
      <c r="M28" s="10"/>
      <c r="N28" s="10"/>
      <c r="O28" s="28" t="s">
        <v>65</v>
      </c>
      <c r="P28" s="12" t="str">
        <f aca="false">IF(Q28&lt;&gt;"",Q28,IF(X40="","",X40))</f>
        <v/>
      </c>
      <c r="Q28" s="11"/>
      <c r="R28" s="10"/>
      <c r="S28" s="10"/>
      <c r="T28" s="9"/>
      <c r="W28" s="14" t="s">
        <v>49</v>
      </c>
      <c r="X28" s="23"/>
      <c r="Y28" s="3" t="str">
        <f aca="false">IF(X28&lt;&gt;Z28,"Change","")</f>
        <v/>
      </c>
      <c r="Z28" s="27" t="str">
        <f aca="false">IF(L21="","",L21)</f>
        <v/>
      </c>
      <c r="AA28" s="2" t="s">
        <v>67</v>
      </c>
    </row>
    <row r="29" customFormat="false" ht="15.75" hidden="false" customHeight="false" outlineLevel="0" collapsed="false">
      <c r="A29" s="7"/>
      <c r="B29" s="28" t="s">
        <v>40</v>
      </c>
      <c r="C29" s="29" t="str">
        <f aca="false">IF(K30="","",K30)</f>
        <v/>
      </c>
      <c r="G29" s="9"/>
      <c r="I29" s="7"/>
      <c r="J29" s="28" t="s">
        <v>39</v>
      </c>
      <c r="K29" s="12" t="str">
        <f aca="false">IF(L29&lt;&gt;"",L29,IF(X34="","",X34))</f>
        <v/>
      </c>
      <c r="L29" s="11"/>
      <c r="M29" s="10"/>
      <c r="N29" s="10"/>
      <c r="O29" s="10"/>
      <c r="P29" s="10"/>
      <c r="Q29" s="10"/>
      <c r="R29" s="10"/>
      <c r="S29" s="10"/>
      <c r="T29" s="9"/>
      <c r="W29" s="14" t="s">
        <v>37</v>
      </c>
      <c r="X29" s="23"/>
      <c r="Y29" s="3" t="str">
        <f aca="false">IF(X29&lt;&gt;Z29,"Change","")</f>
        <v/>
      </c>
      <c r="Z29" s="27" t="str">
        <f aca="false">IF(L22="","",L22)</f>
        <v/>
      </c>
      <c r="AA29" s="2" t="s">
        <v>68</v>
      </c>
    </row>
    <row r="30" customFormat="false" ht="15.75" hidden="false" customHeight="false" outlineLevel="0" collapsed="false">
      <c r="A30" s="15"/>
      <c r="B30" s="16"/>
      <c r="C30" s="16"/>
      <c r="D30" s="16"/>
      <c r="E30" s="16"/>
      <c r="F30" s="16"/>
      <c r="G30" s="18"/>
      <c r="I30" s="7"/>
      <c r="J30" s="28" t="s">
        <v>40</v>
      </c>
      <c r="K30" s="12" t="str">
        <f aca="false">IF(L30&lt;&gt;"",L30,IF(X35="","",X35))</f>
        <v/>
      </c>
      <c r="L30" s="11"/>
      <c r="M30" s="10"/>
      <c r="N30" s="10"/>
      <c r="O30" s="10"/>
      <c r="P30" s="10"/>
      <c r="Q30" s="10"/>
      <c r="R30" s="10"/>
      <c r="S30" s="10"/>
      <c r="T30" s="9"/>
      <c r="W30" s="14" t="s">
        <v>36</v>
      </c>
      <c r="X30" s="23"/>
      <c r="Y30" s="3" t="str">
        <f aca="false">IF(X30&lt;&gt;Z30,"Change","")</f>
        <v/>
      </c>
      <c r="Z30" s="27" t="str">
        <f aca="false">IF(L24="","",L24)</f>
        <v/>
      </c>
      <c r="AA30" s="2" t="s">
        <v>69</v>
      </c>
    </row>
    <row r="31" customFormat="false" ht="15.75" hidden="false" customHeight="false" outlineLevel="0" collapsed="false">
      <c r="A31" s="0"/>
      <c r="B31" s="0"/>
      <c r="C31" s="0"/>
      <c r="D31" s="0"/>
      <c r="E31" s="0"/>
      <c r="F31" s="0"/>
      <c r="G31" s="0"/>
      <c r="I31" s="15"/>
      <c r="J31" s="16"/>
      <c r="K31" s="16"/>
      <c r="L31" s="16"/>
      <c r="M31" s="16"/>
      <c r="N31" s="16"/>
      <c r="O31" s="16"/>
      <c r="P31" s="16"/>
      <c r="Q31" s="16"/>
      <c r="R31" s="16"/>
      <c r="S31" s="16"/>
      <c r="T31" s="18"/>
      <c r="W31" s="14" t="s">
        <v>39</v>
      </c>
      <c r="X31" s="23"/>
      <c r="Y31" s="3" t="str">
        <f aca="false">IF(X31&lt;&gt;Z31,"Change","")</f>
        <v/>
      </c>
      <c r="Z31" s="27" t="str">
        <f aca="false">IF(L25="","",L25)</f>
        <v/>
      </c>
      <c r="AA31" s="2" t="s">
        <v>70</v>
      </c>
    </row>
    <row r="32" customFormat="false" ht="15.75" hidden="false" customHeight="false" outlineLevel="0" collapsed="false">
      <c r="A32" s="33" t="s">
        <v>71</v>
      </c>
      <c r="B32" s="5"/>
      <c r="C32" s="5"/>
      <c r="D32" s="5"/>
      <c r="E32" s="5"/>
      <c r="F32" s="34"/>
      <c r="G32" s="35" t="s">
        <v>72</v>
      </c>
      <c r="W32" s="14" t="s">
        <v>40</v>
      </c>
      <c r="X32" s="23"/>
      <c r="Y32" s="3" t="str">
        <f aca="false">IF(X32&lt;&gt;Z32,"Change","")</f>
        <v/>
      </c>
      <c r="Z32" s="27" t="str">
        <f aca="false">IF(L26="","",L26)</f>
        <v/>
      </c>
      <c r="AA32" s="2" t="s">
        <v>73</v>
      </c>
    </row>
    <row r="33" customFormat="false" ht="15.75" hidden="false" customHeight="false" outlineLevel="0" collapsed="false">
      <c r="A33" s="7" t="s">
        <v>74</v>
      </c>
      <c r="F33" s="0"/>
      <c r="G33" s="36" t="str">
        <f aca="false">_xlfn.SWITCH(I25,"","TBD",1,"YES",2,"NO",3,"NA")</f>
        <v>TBD</v>
      </c>
      <c r="W33" s="14" t="s">
        <v>36</v>
      </c>
      <c r="X33" s="23"/>
      <c r="Y33" s="3" t="str">
        <f aca="false">IF(X33&lt;&gt;Z33,"Change","")</f>
        <v/>
      </c>
      <c r="Z33" s="27" t="str">
        <f aca="false">IF(L28="","",L28)</f>
        <v/>
      </c>
      <c r="AA33" s="2" t="s">
        <v>75</v>
      </c>
    </row>
    <row r="34" customFormat="false" ht="15.75" hidden="false" customHeight="false" outlineLevel="0" collapsed="false">
      <c r="A34" s="7" t="s">
        <v>76</v>
      </c>
      <c r="G34" s="36" t="str">
        <f aca="false">_xlfn.SWITCH(I26,"","TBD",1,"YES",2,"NO",3,"NA")</f>
        <v>TBD</v>
      </c>
      <c r="I34" s="37" t="s">
        <v>77</v>
      </c>
      <c r="J34" s="5"/>
      <c r="K34" s="5"/>
      <c r="L34" s="5"/>
      <c r="M34" s="5"/>
      <c r="N34" s="5"/>
      <c r="O34" s="5"/>
      <c r="P34" s="5"/>
      <c r="Q34" s="5"/>
      <c r="R34" s="5"/>
      <c r="S34" s="5"/>
      <c r="T34" s="6"/>
      <c r="W34" s="14" t="s">
        <v>39</v>
      </c>
      <c r="X34" s="23"/>
      <c r="Y34" s="3" t="str">
        <f aca="false">IF(X34&lt;&gt;Z34,"Change","")</f>
        <v/>
      </c>
      <c r="Z34" s="27" t="str">
        <f aca="false">IF(L29="","",L29)</f>
        <v/>
      </c>
      <c r="AA34" s="2" t="s">
        <v>78</v>
      </c>
    </row>
    <row r="35" customFormat="false" ht="15.75" hidden="false" customHeight="false" outlineLevel="0" collapsed="false">
      <c r="A35" s="7" t="s">
        <v>79</v>
      </c>
      <c r="G35" s="36" t="str">
        <f aca="false">_xlfn.SWITCH(I27,"","TBD",1,"YES",2,"NO",3,"NA")</f>
        <v>TBD</v>
      </c>
      <c r="I35" s="38" t="str">
        <f aca="false">IF(J35&lt;&gt;"",J35,IF(OR(X41=0,X41=""),"",X41))</f>
        <v/>
      </c>
      <c r="J35" s="39"/>
      <c r="K35" s="10" t="s">
        <v>80</v>
      </c>
      <c r="L35" s="10"/>
      <c r="M35" s="10"/>
      <c r="N35" s="10"/>
      <c r="O35" s="10"/>
      <c r="P35" s="28" t="s">
        <v>81</v>
      </c>
      <c r="Q35" s="40" t="str">
        <f aca="false">IF(R35&lt;&gt;"",R35,IF(X42="","",X42))</f>
        <v/>
      </c>
      <c r="R35" s="39"/>
      <c r="S35" s="10"/>
      <c r="T35" s="9"/>
      <c r="W35" s="14" t="s">
        <v>40</v>
      </c>
      <c r="X35" s="23"/>
      <c r="Y35" s="3" t="str">
        <f aca="false">IF(X35&lt;&gt;Z35,"Change","")</f>
        <v/>
      </c>
      <c r="Z35" s="27" t="str">
        <f aca="false">IF(L30="","",L30)</f>
        <v/>
      </c>
      <c r="AA35" s="2" t="s">
        <v>82</v>
      </c>
    </row>
    <row r="36" customFormat="false" ht="15.75" hidden="false" customHeight="false" outlineLevel="0" collapsed="false">
      <c r="A36" s="7" t="s">
        <v>83</v>
      </c>
      <c r="G36" s="36" t="str">
        <f aca="false">_xlfn.SWITCH(I28,"","TBD",1,"YES",2,"NO",3,"NA")</f>
        <v>TBD</v>
      </c>
      <c r="I36" s="7"/>
      <c r="J36" s="10"/>
      <c r="K36" s="10"/>
      <c r="L36" s="10"/>
      <c r="M36" s="10"/>
      <c r="N36" s="10"/>
      <c r="O36" s="10"/>
      <c r="P36" s="10"/>
      <c r="Q36" s="10" t="s">
        <v>84</v>
      </c>
      <c r="R36" s="10"/>
      <c r="S36" s="10"/>
      <c r="T36" s="9"/>
      <c r="W36" s="14" t="s">
        <v>52</v>
      </c>
      <c r="X36" s="23"/>
      <c r="Y36" s="3" t="str">
        <f aca="false">IF(X36&lt;&gt;Z36,"Change","")</f>
        <v/>
      </c>
      <c r="Z36" s="27" t="str">
        <f aca="false">IF(Q22="","",Q22)</f>
        <v/>
      </c>
      <c r="AA36" s="2" t="s">
        <v>85</v>
      </c>
    </row>
    <row r="37" customFormat="false" ht="15.75" hidden="false" customHeight="false" outlineLevel="0" collapsed="false">
      <c r="A37" s="7" t="s">
        <v>86</v>
      </c>
      <c r="G37" s="36" t="str">
        <f aca="false">_xlfn.SWITCH(I29,"","TBD",1,"YES",2,"NO",3,"NA")</f>
        <v>TBD</v>
      </c>
      <c r="I37" s="41" t="s">
        <v>71</v>
      </c>
      <c r="J37" s="10"/>
      <c r="K37" s="10"/>
      <c r="L37" s="10"/>
      <c r="M37" s="10"/>
      <c r="N37" s="10"/>
      <c r="O37" s="10"/>
      <c r="P37" s="10"/>
      <c r="Q37" s="10" t="s">
        <v>87</v>
      </c>
      <c r="R37" s="10"/>
      <c r="S37" s="10"/>
      <c r="T37" s="9"/>
      <c r="W37" s="14" t="s">
        <v>55</v>
      </c>
      <c r="X37" s="23"/>
      <c r="Y37" s="3" t="str">
        <f aca="false">IF(X37&lt;&gt;Z37,"Change","")</f>
        <v/>
      </c>
      <c r="Z37" s="27" t="str">
        <f aca="false">IF(Q23="","",Q23)</f>
        <v/>
      </c>
      <c r="AA37" s="2" t="s">
        <v>88</v>
      </c>
    </row>
    <row r="38" customFormat="false" ht="15.75" hidden="false" customHeight="false" outlineLevel="0" collapsed="false">
      <c r="A38" s="7" t="s">
        <v>89</v>
      </c>
      <c r="G38" s="36" t="str">
        <f aca="false">_xlfn.SWITCH(I30,"","TBD",1,"YES",2,"NO",3,"NA")</f>
        <v>TBD</v>
      </c>
      <c r="I38" s="42"/>
      <c r="J38" s="10" t="s">
        <v>74</v>
      </c>
      <c r="K38" s="10"/>
      <c r="L38" s="10"/>
      <c r="M38" s="10"/>
      <c r="N38" s="10"/>
      <c r="O38" s="10"/>
      <c r="P38" s="10"/>
      <c r="Q38" s="43" t="n">
        <f aca="false">IF(R38&lt;&gt;"",R38,IF(X43="","",X43))</f>
        <v>1</v>
      </c>
      <c r="R38" s="44" t="n">
        <v>1</v>
      </c>
      <c r="S38" s="10"/>
      <c r="T38" s="9"/>
      <c r="W38" s="14" t="s">
        <v>57</v>
      </c>
      <c r="X38" s="23"/>
      <c r="Y38" s="3" t="str">
        <f aca="false">IF(X38&lt;&gt;Z38,"Change","")</f>
        <v/>
      </c>
      <c r="Z38" s="27" t="str">
        <f aca="false">IF(Q24="","",Q24)</f>
        <v/>
      </c>
      <c r="AA38" s="2" t="s">
        <v>90</v>
      </c>
    </row>
    <row r="39" customFormat="false" ht="15.75" hidden="false" customHeight="false" outlineLevel="0" collapsed="false">
      <c r="A39" s="7" t="s">
        <v>91</v>
      </c>
      <c r="G39" s="36" t="str">
        <f aca="false">_xlfn.SWITCH(I31,"","TBD",1,"YES",2,"NO",3,"NA")</f>
        <v>TBD</v>
      </c>
      <c r="I39" s="42"/>
      <c r="J39" s="10" t="s">
        <v>76</v>
      </c>
      <c r="K39" s="10"/>
      <c r="L39" s="10"/>
      <c r="M39" s="10"/>
      <c r="N39" s="10"/>
      <c r="O39" s="10"/>
      <c r="P39" s="10"/>
      <c r="Q39" s="45" t="n">
        <f aca="false">IF(R39&lt;&gt;"",R39,IF(X44="","",X44))</f>
        <v>2</v>
      </c>
      <c r="R39" s="46" t="n">
        <v>2</v>
      </c>
      <c r="S39" s="10"/>
      <c r="T39" s="9"/>
      <c r="W39" s="14" t="s">
        <v>63</v>
      </c>
      <c r="X39" s="23"/>
      <c r="Y39" s="3" t="str">
        <f aca="false">IF(X39&lt;&gt;Z39,"Change","")</f>
        <v/>
      </c>
      <c r="Z39" s="27" t="str">
        <f aca="false">IF(Q27="","",Q27)</f>
        <v/>
      </c>
      <c r="AA39" s="2" t="s">
        <v>92</v>
      </c>
    </row>
    <row r="40" customFormat="false" ht="15.75" hidden="false" customHeight="false" outlineLevel="0" collapsed="false">
      <c r="A40" s="7"/>
      <c r="G40" s="9"/>
      <c r="I40" s="42"/>
      <c r="J40" s="10" t="s">
        <v>79</v>
      </c>
      <c r="K40" s="10"/>
      <c r="L40" s="10"/>
      <c r="M40" s="10"/>
      <c r="N40" s="10"/>
      <c r="O40" s="10"/>
      <c r="P40" s="10"/>
      <c r="Q40" s="45" t="n">
        <f aca="false">IF(R40&lt;&gt;"",R40,IF(X45="","",X45))</f>
        <v>3</v>
      </c>
      <c r="R40" s="46" t="n">
        <v>3</v>
      </c>
      <c r="S40" s="10"/>
      <c r="T40" s="9"/>
      <c r="W40" s="14" t="s">
        <v>65</v>
      </c>
      <c r="X40" s="23"/>
      <c r="Y40" s="3" t="str">
        <f aca="false">IF(X40&lt;&gt;Z40,"Change","")</f>
        <v/>
      </c>
      <c r="Z40" s="27" t="str">
        <f aca="false">IF(Q28="","",Q28)</f>
        <v/>
      </c>
      <c r="AA40" s="2" t="s">
        <v>93</v>
      </c>
    </row>
    <row r="41" customFormat="false" ht="15.75" hidden="false" customHeight="false" outlineLevel="0" collapsed="false">
      <c r="A41" s="15"/>
      <c r="B41" s="16"/>
      <c r="C41" s="16"/>
      <c r="D41" s="16"/>
      <c r="E41" s="16"/>
      <c r="F41" s="16"/>
      <c r="G41" s="18"/>
      <c r="I41" s="42"/>
      <c r="J41" s="10" t="s">
        <v>83</v>
      </c>
      <c r="K41" s="10"/>
      <c r="L41" s="10"/>
      <c r="M41" s="10"/>
      <c r="N41" s="10"/>
      <c r="O41" s="10"/>
      <c r="P41" s="10"/>
      <c r="Q41" s="45" t="str">
        <f aca="false">IF(R41&lt;&gt;"",R41,IF(X46="","",X46))</f>
        <v>AP</v>
      </c>
      <c r="R41" s="46" t="s">
        <v>94</v>
      </c>
      <c r="S41" s="10"/>
      <c r="T41" s="9"/>
      <c r="W41" s="14" t="s">
        <v>95</v>
      </c>
      <c r="X41" s="23"/>
      <c r="Y41" s="3" t="str">
        <f aca="false">IF(X41&lt;&gt;Z41,"Change","")</f>
        <v/>
      </c>
      <c r="Z41" s="27" t="str">
        <f aca="false">IF(J35="","",J35)</f>
        <v/>
      </c>
      <c r="AA41" s="2" t="s">
        <v>96</v>
      </c>
    </row>
    <row r="42" customFormat="false" ht="15.75" hidden="false" customHeight="false" outlineLevel="0" collapsed="false">
      <c r="A42" s="47" t="s">
        <v>7</v>
      </c>
      <c r="B42" s="48" t="str">
        <f aca="false">IF($K$6="","",$K$6)</f>
        <v/>
      </c>
      <c r="F42" s="47" t="s">
        <v>8</v>
      </c>
      <c r="G42" s="49" t="str">
        <f aca="false">IF($R$6="","",$R$6)</f>
        <v/>
      </c>
      <c r="I42" s="42"/>
      <c r="J42" s="10" t="s">
        <v>86</v>
      </c>
      <c r="K42" s="10"/>
      <c r="L42" s="10"/>
      <c r="M42" s="10"/>
      <c r="N42" s="10"/>
      <c r="O42" s="10"/>
      <c r="P42" s="10"/>
      <c r="Q42" s="45" t="str">
        <f aca="false">IF(R42&lt;&gt;"",R42,IF(X47="","",X47))</f>
        <v>Front</v>
      </c>
      <c r="R42" s="46" t="s">
        <v>97</v>
      </c>
      <c r="S42" s="10"/>
      <c r="T42" s="9"/>
      <c r="W42" s="14" t="s">
        <v>81</v>
      </c>
      <c r="X42" s="23"/>
      <c r="Y42" s="3" t="str">
        <f aca="false">IF(X42&lt;&gt;Z42,"Change","")</f>
        <v/>
      </c>
      <c r="Z42" s="27" t="str">
        <f aca="false">IF(R35="","",R35)</f>
        <v/>
      </c>
      <c r="AA42" s="2" t="s">
        <v>98</v>
      </c>
    </row>
    <row r="43" customFormat="false" ht="15.75" hidden="false" customHeight="false" outlineLevel="0" collapsed="false">
      <c r="A43" s="47" t="s">
        <v>99</v>
      </c>
      <c r="B43" s="50" t="str">
        <f aca="false">IF($K$14="","",$K$14)</f>
        <v/>
      </c>
      <c r="F43" s="47" t="s">
        <v>29</v>
      </c>
      <c r="G43" s="50" t="str">
        <f aca="false">IF($K$13="","",$K$13)</f>
        <v/>
      </c>
      <c r="I43" s="42"/>
      <c r="J43" s="10" t="s">
        <v>89</v>
      </c>
      <c r="K43" s="10"/>
      <c r="L43" s="10"/>
      <c r="M43" s="10"/>
      <c r="N43" s="10"/>
      <c r="O43" s="10"/>
      <c r="P43" s="10"/>
      <c r="Q43" s="45" t="str">
        <f aca="false">IF(R43&lt;&gt;"",R43,IF(X48="","",X48))</f>
        <v>Frontal</v>
      </c>
      <c r="R43" s="46" t="s">
        <v>100</v>
      </c>
      <c r="S43" s="10"/>
      <c r="T43" s="9"/>
      <c r="W43" s="20" t="s">
        <v>101</v>
      </c>
      <c r="X43" s="23"/>
      <c r="Y43" s="3" t="str">
        <f aca="false">IF(X43&lt;&gt;Z43,"Change","")</f>
        <v>Change</v>
      </c>
      <c r="Z43" s="27" t="n">
        <f aca="false">IF(R38="","",R38)</f>
        <v>1</v>
      </c>
      <c r="AA43" s="2" t="s">
        <v>102</v>
      </c>
    </row>
    <row r="44" customFormat="false" ht="15.75" hidden="false" customHeight="false" outlineLevel="0" collapsed="false">
      <c r="A44" s="0"/>
      <c r="B44" s="0"/>
      <c r="C44" s="0"/>
      <c r="D44" s="0"/>
      <c r="E44" s="0"/>
      <c r="F44" s="0"/>
      <c r="G44" s="51" t="str">
        <f aca="false">$D$2</f>
        <v>Medical University of South Carolina</v>
      </c>
      <c r="I44" s="42"/>
      <c r="J44" s="10" t="s">
        <v>91</v>
      </c>
      <c r="K44" s="10"/>
      <c r="L44" s="10"/>
      <c r="M44" s="10"/>
      <c r="N44" s="10"/>
      <c r="O44" s="10"/>
      <c r="P44" s="10"/>
      <c r="Q44" s="45" t="str">
        <f aca="false">IF(R44&lt;&gt;"",R44,IF(X49="","",X49))</f>
        <v>Lat</v>
      </c>
      <c r="R44" s="46" t="s">
        <v>103</v>
      </c>
      <c r="S44" s="10"/>
      <c r="T44" s="9"/>
      <c r="X44" s="23"/>
      <c r="Y44" s="3" t="str">
        <f aca="false">IF(X44&lt;&gt;Z44,"Change","")</f>
        <v>Change</v>
      </c>
      <c r="Z44" s="27" t="n">
        <f aca="false">IF(R39="","",R39)</f>
        <v>2</v>
      </c>
      <c r="AA44" s="2" t="s">
        <v>104</v>
      </c>
    </row>
    <row r="45" customFormat="false" ht="15.75" hidden="false" customHeight="false" outlineLevel="0" collapsed="false">
      <c r="A45" s="0"/>
      <c r="B45" s="0"/>
      <c r="C45" s="0"/>
      <c r="D45" s="0"/>
      <c r="E45" s="0"/>
      <c r="F45" s="0"/>
      <c r="G45" s="52" t="str">
        <f aca="false">$D$5</f>
        <v>O-Arm System Compliance Inspection</v>
      </c>
      <c r="I45" s="7"/>
      <c r="J45" s="10"/>
      <c r="K45" s="10"/>
      <c r="L45" s="10"/>
      <c r="M45" s="10"/>
      <c r="N45" s="10"/>
      <c r="O45" s="10"/>
      <c r="P45" s="10"/>
      <c r="Q45" s="53" t="str">
        <f aca="false">IF(R45&lt;&gt;"",R45,IF(X50="","",X50))</f>
        <v>Lateral</v>
      </c>
      <c r="R45" s="54" t="s">
        <v>105</v>
      </c>
      <c r="S45" s="10"/>
      <c r="T45" s="9"/>
      <c r="X45" s="23"/>
      <c r="Y45" s="3" t="str">
        <f aca="false">IF(X45&lt;&gt;Z45,"Change","")</f>
        <v>Change</v>
      </c>
      <c r="Z45" s="27" t="n">
        <f aca="false">IF(R40="","",R40)</f>
        <v>3</v>
      </c>
      <c r="AA45" s="2" t="s">
        <v>106</v>
      </c>
    </row>
    <row r="46" customFormat="false" ht="15.75" hidden="false" customHeight="false" outlineLevel="0" collapsed="false">
      <c r="A46" s="33" t="s">
        <v>107</v>
      </c>
      <c r="B46" s="5"/>
      <c r="C46" s="5"/>
      <c r="D46" s="5"/>
      <c r="E46" s="5"/>
      <c r="F46" s="5"/>
      <c r="G46" s="6"/>
      <c r="I46" s="41" t="s">
        <v>107</v>
      </c>
      <c r="J46" s="10"/>
      <c r="K46" s="10"/>
      <c r="L46" s="10"/>
      <c r="M46" s="10"/>
      <c r="N46" s="10"/>
      <c r="O46" s="10"/>
      <c r="P46" s="10"/>
      <c r="Q46" s="10"/>
      <c r="R46" s="10"/>
      <c r="S46" s="10"/>
      <c r="T46" s="9"/>
      <c r="X46" s="23"/>
      <c r="Y46" s="3" t="str">
        <f aca="false">IF(X46&lt;&gt;Z46,"Change","")</f>
        <v>Change</v>
      </c>
      <c r="Z46" s="27" t="str">
        <f aca="false">IF(R41="","",R41)</f>
        <v>AP</v>
      </c>
      <c r="AA46" s="2" t="s">
        <v>108</v>
      </c>
    </row>
    <row r="47" customFormat="false" ht="15.75" hidden="false" customHeight="false" outlineLevel="0" collapsed="false">
      <c r="A47" s="7" t="s">
        <v>109</v>
      </c>
      <c r="G47" s="36" t="str">
        <f aca="false">_xlfn.SWITCH(I47,"","TBD",1,"YES",2,"NO",3,"NA")</f>
        <v>TBD</v>
      </c>
      <c r="I47" s="42"/>
      <c r="J47" s="10" t="s">
        <v>109</v>
      </c>
      <c r="K47" s="10"/>
      <c r="L47" s="10"/>
      <c r="M47" s="10"/>
      <c r="N47" s="10"/>
      <c r="O47" s="10"/>
      <c r="P47" s="10"/>
      <c r="Q47" s="10"/>
      <c r="R47" s="10"/>
      <c r="S47" s="10"/>
      <c r="T47" s="9"/>
      <c r="X47" s="23"/>
      <c r="Y47" s="3" t="str">
        <f aca="false">IF(X47&lt;&gt;Z47,"Change","")</f>
        <v>Change</v>
      </c>
      <c r="Z47" s="27" t="str">
        <f aca="false">IF(R42="","",R42)</f>
        <v>Front</v>
      </c>
      <c r="AA47" s="2" t="s">
        <v>110</v>
      </c>
    </row>
    <row r="48" customFormat="false" ht="15.75" hidden="false" customHeight="false" outlineLevel="0" collapsed="false">
      <c r="A48" s="7" t="s">
        <v>111</v>
      </c>
      <c r="G48" s="36" t="str">
        <f aca="false">_xlfn.SWITCH(I48,"","TBD",1,"YES",2,"NO",3,"NA")</f>
        <v>TBD</v>
      </c>
      <c r="I48" s="42"/>
      <c r="J48" s="10" t="s">
        <v>111</v>
      </c>
      <c r="K48" s="10"/>
      <c r="L48" s="10"/>
      <c r="M48" s="10"/>
      <c r="N48" s="10"/>
      <c r="O48" s="10"/>
      <c r="P48" s="10"/>
      <c r="Q48" s="10"/>
      <c r="R48" s="10"/>
      <c r="S48" s="10"/>
      <c r="T48" s="9"/>
      <c r="X48" s="23"/>
      <c r="Y48" s="3" t="str">
        <f aca="false">IF(X48&lt;&gt;Z48,"Change","")</f>
        <v>Change</v>
      </c>
      <c r="Z48" s="27" t="str">
        <f aca="false">IF(R43="","",R43)</f>
        <v>Frontal</v>
      </c>
      <c r="AA48" s="2" t="s">
        <v>112</v>
      </c>
    </row>
    <row r="49" customFormat="false" ht="15.75" hidden="false" customHeight="false" outlineLevel="0" collapsed="false">
      <c r="A49" s="7" t="s">
        <v>113</v>
      </c>
      <c r="G49" s="36" t="str">
        <f aca="false">_xlfn.SWITCH(I49,"","TBD",1,"YES",2,"NO",3,"NA")</f>
        <v>TBD</v>
      </c>
      <c r="I49" s="42"/>
      <c r="J49" s="10" t="s">
        <v>113</v>
      </c>
      <c r="K49" s="10"/>
      <c r="L49" s="10"/>
      <c r="M49" s="10"/>
      <c r="N49" s="10"/>
      <c r="O49" s="10"/>
      <c r="P49" s="10"/>
      <c r="Q49" s="10"/>
      <c r="R49" s="10"/>
      <c r="S49" s="10"/>
      <c r="T49" s="9"/>
      <c r="X49" s="23"/>
      <c r="Y49" s="3" t="str">
        <f aca="false">IF(X49&lt;&gt;Z49,"Change","")</f>
        <v>Change</v>
      </c>
      <c r="Z49" s="27" t="str">
        <f aca="false">IF(R44="","",R44)</f>
        <v>Lat</v>
      </c>
      <c r="AA49" s="2" t="s">
        <v>114</v>
      </c>
    </row>
    <row r="50" customFormat="false" ht="15.75" hidden="false" customHeight="false" outlineLevel="0" collapsed="false">
      <c r="A50" s="7" t="s">
        <v>115</v>
      </c>
      <c r="G50" s="36" t="str">
        <f aca="false">_xlfn.SWITCH(I50,"","TBD",1,"YES",2,"NO",3,"NA")</f>
        <v>TBD</v>
      </c>
      <c r="I50" s="42"/>
      <c r="J50" s="10" t="s">
        <v>115</v>
      </c>
      <c r="K50" s="10"/>
      <c r="L50" s="10"/>
      <c r="M50" s="10"/>
      <c r="N50" s="10"/>
      <c r="O50" s="10"/>
      <c r="P50" s="10"/>
      <c r="Q50" s="10"/>
      <c r="R50" s="10"/>
      <c r="S50" s="10"/>
      <c r="T50" s="9"/>
      <c r="X50" s="23"/>
      <c r="Y50" s="3" t="str">
        <f aca="false">IF(X50&lt;&gt;Z50,"Change","")</f>
        <v>Change</v>
      </c>
      <c r="Z50" s="27" t="str">
        <f aca="false">IF(R45="","",R45)</f>
        <v>Lateral</v>
      </c>
      <c r="AA50" s="2" t="s">
        <v>116</v>
      </c>
    </row>
    <row r="51" customFormat="false" ht="15.75" hidden="false" customHeight="false" outlineLevel="0" collapsed="false">
      <c r="A51" s="7" t="s">
        <v>117</v>
      </c>
      <c r="G51" s="36" t="str">
        <f aca="false">_xlfn.SWITCH(I51,"","TBD",1,"YES",2,"NO",3,"NA")</f>
        <v>TBD</v>
      </c>
      <c r="I51" s="42"/>
      <c r="J51" s="10" t="s">
        <v>117</v>
      </c>
      <c r="K51" s="10"/>
      <c r="L51" s="10"/>
      <c r="M51" s="10"/>
      <c r="N51" s="10"/>
      <c r="O51" s="10"/>
      <c r="P51" s="10"/>
      <c r="Q51" s="10"/>
      <c r="R51" s="10"/>
      <c r="S51" s="10"/>
      <c r="T51" s="9"/>
      <c r="W51" s="20" t="s">
        <v>118</v>
      </c>
    </row>
    <row r="52" customFormat="false" ht="15.75" hidden="false" customHeight="false" outlineLevel="0" collapsed="false">
      <c r="A52" s="7" t="s">
        <v>119</v>
      </c>
      <c r="G52" s="36" t="str">
        <f aca="false">_xlfn.SWITCH(I52,"","TBD",1,"YES",2,"NO",3,"NA")</f>
        <v>TBD</v>
      </c>
      <c r="I52" s="42"/>
      <c r="J52" s="10" t="s">
        <v>119</v>
      </c>
      <c r="K52" s="10"/>
      <c r="L52" s="10"/>
      <c r="M52" s="10"/>
      <c r="N52" s="10"/>
      <c r="O52" s="10"/>
      <c r="P52" s="10"/>
      <c r="Q52" s="10"/>
      <c r="R52" s="10"/>
      <c r="S52" s="10"/>
      <c r="T52" s="9"/>
      <c r="W52" s="14" t="s">
        <v>120</v>
      </c>
      <c r="X52" s="23"/>
      <c r="Y52" s="3" t="str">
        <f aca="false">IF(X52&lt;&gt;Z52,"Change","")</f>
        <v/>
      </c>
      <c r="Z52" s="27" t="str">
        <f aca="false">IF(I103="","",I103)</f>
        <v/>
      </c>
    </row>
    <row r="53" customFormat="false" ht="15.75" hidden="false" customHeight="false" outlineLevel="0" collapsed="false">
      <c r="A53" s="7" t="s">
        <v>121</v>
      </c>
      <c r="G53" s="36" t="str">
        <f aca="false">_xlfn.SWITCH(I53,"","TBD",1,"YES",2,"NO",3,"NA")</f>
        <v>TBD</v>
      </c>
      <c r="I53" s="42"/>
      <c r="J53" s="10" t="s">
        <v>121</v>
      </c>
      <c r="K53" s="10"/>
      <c r="L53" s="10"/>
      <c r="M53" s="10"/>
      <c r="N53" s="10"/>
      <c r="O53" s="10"/>
      <c r="P53" s="10"/>
      <c r="Q53" s="10"/>
      <c r="R53" s="10"/>
      <c r="S53" s="10"/>
      <c r="T53" s="9"/>
      <c r="W53" s="14" t="s">
        <v>122</v>
      </c>
      <c r="X53" s="23"/>
      <c r="Y53" s="3" t="str">
        <f aca="false">IF(X53&lt;&gt;Z53,"Change","")</f>
        <v/>
      </c>
      <c r="Z53" s="27" t="str">
        <f aca="false">IF(I106="","",I106)</f>
        <v/>
      </c>
    </row>
    <row r="54" customFormat="false" ht="15.75" hidden="false" customHeight="false" outlineLevel="0" collapsed="false">
      <c r="A54" s="7" t="s">
        <v>123</v>
      </c>
      <c r="G54" s="36" t="str">
        <f aca="false">_xlfn.SWITCH(I54,"","TBD",1,"YES",2,"NO",3,"NA")</f>
        <v>TBD</v>
      </c>
      <c r="I54" s="42"/>
      <c r="J54" s="10" t="s">
        <v>123</v>
      </c>
      <c r="K54" s="10"/>
      <c r="L54" s="10"/>
      <c r="M54" s="10"/>
      <c r="N54" s="10"/>
      <c r="O54" s="10"/>
      <c r="P54" s="10"/>
      <c r="Q54" s="10"/>
      <c r="R54" s="10"/>
      <c r="S54" s="10"/>
      <c r="T54" s="9"/>
      <c r="W54" s="14" t="s">
        <v>124</v>
      </c>
      <c r="X54" s="23"/>
      <c r="Y54" s="3" t="str">
        <f aca="false">IF(X54&lt;&gt;Z54,"Change","")</f>
        <v/>
      </c>
      <c r="Z54" s="27" t="str">
        <f aca="false">IF(I109="","",I109)</f>
        <v/>
      </c>
    </row>
    <row r="55" customFormat="false" ht="15.75" hidden="false" customHeight="false" outlineLevel="0" collapsed="false">
      <c r="A55" s="7" t="s">
        <v>125</v>
      </c>
      <c r="G55" s="36" t="str">
        <f aca="false">_xlfn.SWITCH(I55,"","TBD",1,"YES",2,"NO",3,"NA")</f>
        <v>TBD</v>
      </c>
      <c r="I55" s="42"/>
      <c r="J55" s="10" t="s">
        <v>125</v>
      </c>
      <c r="K55" s="10"/>
      <c r="L55" s="10"/>
      <c r="M55" s="10"/>
      <c r="N55" s="10"/>
      <c r="O55" s="10"/>
      <c r="P55" s="10"/>
      <c r="Q55" s="10"/>
      <c r="R55" s="10"/>
      <c r="S55" s="10"/>
      <c r="T55" s="9"/>
      <c r="W55" s="20" t="s">
        <v>126</v>
      </c>
    </row>
    <row r="56" customFormat="false" ht="15.75" hidden="false" customHeight="false" outlineLevel="0" collapsed="false">
      <c r="A56" s="7" t="s">
        <v>127</v>
      </c>
      <c r="G56" s="36" t="str">
        <f aca="false">_xlfn.SWITCH(I56,"","TBD",1,"YES",2,"NO",3,"NA")</f>
        <v>TBD</v>
      </c>
      <c r="I56" s="42"/>
      <c r="J56" s="10" t="s">
        <v>127</v>
      </c>
      <c r="K56" s="10"/>
      <c r="L56" s="10"/>
      <c r="M56" s="10"/>
      <c r="N56" s="10"/>
      <c r="O56" s="10"/>
      <c r="P56" s="10"/>
      <c r="Q56" s="10"/>
      <c r="R56" s="10"/>
      <c r="S56" s="10"/>
      <c r="T56" s="9"/>
      <c r="W56" s="14" t="s">
        <v>128</v>
      </c>
      <c r="X56" s="23"/>
      <c r="Y56" s="3" t="str">
        <f aca="false">IF(X56&lt;&gt;Z56,"Change","")</f>
        <v/>
      </c>
      <c r="Z56" s="27" t="str">
        <f aca="false">IF(J91="","",J91)</f>
        <v/>
      </c>
    </row>
    <row r="57" customFormat="false" ht="15.75" hidden="false" customHeight="false" outlineLevel="0" collapsed="false">
      <c r="A57" s="7" t="s">
        <v>129</v>
      </c>
      <c r="G57" s="36" t="str">
        <f aca="false">_xlfn.SWITCH(I57,"","TBD",1,"YES",2,"NO",3,"NA")</f>
        <v>TBD</v>
      </c>
      <c r="I57" s="42"/>
      <c r="J57" s="10" t="s">
        <v>129</v>
      </c>
      <c r="K57" s="10"/>
      <c r="L57" s="10"/>
      <c r="M57" s="10"/>
      <c r="N57" s="10"/>
      <c r="O57" s="10"/>
      <c r="P57" s="10"/>
      <c r="Q57" s="10"/>
      <c r="R57" s="10"/>
      <c r="S57" s="10"/>
      <c r="T57" s="9"/>
      <c r="W57" s="14" t="s">
        <v>130</v>
      </c>
      <c r="X57" s="23"/>
      <c r="Y57" s="3" t="str">
        <f aca="false">IF(X57&lt;&gt;Z57,"Change","")</f>
        <v/>
      </c>
      <c r="Z57" s="27"/>
    </row>
    <row r="58" customFormat="false" ht="15.75" hidden="false" customHeight="false" outlineLevel="0" collapsed="false">
      <c r="A58" s="7" t="s">
        <v>131</v>
      </c>
      <c r="G58" s="36" t="str">
        <f aca="false">_xlfn.SWITCH(I58,"","TBD",1,"YES",2,"NO",3,"NA")</f>
        <v>TBD</v>
      </c>
      <c r="I58" s="42"/>
      <c r="J58" s="10" t="s">
        <v>131</v>
      </c>
      <c r="K58" s="10"/>
      <c r="L58" s="10"/>
      <c r="M58" s="10"/>
      <c r="N58" s="10"/>
      <c r="O58" s="10"/>
      <c r="P58" s="10"/>
      <c r="Q58" s="10"/>
      <c r="R58" s="10"/>
      <c r="S58" s="10"/>
      <c r="T58" s="9"/>
      <c r="W58" s="14" t="s">
        <v>132</v>
      </c>
      <c r="X58" s="23"/>
      <c r="Y58" s="3" t="str">
        <f aca="false">IF(X58&lt;&gt;Z58,"Change","")</f>
        <v/>
      </c>
      <c r="Z58" s="27"/>
    </row>
    <row r="59" customFormat="false" ht="15.75" hidden="false" customHeight="false" outlineLevel="0" collapsed="false">
      <c r="A59" s="7" t="s">
        <v>133</v>
      </c>
      <c r="G59" s="36" t="str">
        <f aca="false">_xlfn.SWITCH(I59,"","TBD",1,"YES",2,"NO",3,"NA")</f>
        <v>TBD</v>
      </c>
      <c r="I59" s="42"/>
      <c r="J59" s="10" t="s">
        <v>133</v>
      </c>
      <c r="K59" s="10"/>
      <c r="L59" s="10"/>
      <c r="M59" s="10"/>
      <c r="N59" s="10"/>
      <c r="O59" s="10"/>
      <c r="P59" s="10"/>
      <c r="Q59" s="10"/>
      <c r="R59" s="10"/>
      <c r="S59" s="10"/>
      <c r="T59" s="9"/>
      <c r="W59" s="14" t="s">
        <v>134</v>
      </c>
      <c r="X59" s="23"/>
      <c r="Y59" s="3" t="str">
        <f aca="false">IF(X59&lt;&gt;Z59,"Change","")</f>
        <v/>
      </c>
      <c r="Z59" s="27"/>
    </row>
    <row r="60" customFormat="false" ht="15.75" hidden="false" customHeight="false" outlineLevel="0" collapsed="false">
      <c r="A60" s="7" t="s">
        <v>135</v>
      </c>
      <c r="G60" s="36" t="str">
        <f aca="false">_xlfn.SWITCH(I60,"","TBD",1,"YES",2,"NO",3,"NA")</f>
        <v>TBD</v>
      </c>
      <c r="I60" s="42"/>
      <c r="J60" s="10" t="s">
        <v>135</v>
      </c>
      <c r="K60" s="10"/>
      <c r="L60" s="10"/>
      <c r="M60" s="10"/>
      <c r="N60" s="10"/>
      <c r="O60" s="10"/>
      <c r="P60" s="10"/>
      <c r="Q60" s="10"/>
      <c r="R60" s="10"/>
      <c r="S60" s="10"/>
      <c r="T60" s="9"/>
      <c r="W60" s="14" t="s">
        <v>136</v>
      </c>
      <c r="X60" s="23"/>
      <c r="Y60" s="3" t="str">
        <f aca="false">IF(X60&lt;&gt;Z60,"Change","")</f>
        <v/>
      </c>
      <c r="Z60" s="27"/>
    </row>
    <row r="61" customFormat="false" ht="15.75" hidden="false" customHeight="false" outlineLevel="0" collapsed="false">
      <c r="A61" s="7" t="s">
        <v>137</v>
      </c>
      <c r="G61" s="36" t="str">
        <f aca="false">_xlfn.SWITCH(I61,"","TBD",1,"YES",2,"NO",3,"NA")</f>
        <v>TBD</v>
      </c>
      <c r="I61" s="42"/>
      <c r="J61" s="10" t="s">
        <v>137</v>
      </c>
      <c r="K61" s="10"/>
      <c r="L61" s="10"/>
      <c r="M61" s="10"/>
      <c r="N61" s="10"/>
      <c r="O61" s="10"/>
      <c r="P61" s="10"/>
      <c r="Q61" s="10"/>
      <c r="R61" s="10"/>
      <c r="S61" s="10"/>
      <c r="T61" s="9"/>
      <c r="W61" s="14" t="s">
        <v>138</v>
      </c>
      <c r="X61" s="23"/>
      <c r="Y61" s="3" t="str">
        <f aca="false">IF(X61&lt;&gt;Z61,"Change","")</f>
        <v/>
      </c>
      <c r="Z61" s="27" t="str">
        <f aca="false">IF(Q91="","",Q91)</f>
        <v/>
      </c>
    </row>
    <row r="62" customFormat="false" ht="15.75" hidden="false" customHeight="false" outlineLevel="0" collapsed="false">
      <c r="A62" s="41" t="s">
        <v>139</v>
      </c>
      <c r="G62" s="9"/>
      <c r="I62" s="7"/>
      <c r="J62" s="10"/>
      <c r="K62" s="10"/>
      <c r="L62" s="10"/>
      <c r="M62" s="10"/>
      <c r="N62" s="10"/>
      <c r="O62" s="10"/>
      <c r="P62" s="10"/>
      <c r="Q62" s="10"/>
      <c r="R62" s="10"/>
      <c r="S62" s="10"/>
      <c r="T62" s="9"/>
      <c r="W62" s="14" t="s">
        <v>140</v>
      </c>
      <c r="X62" s="23"/>
      <c r="Y62" s="3" t="str">
        <f aca="false">IF(X62&lt;&gt;Z62,"Change","")</f>
        <v/>
      </c>
      <c r="Z62" s="27" t="str">
        <f aca="false">IF(Q92="","",Q92)</f>
        <v/>
      </c>
    </row>
    <row r="63" customFormat="false" ht="15.75" hidden="false" customHeight="false" outlineLevel="0" collapsed="false">
      <c r="A63" s="7" t="s">
        <v>141</v>
      </c>
      <c r="G63" s="36" t="str">
        <f aca="false">_xlfn.SWITCH(I64,"","TBD",1,"YES",2,"NO",3,"NA")</f>
        <v>TBD</v>
      </c>
      <c r="I63" s="41" t="s">
        <v>139</v>
      </c>
      <c r="J63" s="10"/>
      <c r="K63" s="10"/>
      <c r="L63" s="10"/>
      <c r="M63" s="10"/>
      <c r="N63" s="10"/>
      <c r="O63" s="10"/>
      <c r="P63" s="10"/>
      <c r="Q63" s="10"/>
      <c r="R63" s="10"/>
      <c r="S63" s="10"/>
      <c r="T63" s="9"/>
      <c r="W63" s="14" t="s">
        <v>142</v>
      </c>
      <c r="X63" s="23"/>
      <c r="Y63" s="3" t="str">
        <f aca="false">IF(X63&lt;&gt;Z63,"Change","")</f>
        <v/>
      </c>
      <c r="Z63" s="27" t="str">
        <f aca="false">IF(Q93="","",Q93)</f>
        <v/>
      </c>
    </row>
    <row r="64" customFormat="false" ht="15.75" hidden="false" customHeight="false" outlineLevel="0" collapsed="false">
      <c r="A64" s="7" t="s">
        <v>143</v>
      </c>
      <c r="G64" s="36" t="str">
        <f aca="false">_xlfn.SWITCH(I65,"","TBD",1,"YES",2,"NO",3,"NA")</f>
        <v>TBD</v>
      </c>
      <c r="I64" s="42"/>
      <c r="J64" s="10" t="s">
        <v>144</v>
      </c>
      <c r="K64" s="10"/>
      <c r="L64" s="10"/>
      <c r="M64" s="10"/>
      <c r="N64" s="10"/>
      <c r="O64" s="10"/>
      <c r="P64" s="10"/>
      <c r="Q64" s="10"/>
      <c r="R64" s="10"/>
      <c r="S64" s="10"/>
      <c r="T64" s="9"/>
      <c r="W64" s="14" t="s">
        <v>145</v>
      </c>
      <c r="X64" s="23"/>
      <c r="Y64" s="3" t="str">
        <f aca="false">IF(X64&lt;&gt;Z64,"Change","")</f>
        <v/>
      </c>
      <c r="Z64" s="27" t="str">
        <f aca="false">IF(Q94="","",Q94)</f>
        <v/>
      </c>
    </row>
    <row r="65" customFormat="false" ht="15.75" hidden="false" customHeight="false" outlineLevel="0" collapsed="false">
      <c r="A65" s="7" t="s">
        <v>146</v>
      </c>
      <c r="G65" s="36" t="str">
        <f aca="false">_xlfn.SWITCH(I66,"","TBD",1,"YES",2,"NO",3,"NA")</f>
        <v>TBD</v>
      </c>
      <c r="I65" s="42"/>
      <c r="J65" s="10" t="s">
        <v>143</v>
      </c>
      <c r="K65" s="10"/>
      <c r="L65" s="10"/>
      <c r="M65" s="10"/>
      <c r="N65" s="10"/>
      <c r="O65" s="10"/>
      <c r="P65" s="10"/>
      <c r="Q65" s="10"/>
      <c r="R65" s="10"/>
      <c r="S65" s="10"/>
      <c r="T65" s="9"/>
      <c r="W65" s="14" t="s">
        <v>147</v>
      </c>
      <c r="X65" s="23"/>
      <c r="Y65" s="3" t="str">
        <f aca="false">IF(X65&lt;&gt;Z65,"Change","")</f>
        <v/>
      </c>
      <c r="Z65" s="27" t="str">
        <f aca="false">IF(L98="","",L98)</f>
        <v/>
      </c>
    </row>
    <row r="66" customFormat="false" ht="15.75" hidden="false" customHeight="false" outlineLevel="0" collapsed="false">
      <c r="A66" s="7" t="s">
        <v>148</v>
      </c>
      <c r="G66" s="36" t="str">
        <f aca="false">_xlfn.SWITCH(I67,"","TBD",1,"YES",2,"NO",3,"NA")</f>
        <v>TBD</v>
      </c>
      <c r="I66" s="42"/>
      <c r="J66" s="10" t="s">
        <v>146</v>
      </c>
      <c r="K66" s="10"/>
      <c r="L66" s="10"/>
      <c r="M66" s="10"/>
      <c r="N66" s="10"/>
      <c r="O66" s="10"/>
      <c r="P66" s="10"/>
      <c r="Q66" s="10"/>
      <c r="R66" s="10"/>
      <c r="S66" s="10"/>
      <c r="T66" s="9"/>
      <c r="W66" s="14" t="s">
        <v>149</v>
      </c>
      <c r="X66" s="23"/>
      <c r="Y66" s="3" t="str">
        <f aca="false">IF(X66&lt;&gt;Z66,"Change","")</f>
        <v/>
      </c>
      <c r="Z66" s="27" t="str">
        <f aca="false">IF(O98="","",O98)</f>
        <v/>
      </c>
    </row>
    <row r="67" customFormat="false" ht="15.75" hidden="false" customHeight="false" outlineLevel="0" collapsed="false">
      <c r="A67" s="7" t="s">
        <v>150</v>
      </c>
      <c r="G67" s="36" t="str">
        <f aca="false">_xlfn.SWITCH(I68,"","TBD",1,"YES",2,"NO",3,"NA")</f>
        <v>TBD</v>
      </c>
      <c r="I67" s="42"/>
      <c r="J67" s="10" t="s">
        <v>148</v>
      </c>
      <c r="K67" s="10"/>
      <c r="L67" s="10"/>
      <c r="M67" s="10"/>
      <c r="N67" s="10"/>
      <c r="O67" s="10"/>
      <c r="P67" s="10"/>
      <c r="Q67" s="10"/>
      <c r="R67" s="10"/>
      <c r="S67" s="10"/>
      <c r="T67" s="9"/>
      <c r="W67" s="14" t="s">
        <v>151</v>
      </c>
      <c r="X67" s="23"/>
      <c r="Y67" s="3" t="str">
        <f aca="false">IF(X67&lt;&gt;Z67,"Change","")</f>
        <v/>
      </c>
      <c r="Z67" s="27" t="str">
        <f aca="false">IF(R98="","",R98)</f>
        <v/>
      </c>
    </row>
    <row r="68" customFormat="false" ht="15.75" hidden="false" customHeight="false" outlineLevel="0" collapsed="false">
      <c r="A68" s="7" t="s">
        <v>152</v>
      </c>
      <c r="G68" s="36" t="str">
        <f aca="false">_xlfn.SWITCH(I69,"","TBD",1,"YES",2,"NO",3,"NA")</f>
        <v>TBD</v>
      </c>
      <c r="I68" s="42"/>
      <c r="J68" s="10" t="s">
        <v>150</v>
      </c>
      <c r="K68" s="10"/>
      <c r="L68" s="10"/>
      <c r="M68" s="10"/>
      <c r="N68" s="10"/>
      <c r="O68" s="10"/>
      <c r="P68" s="10"/>
      <c r="Q68" s="10"/>
      <c r="R68" s="10"/>
      <c r="S68" s="10"/>
      <c r="T68" s="9"/>
      <c r="W68" s="20" t="s">
        <v>153</v>
      </c>
    </row>
    <row r="69" customFormat="false" ht="15.75" hidden="false" customHeight="false" outlineLevel="0" collapsed="false">
      <c r="A69" s="7" t="s">
        <v>154</v>
      </c>
      <c r="G69" s="36" t="str">
        <f aca="false">_xlfn.SWITCH(I70,"","TBD",1,"YES",2,"NO",3,"NA")</f>
        <v>TBD</v>
      </c>
      <c r="I69" s="42"/>
      <c r="J69" s="10" t="s">
        <v>152</v>
      </c>
      <c r="K69" s="10"/>
      <c r="L69" s="10"/>
      <c r="M69" s="10"/>
      <c r="N69" s="10"/>
      <c r="O69" s="10"/>
      <c r="P69" s="10"/>
      <c r="Q69" s="10"/>
      <c r="R69" s="10"/>
      <c r="S69" s="10"/>
      <c r="T69" s="9"/>
      <c r="W69" s="14" t="s">
        <v>155</v>
      </c>
      <c r="X69" s="23"/>
      <c r="Y69" s="3" t="str">
        <f aca="false">IF(X69&lt;&gt;Z69,"Change","")</f>
        <v/>
      </c>
      <c r="Z69" s="27" t="n">
        <f aca="false">IF(K110="","",K110)</f>
        <v>0</v>
      </c>
    </row>
    <row r="70" customFormat="false" ht="15.75" hidden="false" customHeight="false" outlineLevel="0" collapsed="false">
      <c r="A70" s="7" t="s">
        <v>156</v>
      </c>
      <c r="G70" s="36" t="str">
        <f aca="false">_xlfn.SWITCH(I71,"","TBD",1,"YES",2,"NO",3,"NA")</f>
        <v>TBD</v>
      </c>
      <c r="I70" s="42"/>
      <c r="J70" s="10" t="s">
        <v>154</v>
      </c>
      <c r="K70" s="10"/>
      <c r="L70" s="10"/>
      <c r="M70" s="10"/>
      <c r="N70" s="10"/>
      <c r="O70" s="10"/>
      <c r="P70" s="10"/>
      <c r="Q70" s="10"/>
      <c r="R70" s="10"/>
      <c r="S70" s="10"/>
      <c r="T70" s="9"/>
      <c r="W70" s="14" t="s">
        <v>157</v>
      </c>
      <c r="X70" s="23"/>
      <c r="Y70" s="3" t="str">
        <f aca="false">IF(X70&lt;&gt;Z70,"Change","")</f>
        <v/>
      </c>
      <c r="Z70" s="27" t="n">
        <f aca="false">IF(L110="","",L110)</f>
        <v>0</v>
      </c>
    </row>
    <row r="71" customFormat="false" ht="15.75" hidden="false" customHeight="false" outlineLevel="0" collapsed="false">
      <c r="A71" s="41" t="s">
        <v>158</v>
      </c>
      <c r="G71" s="9"/>
      <c r="I71" s="42"/>
      <c r="J71" s="10" t="s">
        <v>156</v>
      </c>
      <c r="K71" s="10"/>
      <c r="L71" s="10"/>
      <c r="M71" s="10"/>
      <c r="N71" s="10"/>
      <c r="O71" s="10"/>
      <c r="P71" s="10"/>
      <c r="Q71" s="10"/>
      <c r="R71" s="10"/>
      <c r="S71" s="10"/>
      <c r="T71" s="9"/>
      <c r="W71" s="14" t="s">
        <v>159</v>
      </c>
      <c r="X71" s="23"/>
      <c r="Y71" s="3" t="str">
        <f aca="false">IF(X71&lt;&gt;Z71,"Change","")</f>
        <v/>
      </c>
      <c r="Z71" s="27" t="n">
        <f aca="false">IF(M110="","",M110)</f>
        <v>0</v>
      </c>
    </row>
    <row r="72" customFormat="false" ht="15.75" hidden="false" customHeight="false" outlineLevel="0" collapsed="false">
      <c r="A72" s="7" t="s">
        <v>160</v>
      </c>
      <c r="G72" s="36" t="str">
        <f aca="false">_xlfn.SWITCH(I74,"","TBD",1,"YES",2,"NO",3,"NA")</f>
        <v>TBD</v>
      </c>
      <c r="I72" s="7"/>
      <c r="J72" s="10"/>
      <c r="K72" s="10"/>
      <c r="L72" s="10"/>
      <c r="M72" s="10"/>
      <c r="N72" s="10"/>
      <c r="O72" s="10"/>
      <c r="P72" s="10"/>
      <c r="Q72" s="10"/>
      <c r="R72" s="10"/>
      <c r="S72" s="10"/>
      <c r="T72" s="9"/>
      <c r="W72" s="14" t="s">
        <v>155</v>
      </c>
      <c r="X72" s="23"/>
      <c r="Y72" s="3" t="str">
        <f aca="false">IF(X72&lt;&gt;Z72,"Change","")</f>
        <v/>
      </c>
      <c r="Z72" s="27" t="n">
        <f aca="false">IF(N110="","",N110)</f>
        <v>0</v>
      </c>
    </row>
    <row r="73" customFormat="false" ht="15.75" hidden="false" customHeight="false" outlineLevel="0" collapsed="false">
      <c r="A73" s="7" t="s">
        <v>161</v>
      </c>
      <c r="G73" s="36" t="str">
        <f aca="false">_xlfn.SWITCH(I75,"","TBD",1,"YES",2,"NO",3,"NA")</f>
        <v>TBD</v>
      </c>
      <c r="I73" s="41" t="s">
        <v>158</v>
      </c>
      <c r="J73" s="10"/>
      <c r="K73" s="10"/>
      <c r="L73" s="10"/>
      <c r="M73" s="10"/>
      <c r="N73" s="10"/>
      <c r="O73" s="10"/>
      <c r="P73" s="10"/>
      <c r="Q73" s="10"/>
      <c r="R73" s="10"/>
      <c r="S73" s="10"/>
      <c r="T73" s="9"/>
      <c r="W73" s="14" t="s">
        <v>157</v>
      </c>
      <c r="X73" s="23"/>
      <c r="Y73" s="3" t="str">
        <f aca="false">IF(X73&lt;&gt;Z73,"Change","")</f>
        <v/>
      </c>
      <c r="Z73" s="27" t="n">
        <f aca="false">IF(O110="","",O110)</f>
        <v>0</v>
      </c>
    </row>
    <row r="74" customFormat="false" ht="15.75" hidden="false" customHeight="false" outlineLevel="0" collapsed="false">
      <c r="A74" s="7" t="s">
        <v>162</v>
      </c>
      <c r="G74" s="36" t="str">
        <f aca="false">_xlfn.SWITCH(I76,"","TBD",1,"YES",2,"NO",3,"NA")</f>
        <v>TBD</v>
      </c>
      <c r="I74" s="42"/>
      <c r="J74" s="10" t="s">
        <v>160</v>
      </c>
      <c r="K74" s="10"/>
      <c r="L74" s="10"/>
      <c r="M74" s="10"/>
      <c r="N74" s="10"/>
      <c r="O74" s="10"/>
      <c r="P74" s="10"/>
      <c r="Q74" s="10"/>
      <c r="R74" s="10"/>
      <c r="S74" s="10"/>
      <c r="T74" s="9"/>
      <c r="W74" s="14" t="s">
        <v>159</v>
      </c>
      <c r="X74" s="23"/>
      <c r="Y74" s="3" t="str">
        <f aca="false">IF(X74&lt;&gt;Z74,"Change","")</f>
        <v/>
      </c>
      <c r="Z74" s="27" t="n">
        <f aca="false">IF(P110="","",P110)</f>
        <v>0</v>
      </c>
    </row>
    <row r="75" customFormat="false" ht="15.75" hidden="false" customHeight="false" outlineLevel="0" collapsed="false">
      <c r="A75" s="7" t="s">
        <v>163</v>
      </c>
      <c r="G75" s="36" t="str">
        <f aca="false">_xlfn.SWITCH(I77,"","TBD",1,"YES",2,"NO",3,"NA")</f>
        <v>TBD</v>
      </c>
      <c r="I75" s="42"/>
      <c r="J75" s="10" t="s">
        <v>161</v>
      </c>
      <c r="K75" s="10"/>
      <c r="L75" s="10"/>
      <c r="M75" s="10"/>
      <c r="N75" s="10"/>
      <c r="O75" s="10"/>
      <c r="P75" s="10"/>
      <c r="Q75" s="10"/>
      <c r="R75" s="10"/>
      <c r="S75" s="10"/>
      <c r="T75" s="9"/>
      <c r="W75" s="14" t="s">
        <v>155</v>
      </c>
      <c r="X75" s="23"/>
      <c r="Y75" s="3" t="str">
        <f aca="false">IF(X75&lt;&gt;Z75,"Change","")</f>
        <v/>
      </c>
      <c r="Z75" s="27" t="n">
        <f aca="false">IF(Q110="","",Q110)</f>
        <v>0</v>
      </c>
    </row>
    <row r="76" customFormat="false" ht="15.75" hidden="false" customHeight="false" outlineLevel="0" collapsed="false">
      <c r="A76" s="7" t="s">
        <v>164</v>
      </c>
      <c r="G76" s="36" t="str">
        <f aca="false">_xlfn.SWITCH(I78,"","TBD",1,"YES",2,"NO",3,"NA")</f>
        <v>TBD</v>
      </c>
      <c r="I76" s="42"/>
      <c r="J76" s="10" t="s">
        <v>162</v>
      </c>
      <c r="K76" s="10"/>
      <c r="L76" s="10"/>
      <c r="M76" s="10"/>
      <c r="N76" s="10"/>
      <c r="O76" s="10"/>
      <c r="P76" s="10"/>
      <c r="Q76" s="10"/>
      <c r="R76" s="10"/>
      <c r="S76" s="10"/>
      <c r="T76" s="9"/>
      <c r="W76" s="14" t="s">
        <v>157</v>
      </c>
      <c r="X76" s="23"/>
      <c r="Y76" s="3" t="str">
        <f aca="false">IF(X76&lt;&gt;Z76,"Change","")</f>
        <v/>
      </c>
      <c r="Z76" s="27" t="n">
        <f aca="false">IF(Q110="","",R110)</f>
        <v>0</v>
      </c>
    </row>
    <row r="77" customFormat="false" ht="15.75" hidden="false" customHeight="false" outlineLevel="0" collapsed="false">
      <c r="A77" s="7" t="str">
        <f aca="false">J79</f>
        <v>Unit installed as shown on shielding plan</v>
      </c>
      <c r="G77" s="36" t="str">
        <f aca="false">_xlfn.SWITCH(I79,"","TBD",1,"YES",2,"NO",3,"NA")</f>
        <v>TBD</v>
      </c>
      <c r="I77" s="42"/>
      <c r="J77" s="10" t="s">
        <v>163</v>
      </c>
      <c r="K77" s="10"/>
      <c r="L77" s="10"/>
      <c r="M77" s="10"/>
      <c r="N77" s="10"/>
      <c r="O77" s="10"/>
      <c r="P77" s="10"/>
      <c r="Q77" s="10"/>
      <c r="R77" s="10"/>
      <c r="S77" s="10"/>
      <c r="T77" s="9"/>
      <c r="W77" s="14" t="s">
        <v>159</v>
      </c>
      <c r="X77" s="23"/>
      <c r="Y77" s="3" t="str">
        <f aca="false">IF(X77&lt;&gt;Z77,"Change","")</f>
        <v/>
      </c>
      <c r="Z77" s="27" t="n">
        <f aca="false">IF(S110="","",S110)</f>
        <v>0</v>
      </c>
    </row>
    <row r="78" customFormat="false" ht="15.75" hidden="false" customHeight="false" outlineLevel="0" collapsed="false">
      <c r="A78" s="41" t="s">
        <v>165</v>
      </c>
      <c r="B78" s="0"/>
      <c r="C78" s="0"/>
      <c r="D78" s="0"/>
      <c r="E78" s="0"/>
      <c r="F78" s="0"/>
      <c r="G78" s="55"/>
      <c r="I78" s="42"/>
      <c r="J78" s="10" t="s">
        <v>164</v>
      </c>
      <c r="K78" s="10"/>
      <c r="L78" s="10"/>
      <c r="M78" s="10"/>
      <c r="N78" s="10"/>
      <c r="O78" s="10"/>
      <c r="P78" s="10"/>
      <c r="Q78" s="10"/>
      <c r="R78" s="10"/>
      <c r="S78" s="10"/>
      <c r="T78" s="9"/>
      <c r="W78" s="20" t="s">
        <v>166</v>
      </c>
    </row>
    <row r="79" customFormat="false" ht="15.75" hidden="false" customHeight="false" outlineLevel="0" collapsed="false">
      <c r="A79" s="7" t="s">
        <v>167</v>
      </c>
      <c r="B79" s="0"/>
      <c r="C79" s="0"/>
      <c r="D79" s="0"/>
      <c r="E79" s="0"/>
      <c r="F79" s="0"/>
      <c r="G79" s="36" t="str">
        <f aca="false">_xlfn.SWITCH(I82,"","TBD",1,"YES",2,"NO",3,"NA")</f>
        <v>TBD</v>
      </c>
      <c r="I79" s="42"/>
      <c r="J79" s="10" t="str">
        <f aca="false">IF(OR(I35="",I35=1),"Unit installed as shown on shielding plan","")</f>
        <v>Unit installed as shown on shielding plan</v>
      </c>
      <c r="K79" s="10"/>
      <c r="L79" s="10"/>
      <c r="M79" s="10"/>
      <c r="N79" s="10"/>
      <c r="O79" s="10"/>
      <c r="P79" s="10"/>
      <c r="Q79" s="10"/>
      <c r="R79" s="10"/>
      <c r="S79" s="10"/>
      <c r="T79" s="9"/>
      <c r="W79" s="14" t="s">
        <v>168</v>
      </c>
      <c r="X79" s="23"/>
      <c r="Y79" s="3" t="str">
        <f aca="false">IF(X79&lt;&gt;Z79,"Change","")</f>
        <v>Change</v>
      </c>
      <c r="Z79" s="27" t="n">
        <f aca="false">IF(HVL_KV="","",HVL_KV)</f>
        <v>80</v>
      </c>
    </row>
    <row r="80" customFormat="false" ht="15.75" hidden="false" customHeight="false" outlineLevel="0" collapsed="false">
      <c r="A80" s="7" t="s">
        <v>169</v>
      </c>
      <c r="B80" s="0"/>
      <c r="C80" s="0"/>
      <c r="D80" s="0"/>
      <c r="E80" s="0"/>
      <c r="F80" s="0"/>
      <c r="G80" s="36" t="str">
        <f aca="false">_xlfn.SWITCH(I83,"","TBD",1,"YES",2,"NO",3,"NA")</f>
        <v>TBD</v>
      </c>
      <c r="I80" s="7"/>
      <c r="J80" s="10"/>
      <c r="K80" s="10"/>
      <c r="L80" s="10"/>
      <c r="M80" s="10"/>
      <c r="N80" s="10"/>
      <c r="O80" s="10"/>
      <c r="P80" s="10"/>
      <c r="Q80" s="10"/>
      <c r="R80" s="10"/>
      <c r="S80" s="10"/>
      <c r="T80" s="9"/>
      <c r="W80" s="14" t="s">
        <v>170</v>
      </c>
      <c r="X80" s="23"/>
      <c r="Y80" s="3" t="str">
        <f aca="false">IF(X80&lt;&gt;Z80,"Change","")</f>
        <v>Change</v>
      </c>
      <c r="Z80" s="27" t="str">
        <f aca="false">IF(HVL="","",HVL)</f>
        <v>TBD</v>
      </c>
    </row>
    <row r="81" customFormat="false" ht="15.75" hidden="false" customHeight="false" outlineLevel="0" collapsed="false">
      <c r="A81" s="7" t="s">
        <v>171</v>
      </c>
      <c r="B81" s="0"/>
      <c r="C81" s="0"/>
      <c r="D81" s="0"/>
      <c r="E81" s="0"/>
      <c r="F81" s="0"/>
      <c r="G81" s="36" t="str">
        <f aca="false">_xlfn.SWITCH(I84,"","TBD",1,"YES",2,"NO",3,"NA")</f>
        <v>TBD</v>
      </c>
      <c r="I81" s="41" t="s">
        <v>165</v>
      </c>
      <c r="J81" s="10"/>
      <c r="K81" s="10"/>
      <c r="L81" s="10"/>
      <c r="M81" s="10"/>
      <c r="N81" s="10"/>
      <c r="O81" s="10"/>
      <c r="P81" s="10"/>
      <c r="Q81" s="10"/>
      <c r="R81" s="10"/>
      <c r="S81" s="10"/>
      <c r="T81" s="9"/>
      <c r="W81" s="20" t="s">
        <v>172</v>
      </c>
    </row>
    <row r="82" customFormat="false" ht="15.75" hidden="false" customHeight="false" outlineLevel="0" collapsed="false">
      <c r="A82" s="7" t="s">
        <v>173</v>
      </c>
      <c r="B82" s="0"/>
      <c r="C82" s="0"/>
      <c r="D82" s="0"/>
      <c r="E82" s="0"/>
      <c r="F82" s="0"/>
      <c r="G82" s="36" t="str">
        <f aca="false">_xlfn.SWITCH(I85,"","TBD",1,"YES",2,"NO",3,"NA")</f>
        <v>TBD</v>
      </c>
      <c r="I82" s="42"/>
      <c r="J82" s="10" t="s">
        <v>167</v>
      </c>
      <c r="K82" s="10"/>
      <c r="L82" s="10"/>
      <c r="M82" s="10"/>
      <c r="N82" s="10"/>
      <c r="O82" s="10"/>
      <c r="P82" s="10"/>
      <c r="Q82" s="10"/>
      <c r="R82" s="10"/>
      <c r="S82" s="10"/>
      <c r="T82" s="9"/>
      <c r="W82" s="14" t="s">
        <v>174</v>
      </c>
      <c r="X82" s="23"/>
      <c r="Y82" s="3" t="str">
        <f aca="false">IF(X82&lt;&gt;Z82,"Change","")</f>
        <v/>
      </c>
      <c r="Z82" s="27" t="n">
        <f aca="false">IF(N171="","",N171)</f>
        <v>0</v>
      </c>
    </row>
    <row r="83" customFormat="false" ht="15.75" hidden="false" customHeight="false" outlineLevel="0" collapsed="false">
      <c r="A83" s="7" t="s">
        <v>175</v>
      </c>
      <c r="B83" s="0"/>
      <c r="C83" s="0"/>
      <c r="D83" s="0"/>
      <c r="E83" s="0"/>
      <c r="F83" s="0"/>
      <c r="G83" s="36" t="str">
        <f aca="false">_xlfn.SWITCH(I86,"","TBD",1,"YES",2,"NO",3,"NA")</f>
        <v>TBD</v>
      </c>
      <c r="I83" s="42"/>
      <c r="J83" s="10" t="s">
        <v>169</v>
      </c>
      <c r="K83" s="10"/>
      <c r="L83" s="10"/>
      <c r="M83" s="10"/>
      <c r="N83" s="10"/>
      <c r="O83" s="10"/>
      <c r="P83" s="10"/>
      <c r="Q83" s="10"/>
      <c r="R83" s="10"/>
      <c r="S83" s="10"/>
      <c r="T83" s="9"/>
      <c r="W83" s="14" t="s">
        <v>176</v>
      </c>
      <c r="X83" s="23"/>
      <c r="Y83" s="3" t="str">
        <f aca="false">IF(X83&lt;&gt;Z83,"Change","")</f>
        <v/>
      </c>
      <c r="Z83" s="27" t="str">
        <f aca="false">IF(O174="","",O174)</f>
        <v/>
      </c>
    </row>
    <row r="84" customFormat="false" ht="15.75" hidden="false" customHeight="false" outlineLevel="0" collapsed="false">
      <c r="A84" s="15" t="s">
        <v>177</v>
      </c>
      <c r="B84" s="56"/>
      <c r="C84" s="56"/>
      <c r="D84" s="56"/>
      <c r="E84" s="56"/>
      <c r="F84" s="56"/>
      <c r="G84" s="57" t="str">
        <f aca="false">_xlfn.SWITCH(I87,"","TBD",1,"YES",2,"NO",3,"NA")</f>
        <v>TBD</v>
      </c>
      <c r="I84" s="42"/>
      <c r="J84" s="10" t="s">
        <v>171</v>
      </c>
      <c r="K84" s="10"/>
      <c r="L84" s="10"/>
      <c r="M84" s="10"/>
      <c r="N84" s="10"/>
      <c r="O84" s="10"/>
      <c r="P84" s="10"/>
      <c r="Q84" s="10"/>
      <c r="R84" s="10"/>
      <c r="S84" s="10"/>
      <c r="T84" s="9"/>
      <c r="W84" s="14" t="s">
        <v>178</v>
      </c>
      <c r="X84" s="23"/>
      <c r="Y84" s="3" t="str">
        <f aca="false">IF(X84&lt;&gt;Z84,"Change","")</f>
        <v/>
      </c>
      <c r="Z84" s="27" t="str">
        <f aca="false">IF(O175="","",O175)</f>
        <v/>
      </c>
    </row>
    <row r="85" customFormat="false" ht="15.75" hidden="false" customHeight="false" outlineLevel="0" collapsed="false">
      <c r="A85" s="47" t="s">
        <v>7</v>
      </c>
      <c r="B85" s="48" t="str">
        <f aca="false">IF($K$6="","",$K$6)</f>
        <v/>
      </c>
      <c r="F85" s="47" t="s">
        <v>8</v>
      </c>
      <c r="G85" s="49" t="str">
        <f aca="false">IF($R$6="","",$R$6)</f>
        <v/>
      </c>
      <c r="I85" s="42"/>
      <c r="J85" s="10" t="s">
        <v>173</v>
      </c>
      <c r="K85" s="10"/>
      <c r="L85" s="10"/>
      <c r="M85" s="10"/>
      <c r="N85" s="10"/>
      <c r="O85" s="10"/>
      <c r="P85" s="10"/>
      <c r="Q85" s="10"/>
      <c r="R85" s="10"/>
      <c r="S85" s="10"/>
      <c r="T85" s="9"/>
      <c r="W85" s="14" t="s">
        <v>179</v>
      </c>
      <c r="X85" s="23"/>
      <c r="Y85" s="3" t="str">
        <f aca="false">IF(X85&lt;&gt;Z85,"Change","")</f>
        <v/>
      </c>
      <c r="Z85" s="27" t="str">
        <f aca="false">IF(P174="","",P174)</f>
        <v/>
      </c>
    </row>
    <row r="86" customFormat="false" ht="15.75" hidden="false" customHeight="false" outlineLevel="0" collapsed="false">
      <c r="A86" s="47" t="s">
        <v>99</v>
      </c>
      <c r="B86" s="50" t="str">
        <f aca="false">IF($K$14="","",$K$14)</f>
        <v/>
      </c>
      <c r="F86" s="47" t="s">
        <v>29</v>
      </c>
      <c r="G86" s="50" t="str">
        <f aca="false">IF($K$13="","",$K$13)</f>
        <v/>
      </c>
      <c r="I86" s="42"/>
      <c r="J86" s="10" t="s">
        <v>175</v>
      </c>
      <c r="K86" s="10"/>
      <c r="L86" s="10"/>
      <c r="M86" s="10"/>
      <c r="N86" s="10"/>
      <c r="O86" s="10"/>
      <c r="P86" s="10"/>
      <c r="Q86" s="10"/>
      <c r="R86" s="10"/>
      <c r="S86" s="10"/>
      <c r="T86" s="9"/>
      <c r="W86" s="14" t="s">
        <v>180</v>
      </c>
      <c r="X86" s="23"/>
      <c r="Y86" s="3" t="str">
        <f aca="false">IF(X86&lt;&gt;Z86,"Change","")</f>
        <v/>
      </c>
      <c r="Z86" s="27" t="str">
        <f aca="false">IF(P175="","",P175)</f>
        <v/>
      </c>
    </row>
    <row r="87" customFormat="false" ht="15.75" hidden="false" customHeight="false" outlineLevel="0" collapsed="false">
      <c r="G87" s="51" t="str">
        <f aca="false">$D$2</f>
        <v>Medical University of South Carolina</v>
      </c>
      <c r="I87" s="42"/>
      <c r="J87" s="10" t="s">
        <v>177</v>
      </c>
      <c r="K87" s="10"/>
      <c r="L87" s="10"/>
      <c r="M87" s="10"/>
      <c r="N87" s="10"/>
      <c r="O87" s="10"/>
      <c r="P87" s="10"/>
      <c r="Q87" s="10"/>
      <c r="R87" s="10"/>
      <c r="S87" s="10"/>
      <c r="T87" s="9"/>
      <c r="W87" s="20" t="s">
        <v>181</v>
      </c>
    </row>
    <row r="88" customFormat="false" ht="15.75" hidden="false" customHeight="false" outlineLevel="0" collapsed="false">
      <c r="G88" s="52" t="str">
        <f aca="false">$D$5</f>
        <v>O-Arm System Compliance Inspection</v>
      </c>
      <c r="I88" s="15"/>
      <c r="J88" s="16"/>
      <c r="K88" s="16"/>
      <c r="L88" s="16"/>
      <c r="M88" s="16"/>
      <c r="N88" s="16"/>
      <c r="O88" s="16"/>
      <c r="P88" s="16"/>
      <c r="Q88" s="16"/>
      <c r="R88" s="16"/>
      <c r="S88" s="16"/>
      <c r="T88" s="18"/>
      <c r="W88" s="14" t="str">
        <f aca="false">$K$99&amp;" Normal:"</f>
        <v> Normal:</v>
      </c>
      <c r="X88" s="23"/>
      <c r="Y88" s="3" t="str">
        <f aca="false">IF(X88&lt;&gt;Z88,"Change","")</f>
        <v/>
      </c>
      <c r="Z88" s="27" t="str">
        <f aca="false">IF(N186="","",N186)</f>
        <v/>
      </c>
    </row>
    <row r="89" customFormat="false" ht="15.75" hidden="false" customHeight="false" outlineLevel="0" collapsed="false">
      <c r="A89" s="58" t="s">
        <v>182</v>
      </c>
      <c r="I89" s="4"/>
      <c r="J89" s="5"/>
      <c r="K89" s="5"/>
      <c r="L89" s="5"/>
      <c r="M89" s="5"/>
      <c r="N89" s="5"/>
      <c r="O89" s="5"/>
      <c r="P89" s="5"/>
      <c r="Q89" s="5"/>
      <c r="R89" s="5"/>
      <c r="S89" s="5"/>
      <c r="T89" s="6"/>
      <c r="W89" s="14" t="str">
        <f aca="false">$K$99&amp;" Mag 1:"</f>
        <v> Mag 1:</v>
      </c>
      <c r="X89" s="23"/>
      <c r="Y89" s="3" t="str">
        <f aca="false">IF(X89&lt;&gt;Z89,"Change","")</f>
        <v/>
      </c>
      <c r="Z89" s="27" t="str">
        <f aca="false">IF(N187="","",N187)</f>
        <v/>
      </c>
    </row>
    <row r="90" customFormat="false" ht="15.75" hidden="false" customHeight="false" outlineLevel="0" collapsed="false">
      <c r="A90" s="59" t="s">
        <v>183</v>
      </c>
      <c r="B90" s="60" t="s">
        <v>184</v>
      </c>
      <c r="I90" s="41" t="s">
        <v>185</v>
      </c>
      <c r="J90" s="10"/>
      <c r="K90" s="10"/>
      <c r="L90" s="10"/>
      <c r="M90" s="10"/>
      <c r="N90" s="10"/>
      <c r="O90" s="10"/>
      <c r="P90" s="10"/>
      <c r="Q90" s="10"/>
      <c r="R90" s="10"/>
      <c r="S90" s="10"/>
      <c r="T90" s="9"/>
      <c r="W90" s="14" t="str">
        <f aca="false">$K$99&amp;" Mag 2:"</f>
        <v> Mag 2:</v>
      </c>
      <c r="X90" s="23"/>
      <c r="Y90" s="3" t="str">
        <f aca="false">IF(X90&lt;&gt;Z90,"Change","")</f>
        <v/>
      </c>
      <c r="Z90" s="27" t="str">
        <f aca="false">IF(N188="","",N188)</f>
        <v/>
      </c>
    </row>
    <row r="91" customFormat="false" ht="15.75" hidden="false" customHeight="false" outlineLevel="0" collapsed="false">
      <c r="A91" s="59" t="s">
        <v>186</v>
      </c>
      <c r="B91" s="60" t="s">
        <v>187</v>
      </c>
      <c r="C91" s="61" t="str">
        <f aca="false">K98</f>
        <v/>
      </c>
      <c r="D91" s="61"/>
      <c r="E91" s="61"/>
      <c r="I91" s="38" t="str">
        <f aca="false">IF(J91&lt;&gt;"",J91,IF(X56="","",X56))</f>
        <v/>
      </c>
      <c r="J91" s="39"/>
      <c r="K91" s="10" t="s">
        <v>188</v>
      </c>
      <c r="L91" s="10"/>
      <c r="M91" s="10"/>
      <c r="N91" s="10"/>
      <c r="O91" s="10"/>
      <c r="P91" s="40" t="str">
        <f aca="false">IF(Q91&lt;&gt;"",Q91,IF(X61="","",X61))</f>
        <v/>
      </c>
      <c r="Q91" s="39"/>
      <c r="R91" s="10" t="s">
        <v>189</v>
      </c>
      <c r="S91" s="10"/>
      <c r="T91" s="9"/>
      <c r="W91" s="14" t="str">
        <f aca="false">$N$99&amp;" Normal:"</f>
        <v> Normal:</v>
      </c>
      <c r="X91" s="23"/>
      <c r="Y91" s="3" t="str">
        <f aca="false">IF(X91&lt;&gt;Z91,"Change","")</f>
        <v/>
      </c>
      <c r="Z91" s="27" t="str">
        <f aca="false">IF(N189="","",N189)</f>
        <v/>
      </c>
    </row>
    <row r="92" customFormat="false" ht="15.75" hidden="false" customHeight="false" outlineLevel="0" collapsed="false">
      <c r="A92" s="59" t="s">
        <v>190</v>
      </c>
      <c r="B92" s="60" t="s">
        <v>190</v>
      </c>
      <c r="C92" s="62" t="s">
        <v>191</v>
      </c>
      <c r="D92" s="13" t="s">
        <v>192</v>
      </c>
      <c r="E92" s="63" t="s">
        <v>193</v>
      </c>
      <c r="I92" s="38" t="str">
        <f aca="false">IF(J92&lt;&gt;"",J92,IF(X57="","",X57))</f>
        <v/>
      </c>
      <c r="J92" s="39"/>
      <c r="K92" s="10" t="s">
        <v>194</v>
      </c>
      <c r="L92" s="10"/>
      <c r="M92" s="10"/>
      <c r="N92" s="10"/>
      <c r="O92" s="10"/>
      <c r="P92" s="40" t="str">
        <f aca="false">IF(Q92&lt;&gt;"",Q92,IF(X62="","",X62))</f>
        <v/>
      </c>
      <c r="Q92" s="39"/>
      <c r="R92" s="10" t="s">
        <v>195</v>
      </c>
      <c r="S92" s="10"/>
      <c r="T92" s="9"/>
      <c r="W92" s="14" t="str">
        <f aca="false">$N$99&amp;" Mag 1:"</f>
        <v> Mag 1:</v>
      </c>
      <c r="X92" s="23"/>
      <c r="Y92" s="3" t="str">
        <f aca="false">IF(X92&lt;&gt;Z92,"Change","")</f>
        <v/>
      </c>
      <c r="Z92" s="27" t="str">
        <f aca="false">IF(N190="","",N190)</f>
        <v/>
      </c>
    </row>
    <row r="93" customFormat="false" ht="15.75" hidden="false" customHeight="false" outlineLevel="0" collapsed="false">
      <c r="A93" s="64" t="str">
        <f aca="false">I102&amp;"  "&amp;$I$95</f>
        <v>  cm</v>
      </c>
      <c r="B93" s="65" t="n">
        <v>10</v>
      </c>
      <c r="C93" s="66" t="n">
        <f aca="false">IF(K101="","",K101)</f>
        <v>0</v>
      </c>
      <c r="D93" s="66" t="n">
        <f aca="false">IF(L101="","",L101)</f>
        <v>0</v>
      </c>
      <c r="E93" s="66" t="n">
        <f aca="false">IF(M101="","",M101)</f>
        <v>0</v>
      </c>
      <c r="I93" s="38" t="str">
        <f aca="false">IF(J93&lt;&gt;"",J93,IF(X58="","",X58))</f>
        <v/>
      </c>
      <c r="J93" s="39"/>
      <c r="K93" s="10" t="s">
        <v>196</v>
      </c>
      <c r="L93" s="10"/>
      <c r="M93" s="10"/>
      <c r="N93" s="10"/>
      <c r="O93" s="10"/>
      <c r="P93" s="67" t="str">
        <f aca="false">IF(Q93&lt;&gt;"",Q93,IF(X63="","",X63))</f>
        <v/>
      </c>
      <c r="Q93" s="68"/>
      <c r="R93" s="10" t="s">
        <v>197</v>
      </c>
      <c r="S93" s="10"/>
      <c r="T93" s="9"/>
      <c r="W93" s="14" t="str">
        <f aca="false">$N$99&amp;" Mag 2:"</f>
        <v> Mag 2:</v>
      </c>
      <c r="X93" s="23"/>
      <c r="Y93" s="3" t="str">
        <f aca="false">IF(X93&lt;&gt;Z93,"Change","")</f>
        <v/>
      </c>
      <c r="Z93" s="27" t="str">
        <f aca="false">IF(N191="","",N191)</f>
        <v/>
      </c>
    </row>
    <row r="94" customFormat="false" ht="15.75" hidden="false" customHeight="false" outlineLevel="0" collapsed="false">
      <c r="A94" s="64"/>
      <c r="B94" s="69" t="n">
        <v>20</v>
      </c>
      <c r="C94" s="66" t="n">
        <f aca="false">IF(K102="","",K102)</f>
        <v>0</v>
      </c>
      <c r="D94" s="66" t="n">
        <f aca="false">IF(L102="","",L102)</f>
        <v>0</v>
      </c>
      <c r="E94" s="66" t="n">
        <f aca="false">IF(M102="","",M102)</f>
        <v>0</v>
      </c>
      <c r="I94" s="38" t="str">
        <f aca="false">IF(J94&lt;&gt;"",J94,IF(X59="","",X59))</f>
        <v/>
      </c>
      <c r="J94" s="39"/>
      <c r="K94" s="10" t="s">
        <v>198</v>
      </c>
      <c r="L94" s="10"/>
      <c r="M94" s="10"/>
      <c r="N94" s="10"/>
      <c r="O94" s="10"/>
      <c r="P94" s="67" t="str">
        <f aca="false">IF(Q94&lt;&gt;"",Q94,IF(X64="","",X64))</f>
        <v/>
      </c>
      <c r="Q94" s="68"/>
      <c r="R94" s="10" t="s">
        <v>199</v>
      </c>
      <c r="S94" s="10"/>
      <c r="T94" s="9"/>
      <c r="W94" s="14" t="str">
        <f aca="false">$Q$99&amp;" Normal:"</f>
        <v> Normal:</v>
      </c>
      <c r="X94" s="23"/>
      <c r="Y94" s="3" t="str">
        <f aca="false">IF(X94&lt;&gt;Z94,"Change","")</f>
        <v/>
      </c>
      <c r="Z94" s="27" t="str">
        <f aca="false">IF(N192="","",N192)</f>
        <v/>
      </c>
    </row>
    <row r="95" customFormat="false" ht="15.75" hidden="false" customHeight="false" outlineLevel="0" collapsed="false">
      <c r="A95" s="64"/>
      <c r="B95" s="70" t="n">
        <v>30</v>
      </c>
      <c r="C95" s="66" t="n">
        <f aca="false">IF(K103="","",K103)</f>
        <v>0</v>
      </c>
      <c r="D95" s="66" t="n">
        <f aca="false">IF(L103="","",L103)</f>
        <v>0</v>
      </c>
      <c r="E95" s="66" t="n">
        <f aca="false">IF(M103="","",M103)</f>
        <v>0</v>
      </c>
      <c r="I95" s="38" t="str">
        <f aca="false">IF(J95&lt;&gt;"",J95,IF(X60="","",X60))</f>
        <v>cm</v>
      </c>
      <c r="J95" s="39" t="s">
        <v>200</v>
      </c>
      <c r="K95" s="10" t="s">
        <v>201</v>
      </c>
      <c r="L95" s="10"/>
      <c r="M95" s="10"/>
      <c r="N95" s="10"/>
      <c r="O95" s="10"/>
      <c r="P95" s="10"/>
      <c r="Q95" s="10"/>
      <c r="R95" s="10"/>
      <c r="S95" s="10"/>
      <c r="T95" s="9"/>
      <c r="W95" s="14" t="str">
        <f aca="false">$Q$99&amp;" Mag 1:"</f>
        <v> Mag 1:</v>
      </c>
      <c r="X95" s="23"/>
      <c r="Y95" s="3" t="str">
        <f aca="false">IF(X95&lt;&gt;Z95,"Change","")</f>
        <v/>
      </c>
      <c r="Z95" s="27" t="str">
        <f aca="false">IF(N193="","",N193)</f>
        <v/>
      </c>
    </row>
    <row r="96" customFormat="false" ht="15.75" hidden="false" customHeight="false" outlineLevel="0" collapsed="false">
      <c r="A96" s="64" t="str">
        <f aca="false">I105&amp;"  "&amp;$I$95</f>
        <v>  cm</v>
      </c>
      <c r="B96" s="65" t="n">
        <v>10</v>
      </c>
      <c r="C96" s="66" t="n">
        <f aca="false">IF(K104="","",K104)</f>
        <v>0</v>
      </c>
      <c r="D96" s="66" t="n">
        <f aca="false">IF(L104="","",L104)</f>
        <v>0</v>
      </c>
      <c r="E96" s="66" t="n">
        <f aca="false">IF(M104="","",M104)</f>
        <v>0</v>
      </c>
      <c r="I96" s="71" t="str">
        <f aca="false">IF(AND(I93&gt;2,I94=1),"NOTE:  Record data for lowest and highest regular dose rate settings, and the ""High Level"" setting",IF(AND(I93&gt;2,I94=2),"NOTE:  Record data for lowest, medium, and highest regular dose rate settings.","Blank"))</f>
        <v>Blank</v>
      </c>
      <c r="J96" s="10"/>
      <c r="K96" s="10"/>
      <c r="L96" s="10"/>
      <c r="M96" s="10"/>
      <c r="N96" s="10"/>
      <c r="O96" s="10"/>
      <c r="P96" s="10"/>
      <c r="Q96" s="10"/>
      <c r="R96" s="10"/>
      <c r="S96" s="10"/>
      <c r="T96" s="9"/>
      <c r="W96" s="14" t="str">
        <f aca="false">$Q$99&amp;" Mag 2:"</f>
        <v> Mag 2:</v>
      </c>
      <c r="X96" s="23"/>
      <c r="Y96" s="3" t="str">
        <f aca="false">IF(X96&lt;&gt;Z96,"Change","")</f>
        <v/>
      </c>
      <c r="Z96" s="27" t="str">
        <f aca="false">IF(N194="","",N194)</f>
        <v/>
      </c>
    </row>
    <row r="97" customFormat="false" ht="15.75" hidden="false" customHeight="false" outlineLevel="0" collapsed="false">
      <c r="A97" s="64"/>
      <c r="B97" s="69" t="n">
        <v>20</v>
      </c>
      <c r="C97" s="66" t="n">
        <f aca="false">IF(K105="","",K105)</f>
        <v>0</v>
      </c>
      <c r="D97" s="66" t="n">
        <f aca="false">IF(L105="","",L105)</f>
        <v>0</v>
      </c>
      <c r="E97" s="66" t="n">
        <f aca="false">IF(M105="","",M105)</f>
        <v>0</v>
      </c>
      <c r="I97" s="58" t="s">
        <v>182</v>
      </c>
      <c r="J97" s="10"/>
      <c r="K97" s="10"/>
      <c r="L97" s="10"/>
      <c r="M97" s="10"/>
      <c r="N97" s="10"/>
      <c r="O97" s="10"/>
      <c r="P97" s="10"/>
      <c r="Q97" s="10"/>
      <c r="R97" s="10"/>
      <c r="S97" s="10"/>
      <c r="T97" s="9"/>
      <c r="W97" s="20" t="s">
        <v>202</v>
      </c>
    </row>
    <row r="98" customFormat="false" ht="15.75" hidden="false" customHeight="false" outlineLevel="0" collapsed="false">
      <c r="A98" s="64"/>
      <c r="B98" s="70" t="n">
        <v>30</v>
      </c>
      <c r="C98" s="66" t="n">
        <f aca="false">IF(K106="","",K106)</f>
        <v>0</v>
      </c>
      <c r="D98" s="66" t="n">
        <f aca="false">IF(L106="","",L106)</f>
        <v>0</v>
      </c>
      <c r="E98" s="66" t="n">
        <f aca="false">IF(M106="","",M106)</f>
        <v>0</v>
      </c>
      <c r="I98" s="59" t="s">
        <v>183</v>
      </c>
      <c r="J98" s="60" t="s">
        <v>184</v>
      </c>
      <c r="K98" s="72" t="str">
        <f aca="false">IF(L98&lt;&gt;"",L98,IF(X65="","",X65))</f>
        <v/>
      </c>
      <c r="L98" s="11"/>
      <c r="M98" s="73"/>
      <c r="N98" s="72" t="str">
        <f aca="false">IF(O98&lt;&gt;"",O98,IF(X66="","",X66))</f>
        <v/>
      </c>
      <c r="O98" s="11"/>
      <c r="P98" s="73"/>
      <c r="Q98" s="12" t="str">
        <f aca="false">IF(R98&lt;&gt;"",R98,IF(X67="","",X67))</f>
        <v/>
      </c>
      <c r="R98" s="11"/>
      <c r="S98" s="73"/>
      <c r="T98" s="9"/>
      <c r="W98" s="14" t="s">
        <v>203</v>
      </c>
      <c r="X98" s="23"/>
      <c r="Y98" s="3" t="str">
        <f aca="false">IF(X98&lt;&gt;Z98,"Change","")</f>
        <v>Change</v>
      </c>
      <c r="Z98" s="27" t="n">
        <f aca="false">IF(LEEDS_KV="","",LEEDS_KV)</f>
        <v>70</v>
      </c>
    </row>
    <row r="99" customFormat="false" ht="15.75" hidden="false" customHeight="false" outlineLevel="0" collapsed="false">
      <c r="A99" s="64" t="str">
        <f aca="false">I108&amp;"  "&amp;I95</f>
        <v>  cm</v>
      </c>
      <c r="B99" s="65" t="n">
        <v>10</v>
      </c>
      <c r="C99" s="66" t="n">
        <f aca="false">IF(K107="","",K107)</f>
        <v>0</v>
      </c>
      <c r="D99" s="66" t="n">
        <f aca="false">IF(L107="","",L107)</f>
        <v>0</v>
      </c>
      <c r="E99" s="66" t="n">
        <f aca="false">IF(M107="","",M107)</f>
        <v>0</v>
      </c>
      <c r="I99" s="59" t="s">
        <v>186</v>
      </c>
      <c r="J99" s="60" t="s">
        <v>187</v>
      </c>
      <c r="K99" s="74" t="str">
        <f aca="false">IF(K98&lt;&gt;"",K98,IF(AUTO_MANUAL=1,"Manual 1",IF(AUTO_MA="","",AUTO_MA&amp;" 1")))</f>
        <v/>
      </c>
      <c r="L99" s="74"/>
      <c r="M99" s="74"/>
      <c r="N99" s="74" t="str">
        <f aca="false">IF(N98&lt;&gt;"",N98,IF(AUTO_MANUAL=1,"Manual 1",IF(AUTO_MA="","",AUTO_MA&amp;" 1")))</f>
        <v/>
      </c>
      <c r="O99" s="74"/>
      <c r="P99" s="74"/>
      <c r="Q99" s="75" t="str">
        <f aca="false">IF(Q98&lt;&gt;"",Q98,IF(AUTO_MANUAL=1,"Manual 1",IF(AUTO_MA="","",AUTO_MA&amp;" 1")))</f>
        <v/>
      </c>
      <c r="R99" s="75"/>
      <c r="S99" s="75"/>
      <c r="T99" s="9"/>
      <c r="W99" s="14" t="s">
        <v>204</v>
      </c>
      <c r="X99" s="23"/>
      <c r="Y99" s="3" t="str">
        <f aca="false">IF(X99&lt;&gt;Z99,"Change","")</f>
        <v/>
      </c>
      <c r="Z99" s="27"/>
    </row>
    <row r="100" customFormat="false" ht="15.75" hidden="false" customHeight="false" outlineLevel="0" collapsed="false">
      <c r="A100" s="64"/>
      <c r="B100" s="69" t="n">
        <v>20</v>
      </c>
      <c r="C100" s="66" t="n">
        <f aca="false">IF(K108="","",K108)</f>
        <v>0</v>
      </c>
      <c r="D100" s="66" t="n">
        <f aca="false">IF(L108="","",L108)</f>
        <v>0</v>
      </c>
      <c r="E100" s="66" t="n">
        <f aca="false">IF(M108="","",M108)</f>
        <v>0</v>
      </c>
      <c r="I100" s="59" t="s">
        <v>190</v>
      </c>
      <c r="J100" s="60" t="s">
        <v>190</v>
      </c>
      <c r="K100" s="62" t="s">
        <v>191</v>
      </c>
      <c r="L100" s="13" t="s">
        <v>192</v>
      </c>
      <c r="M100" s="63" t="s">
        <v>193</v>
      </c>
      <c r="N100" s="62" t="s">
        <v>191</v>
      </c>
      <c r="O100" s="13" t="s">
        <v>192</v>
      </c>
      <c r="P100" s="63" t="s">
        <v>193</v>
      </c>
      <c r="Q100" s="13" t="s">
        <v>191</v>
      </c>
      <c r="R100" s="13" t="s">
        <v>192</v>
      </c>
      <c r="S100" s="63" t="s">
        <v>193</v>
      </c>
      <c r="T100" s="9"/>
      <c r="W100" s="14" t="s">
        <v>205</v>
      </c>
      <c r="X100" s="23"/>
      <c r="Y100" s="3" t="str">
        <f aca="false">IF(X100&lt;&gt;Z100,"Change","")</f>
        <v/>
      </c>
      <c r="Z100" s="27"/>
    </row>
    <row r="101" customFormat="false" ht="15.75" hidden="false" customHeight="false" outlineLevel="0" collapsed="false">
      <c r="A101" s="64"/>
      <c r="B101" s="70" t="n">
        <v>30</v>
      </c>
      <c r="C101" s="66" t="n">
        <f aca="false">IF(K109="","",K109)</f>
        <v>0</v>
      </c>
      <c r="D101" s="66" t="n">
        <f aca="false">IF(L109="","",L109)</f>
        <v>0</v>
      </c>
      <c r="E101" s="66" t="n">
        <f aca="false">IF(M109="","",M109)</f>
        <v>0</v>
      </c>
      <c r="I101" s="76" t="s">
        <v>206</v>
      </c>
      <c r="J101" s="65" t="n">
        <v>10</v>
      </c>
      <c r="K101" s="77" t="n">
        <f aca="false">'Data Entry'!C5</f>
        <v>0</v>
      </c>
      <c r="L101" s="78" t="n">
        <f aca="false">'Data Entry'!D5</f>
        <v>0</v>
      </c>
      <c r="M101" s="79" t="n">
        <f aca="false">'Data Entry'!E5</f>
        <v>0</v>
      </c>
      <c r="N101" s="77" t="n">
        <f aca="false">'Data Entry'!F5</f>
        <v>0</v>
      </c>
      <c r="O101" s="78" t="n">
        <f aca="false">'Data Entry'!G5</f>
        <v>0</v>
      </c>
      <c r="P101" s="80" t="n">
        <f aca="false">'Data Entry'!H5</f>
        <v>0</v>
      </c>
      <c r="Q101" s="81" t="n">
        <f aca="false">'Data Entry'!I5</f>
        <v>0</v>
      </c>
      <c r="R101" s="78" t="n">
        <f aca="false">'Data Entry'!J5</f>
        <v>0</v>
      </c>
      <c r="S101" s="80" t="n">
        <f aca="false">'Data Entry'!K5</f>
        <v>0</v>
      </c>
      <c r="T101" s="9"/>
      <c r="W101" s="14" t="s">
        <v>207</v>
      </c>
      <c r="X101" s="23"/>
      <c r="Y101" s="3" t="str">
        <f aca="false">IF(X101&lt;&gt;Z101,"Change","")</f>
        <v/>
      </c>
      <c r="Z101" s="27"/>
    </row>
    <row r="102" customFormat="false" ht="15.75" hidden="false" customHeight="false" outlineLevel="0" collapsed="false">
      <c r="B102" s="64" t="s">
        <v>208</v>
      </c>
      <c r="C102" s="66" t="n">
        <f aca="false">IF(K110="","",K110)</f>
        <v>0</v>
      </c>
      <c r="D102" s="66" t="n">
        <f aca="false">IF(L110="","",L110)</f>
        <v>0</v>
      </c>
      <c r="E102" s="66" t="n">
        <f aca="false">IF(M110="","",M110)</f>
        <v>0</v>
      </c>
      <c r="I102" s="82" t="str">
        <f aca="false">IF(I103&lt;&gt;"",I103,IF(X52="","",X52))</f>
        <v/>
      </c>
      <c r="J102" s="69" t="n">
        <v>20</v>
      </c>
      <c r="K102" s="83" t="n">
        <f aca="false">'Data Entry'!C6</f>
        <v>0</v>
      </c>
      <c r="L102" s="84" t="n">
        <f aca="false">'Data Entry'!D6</f>
        <v>0</v>
      </c>
      <c r="M102" s="85" t="n">
        <f aca="false">'Data Entry'!E6</f>
        <v>0</v>
      </c>
      <c r="N102" s="83" t="n">
        <f aca="false">'Data Entry'!F6</f>
        <v>0</v>
      </c>
      <c r="O102" s="84" t="n">
        <f aca="false">'Data Entry'!G6</f>
        <v>0</v>
      </c>
      <c r="P102" s="86" t="n">
        <f aca="false">'Data Entry'!H6</f>
        <v>0</v>
      </c>
      <c r="Q102" s="87" t="n">
        <f aca="false">'Data Entry'!I6</f>
        <v>0</v>
      </c>
      <c r="R102" s="84" t="n">
        <f aca="false">'Data Entry'!J6</f>
        <v>0</v>
      </c>
      <c r="S102" s="86" t="n">
        <f aca="false">'Data Entry'!K6</f>
        <v>0</v>
      </c>
      <c r="T102" s="9"/>
      <c r="W102" s="14" t="s">
        <v>209</v>
      </c>
      <c r="X102" s="23"/>
      <c r="Y102" s="3" t="str">
        <f aca="false">IF(X102&lt;&gt;Z102,"Change","")</f>
        <v/>
      </c>
      <c r="Z102" s="27"/>
    </row>
    <row r="103" customFormat="false" ht="15.75" hidden="false" customHeight="false" outlineLevel="0" collapsed="false">
      <c r="I103" s="88"/>
      <c r="J103" s="70" t="n">
        <v>30</v>
      </c>
      <c r="K103" s="89" t="n">
        <f aca="false">'Data Entry'!C7</f>
        <v>0</v>
      </c>
      <c r="L103" s="90" t="n">
        <f aca="false">'Data Entry'!D7</f>
        <v>0</v>
      </c>
      <c r="M103" s="91" t="n">
        <f aca="false">'Data Entry'!E7</f>
        <v>0</v>
      </c>
      <c r="N103" s="89" t="n">
        <f aca="false">'Data Entry'!F7</f>
        <v>0</v>
      </c>
      <c r="O103" s="90" t="n">
        <f aca="false">'Data Entry'!G7</f>
        <v>0</v>
      </c>
      <c r="P103" s="92" t="n">
        <f aca="false">'Data Entry'!H7</f>
        <v>0</v>
      </c>
      <c r="Q103" s="93" t="n">
        <f aca="false">'Data Entry'!I7</f>
        <v>0</v>
      </c>
      <c r="R103" s="90" t="n">
        <f aca="false">'Data Entry'!J7</f>
        <v>0</v>
      </c>
      <c r="S103" s="92" t="n">
        <f aca="false">'Data Entry'!K7</f>
        <v>0</v>
      </c>
      <c r="T103" s="9"/>
      <c r="W103" s="14" t="s">
        <v>210</v>
      </c>
      <c r="X103" s="23"/>
      <c r="Y103" s="3" t="str">
        <f aca="false">IF(X103&lt;&gt;Z103,"Change","")</f>
        <v/>
      </c>
      <c r="Z103" s="27"/>
    </row>
    <row r="104" customFormat="false" ht="15.75" hidden="false" customHeight="false" outlineLevel="0" collapsed="false">
      <c r="I104" s="76" t="s">
        <v>211</v>
      </c>
      <c r="J104" s="65" t="n">
        <v>10</v>
      </c>
      <c r="K104" s="77" t="n">
        <f aca="false">'Data Entry'!C8</f>
        <v>0</v>
      </c>
      <c r="L104" s="78" t="n">
        <f aca="false">'Data Entry'!D8</f>
        <v>0</v>
      </c>
      <c r="M104" s="79" t="n">
        <f aca="false">'Data Entry'!E8</f>
        <v>0</v>
      </c>
      <c r="N104" s="77" t="n">
        <f aca="false">'Data Entry'!F8</f>
        <v>0</v>
      </c>
      <c r="O104" s="78" t="n">
        <f aca="false">'Data Entry'!G8</f>
        <v>0</v>
      </c>
      <c r="P104" s="80" t="n">
        <f aca="false">'Data Entry'!H8</f>
        <v>0</v>
      </c>
      <c r="Q104" s="81" t="n">
        <f aca="false">'Data Entry'!I8</f>
        <v>0</v>
      </c>
      <c r="R104" s="78" t="n">
        <f aca="false">'Data Entry'!J8</f>
        <v>0</v>
      </c>
      <c r="S104" s="80" t="n">
        <f aca="false">'Data Entry'!K8</f>
        <v>0</v>
      </c>
      <c r="T104" s="9"/>
      <c r="W104" s="14" t="s">
        <v>212</v>
      </c>
      <c r="X104" s="23"/>
      <c r="Y104" s="3" t="str">
        <f aca="false">IF(X104&lt;&gt;Z104,"Change","")</f>
        <v/>
      </c>
      <c r="Z104" s="27"/>
    </row>
    <row r="105" customFormat="false" ht="15.75" hidden="false" customHeight="false" outlineLevel="0" collapsed="false">
      <c r="I105" s="82" t="str">
        <f aca="false">IF(I106&lt;&gt;"",I106,IF(X53="","",X53))</f>
        <v/>
      </c>
      <c r="J105" s="69" t="n">
        <v>20</v>
      </c>
      <c r="K105" s="83" t="n">
        <f aca="false">'Data Entry'!C9</f>
        <v>0</v>
      </c>
      <c r="L105" s="84" t="n">
        <f aca="false">'Data Entry'!D9</f>
        <v>0</v>
      </c>
      <c r="M105" s="85" t="n">
        <f aca="false">'Data Entry'!E9</f>
        <v>0</v>
      </c>
      <c r="N105" s="83" t="n">
        <f aca="false">'Data Entry'!F9</f>
        <v>0</v>
      </c>
      <c r="O105" s="84" t="n">
        <f aca="false">'Data Entry'!G9</f>
        <v>0</v>
      </c>
      <c r="P105" s="86" t="n">
        <f aca="false">'Data Entry'!H9</f>
        <v>0</v>
      </c>
      <c r="Q105" s="87" t="n">
        <f aca="false">'Data Entry'!I9</f>
        <v>0</v>
      </c>
      <c r="R105" s="84" t="n">
        <f aca="false">'Data Entry'!J9</f>
        <v>0</v>
      </c>
      <c r="S105" s="86" t="n">
        <f aca="false">'Data Entry'!K9</f>
        <v>0</v>
      </c>
      <c r="T105" s="9"/>
      <c r="W105" s="14" t="s">
        <v>213</v>
      </c>
      <c r="X105" s="23"/>
      <c r="Y105" s="3" t="str">
        <f aca="false">IF(X105&lt;&gt;Z105,"Change","")</f>
        <v/>
      </c>
      <c r="Z105" s="27" t="str">
        <f aca="false">IF(O239="","",O239)</f>
        <v/>
      </c>
    </row>
    <row r="106" customFormat="false" ht="15.75" hidden="false" customHeight="false" outlineLevel="0" collapsed="false">
      <c r="I106" s="88"/>
      <c r="J106" s="70" t="n">
        <v>30</v>
      </c>
      <c r="K106" s="94" t="n">
        <f aca="false">'Data Entry'!C10</f>
        <v>0</v>
      </c>
      <c r="L106" s="95" t="n">
        <f aca="false">'Data Entry'!D10</f>
        <v>0</v>
      </c>
      <c r="M106" s="96" t="n">
        <f aca="false">'Data Entry'!E10</f>
        <v>0</v>
      </c>
      <c r="N106" s="94" t="n">
        <f aca="false">'Data Entry'!F10</f>
        <v>0</v>
      </c>
      <c r="O106" s="95" t="n">
        <f aca="false">'Data Entry'!G10</f>
        <v>0</v>
      </c>
      <c r="P106" s="97" t="n">
        <f aca="false">'Data Entry'!H10</f>
        <v>0</v>
      </c>
      <c r="Q106" s="98" t="n">
        <f aca="false">'Data Entry'!I10</f>
        <v>0</v>
      </c>
      <c r="R106" s="95" t="n">
        <f aca="false">'Data Entry'!J10</f>
        <v>0</v>
      </c>
      <c r="S106" s="97" t="n">
        <f aca="false">'Data Entry'!K10</f>
        <v>0</v>
      </c>
      <c r="T106" s="9"/>
      <c r="W106" s="14" t="s">
        <v>214</v>
      </c>
      <c r="X106" s="23"/>
      <c r="Y106" s="3" t="str">
        <f aca="false">IF(X106&lt;&gt;Z106,"Change","")</f>
        <v/>
      </c>
      <c r="Z106" s="27" t="str">
        <f aca="false">IF(J257="","",J257)</f>
        <v/>
      </c>
    </row>
    <row r="107" customFormat="false" ht="15.75" hidden="false" customHeight="false" outlineLevel="0" collapsed="false">
      <c r="I107" s="59" t="s">
        <v>215</v>
      </c>
      <c r="J107" s="65" t="n">
        <v>10</v>
      </c>
      <c r="K107" s="99" t="n">
        <f aca="false">'Data Entry'!C11</f>
        <v>0</v>
      </c>
      <c r="L107" s="100" t="n">
        <f aca="false">'Data Entry'!D11</f>
        <v>0</v>
      </c>
      <c r="M107" s="101" t="n">
        <f aca="false">'Data Entry'!E11</f>
        <v>0</v>
      </c>
      <c r="N107" s="99" t="n">
        <f aca="false">'Data Entry'!F11</f>
        <v>0</v>
      </c>
      <c r="O107" s="100" t="n">
        <f aca="false">'Data Entry'!G11</f>
        <v>0</v>
      </c>
      <c r="P107" s="102" t="n">
        <f aca="false">'Data Entry'!H11</f>
        <v>0</v>
      </c>
      <c r="Q107" s="103" t="n">
        <f aca="false">'Data Entry'!I11</f>
        <v>0</v>
      </c>
      <c r="R107" s="100" t="n">
        <f aca="false">'Data Entry'!J11</f>
        <v>0</v>
      </c>
      <c r="S107" s="102" t="n">
        <f aca="false">'Data Entry'!K11</f>
        <v>0</v>
      </c>
      <c r="T107" s="9"/>
      <c r="W107" s="14" t="s">
        <v>216</v>
      </c>
      <c r="X107" s="23"/>
      <c r="Y107" s="3" t="str">
        <f aca="false">IF(X107&lt;&gt;Z107,"Change","")</f>
        <v/>
      </c>
      <c r="Z107" s="27" t="str">
        <f aca="false">IF(J259="","",J259)</f>
        <v/>
      </c>
    </row>
    <row r="108" customFormat="false" ht="15.75" hidden="false" customHeight="false" outlineLevel="0" collapsed="false">
      <c r="I108" s="82" t="str">
        <f aca="false">IF(I109&lt;&gt;"",I109,IF(X54="","",X54))</f>
        <v/>
      </c>
      <c r="J108" s="69" t="n">
        <v>20</v>
      </c>
      <c r="K108" s="83" t="n">
        <f aca="false">'Data Entry'!C12</f>
        <v>0</v>
      </c>
      <c r="L108" s="84" t="n">
        <f aca="false">'Data Entry'!D12</f>
        <v>0</v>
      </c>
      <c r="M108" s="85" t="n">
        <f aca="false">'Data Entry'!E12</f>
        <v>0</v>
      </c>
      <c r="N108" s="83" t="n">
        <f aca="false">'Data Entry'!F12</f>
        <v>0</v>
      </c>
      <c r="O108" s="84" t="n">
        <f aca="false">'Data Entry'!G12</f>
        <v>0</v>
      </c>
      <c r="P108" s="86" t="n">
        <f aca="false">'Data Entry'!H12</f>
        <v>0</v>
      </c>
      <c r="Q108" s="87" t="n">
        <f aca="false">'Data Entry'!I12</f>
        <v>0</v>
      </c>
      <c r="R108" s="84" t="n">
        <f aca="false">'Data Entry'!J12</f>
        <v>0</v>
      </c>
      <c r="S108" s="86" t="n">
        <f aca="false">'Data Entry'!K12</f>
        <v>0</v>
      </c>
      <c r="T108" s="9"/>
      <c r="W108" s="14" t="s">
        <v>217</v>
      </c>
      <c r="X108" s="23"/>
      <c r="Y108" s="3" t="str">
        <f aca="false">IF(X108&lt;&gt;Z108,"Change","")</f>
        <v/>
      </c>
      <c r="Z108" s="27" t="str">
        <f aca="false">IF(J260="","",J260)</f>
        <v/>
      </c>
    </row>
    <row r="109" customFormat="false" ht="15.75" hidden="false" customHeight="false" outlineLevel="0" collapsed="false">
      <c r="I109" s="88"/>
      <c r="J109" s="70" t="n">
        <v>30</v>
      </c>
      <c r="K109" s="94" t="n">
        <f aca="false">'Data Entry'!C13</f>
        <v>0</v>
      </c>
      <c r="L109" s="95" t="n">
        <f aca="false">'Data Entry'!D13</f>
        <v>0</v>
      </c>
      <c r="M109" s="96" t="n">
        <f aca="false">'Data Entry'!E13</f>
        <v>0</v>
      </c>
      <c r="N109" s="94" t="n">
        <f aca="false">'Data Entry'!F13</f>
        <v>0</v>
      </c>
      <c r="O109" s="95" t="n">
        <f aca="false">'Data Entry'!G13</f>
        <v>0</v>
      </c>
      <c r="P109" s="97" t="n">
        <f aca="false">'Data Entry'!H13</f>
        <v>0</v>
      </c>
      <c r="Q109" s="98" t="n">
        <f aca="false">'Data Entry'!I13</f>
        <v>0</v>
      </c>
      <c r="R109" s="95" t="n">
        <f aca="false">'Data Entry'!J13</f>
        <v>0</v>
      </c>
      <c r="S109" s="97" t="n">
        <f aca="false">'Data Entry'!K13</f>
        <v>0</v>
      </c>
      <c r="T109" s="9"/>
      <c r="W109" s="14" t="s">
        <v>218</v>
      </c>
      <c r="X109" s="23"/>
      <c r="Y109" s="3" t="str">
        <f aca="false">IF(X109&lt;&gt;Z109,"Change","")</f>
        <v/>
      </c>
      <c r="Z109" s="27" t="str">
        <f aca="false">IF(J261="","",J261)</f>
        <v/>
      </c>
    </row>
    <row r="110" customFormat="false" ht="15.75" hidden="false" customHeight="false" outlineLevel="0" collapsed="false">
      <c r="I110" s="7"/>
      <c r="J110" s="104" t="s">
        <v>208</v>
      </c>
      <c r="K110" s="94" t="n">
        <f aca="false">'Data Entry'!C14</f>
        <v>0</v>
      </c>
      <c r="L110" s="95" t="n">
        <f aca="false">'Data Entry'!D14</f>
        <v>0</v>
      </c>
      <c r="M110" s="96" t="n">
        <f aca="false">'Data Entry'!E14</f>
        <v>0</v>
      </c>
      <c r="N110" s="94" t="n">
        <f aca="false">'Data Entry'!F14</f>
        <v>0</v>
      </c>
      <c r="O110" s="95" t="n">
        <f aca="false">'Data Entry'!G14</f>
        <v>0</v>
      </c>
      <c r="P110" s="97" t="n">
        <f aca="false">'Data Entry'!H14</f>
        <v>0</v>
      </c>
      <c r="Q110" s="98" t="n">
        <f aca="false">'Data Entry'!I14</f>
        <v>0</v>
      </c>
      <c r="R110" s="95" t="n">
        <f aca="false">'Data Entry'!J14</f>
        <v>0</v>
      </c>
      <c r="S110" s="97" t="n">
        <f aca="false">'Data Entry'!K14</f>
        <v>0</v>
      </c>
      <c r="T110" s="9"/>
      <c r="W110" s="14" t="s">
        <v>219</v>
      </c>
      <c r="X110" s="23"/>
      <c r="Y110" s="3" t="str">
        <f aca="false">IF(X110&lt;&gt;Z110,"Change","")</f>
        <v/>
      </c>
      <c r="Z110" s="27" t="str">
        <f aca="false">IF(J262="","",J262)</f>
        <v/>
      </c>
    </row>
    <row r="111" customFormat="false" ht="15.75" hidden="false" customHeight="false" outlineLevel="0" collapsed="false">
      <c r="I111" s="7"/>
      <c r="J111" s="13" t="s">
        <v>220</v>
      </c>
      <c r="K111" s="105" t="str">
        <f aca="false">IF(X69="","",X69)</f>
        <v/>
      </c>
      <c r="L111" s="106" t="str">
        <f aca="false">IF(X70="","",X70)</f>
        <v/>
      </c>
      <c r="M111" s="107" t="str">
        <f aca="false">IF(X71="","",#REF!)</f>
        <v/>
      </c>
      <c r="N111" s="105" t="str">
        <f aca="false">IF(X72="","",X72)</f>
        <v/>
      </c>
      <c r="O111" s="106" t="str">
        <f aca="false">IF(X73="","",X73)</f>
        <v/>
      </c>
      <c r="P111" s="108" t="str">
        <f aca="false">IF(X74="","",X74)</f>
        <v/>
      </c>
      <c r="Q111" s="109" t="str">
        <f aca="false">IF(X75="","",X75)</f>
        <v/>
      </c>
      <c r="R111" s="106" t="str">
        <f aca="false">IF(X76="","",X76)</f>
        <v/>
      </c>
      <c r="S111" s="108" t="str">
        <f aca="false">IF(X77="","",X77)</f>
        <v/>
      </c>
      <c r="T111" s="9"/>
      <c r="W111" s="14" t="s">
        <v>221</v>
      </c>
      <c r="X111" s="23"/>
      <c r="Y111" s="3" t="str">
        <f aca="false">IF(X111&lt;&gt;Z111,"Change","")</f>
        <v/>
      </c>
      <c r="Z111" s="27" t="str">
        <f aca="false">IF(J240="","",J240)</f>
        <v/>
      </c>
    </row>
    <row r="112" customFormat="false" ht="15.75" hidden="false" customHeight="false" outlineLevel="0" collapsed="false">
      <c r="I112" s="7"/>
      <c r="J112" s="110" t="s">
        <v>222</v>
      </c>
      <c r="K112" s="10"/>
      <c r="L112" s="111" t="s">
        <v>223</v>
      </c>
      <c r="M112" s="112" t="str">
        <f aca="false">IF(M110="","NA",IF(AUTO_MANUAL=1,IF(M110&gt;44,"NO","YES"),IF(M110&gt;88,"NO","YES")))</f>
        <v>YES</v>
      </c>
      <c r="N112" s="10"/>
      <c r="O112" s="111" t="s">
        <v>223</v>
      </c>
      <c r="P112" s="112" t="str">
        <f aca="false">IF(P110="","NA",IF(AUTO_MANUAL=1,IF(P110&gt;44,"NO","YES"),IF(P110&gt;88,"NO","YES")))</f>
        <v>YES</v>
      </c>
      <c r="Q112" s="10"/>
      <c r="R112" s="111" t="s">
        <v>223</v>
      </c>
      <c r="S112" s="112" t="str">
        <f aca="false">IF(OR(AND($I$94=1,S110=""),AND(M110="",P110="",S110="")),"NA",IF(S110="","NA",IF(AUTO_MANUAL="",IF(I94=2,IF(S110&gt;88,"NO","YES"),IF(S110&gt;176,"NO","YES")),IF(S110&gt;44,"NO","YES"))))</f>
        <v>YES</v>
      </c>
      <c r="T112" s="9"/>
      <c r="W112" s="14" t="s">
        <v>224</v>
      </c>
      <c r="X112" s="23"/>
      <c r="Y112" s="3" t="str">
        <f aca="false">IF(X112&lt;&gt;Z112,"Change","")</f>
        <v/>
      </c>
      <c r="Z112" s="27" t="str">
        <f aca="false">IF(J241="","",J241)</f>
        <v/>
      </c>
    </row>
    <row r="113" customFormat="false" ht="15.75" hidden="false" customHeight="false" outlineLevel="0" collapsed="false">
      <c r="I113" s="7"/>
      <c r="J113" s="110" t="s">
        <v>225</v>
      </c>
      <c r="K113" s="10"/>
      <c r="L113" s="10"/>
      <c r="M113" s="10"/>
      <c r="N113" s="10"/>
      <c r="O113" s="10"/>
      <c r="P113" s="10"/>
      <c r="Q113" s="10"/>
      <c r="R113" s="10"/>
      <c r="S113" s="10"/>
      <c r="T113" s="9"/>
      <c r="W113" s="14" t="s">
        <v>226</v>
      </c>
      <c r="X113" s="23"/>
      <c r="Y113" s="3" t="str">
        <f aca="false">IF(X113&lt;&gt;Z113,"Change","")</f>
        <v/>
      </c>
      <c r="Z113" s="27" t="str">
        <f aca="false">IF(J242="","",J242)</f>
        <v/>
      </c>
    </row>
    <row r="114" customFormat="false" ht="15.75" hidden="false" customHeight="false" outlineLevel="0" collapsed="false">
      <c r="I114" s="7"/>
      <c r="J114" s="110" t="s">
        <v>227</v>
      </c>
      <c r="K114" s="10"/>
      <c r="L114" s="10"/>
      <c r="M114" s="10"/>
      <c r="N114" s="10"/>
      <c r="O114" s="10"/>
      <c r="P114" s="10"/>
      <c r="Q114" s="10"/>
      <c r="R114" s="10"/>
      <c r="S114" s="10"/>
      <c r="T114" s="9"/>
      <c r="W114" s="14" t="s">
        <v>228</v>
      </c>
      <c r="X114" s="23"/>
      <c r="Y114" s="3" t="str">
        <f aca="false">IF(X114&lt;&gt;Z114,"Change","")</f>
        <v/>
      </c>
      <c r="Z114" s="27" t="str">
        <f aca="false">IF(J243="","",J243)</f>
        <v/>
      </c>
    </row>
    <row r="115" customFormat="false" ht="15.75" hidden="false" customHeight="false" outlineLevel="0" collapsed="false">
      <c r="I115" s="7"/>
      <c r="J115" s="110" t="s">
        <v>229</v>
      </c>
      <c r="K115" s="10"/>
      <c r="L115" s="10"/>
      <c r="M115" s="10"/>
      <c r="N115" s="10"/>
      <c r="O115" s="10"/>
      <c r="P115" s="10"/>
      <c r="Q115" s="10"/>
      <c r="R115" s="10"/>
      <c r="S115" s="10"/>
      <c r="T115" s="9"/>
      <c r="W115" s="14" t="s">
        <v>230</v>
      </c>
      <c r="X115" s="23"/>
      <c r="Y115" s="3" t="str">
        <f aca="false">IF(X115&lt;&gt;Z115,"Change","")</f>
        <v/>
      </c>
      <c r="Z115" s="27" t="str">
        <f aca="false">IF(J244="","",J244)</f>
        <v/>
      </c>
    </row>
    <row r="116" customFormat="false" ht="15.75" hidden="false" customHeight="false" outlineLevel="0" collapsed="false">
      <c r="I116" s="7"/>
      <c r="J116" s="110" t="s">
        <v>231</v>
      </c>
      <c r="K116" s="10"/>
      <c r="L116" s="10"/>
      <c r="M116" s="10"/>
      <c r="N116" s="10"/>
      <c r="O116" s="10"/>
      <c r="P116" s="10"/>
      <c r="Q116" s="10"/>
      <c r="R116" s="10"/>
      <c r="S116" s="10"/>
      <c r="T116" s="9"/>
      <c r="W116" s="14" t="s">
        <v>232</v>
      </c>
      <c r="X116" s="23"/>
      <c r="Y116" s="3" t="str">
        <f aca="false">IF(X116&lt;&gt;Z116,"Change","")</f>
        <v/>
      </c>
      <c r="Z116" s="27" t="str">
        <f aca="false">IF(J245="","",J245)</f>
        <v/>
      </c>
    </row>
    <row r="117" customFormat="false" ht="15.75" hidden="false" customHeight="false" outlineLevel="0" collapsed="false">
      <c r="I117" s="7"/>
      <c r="J117" s="113" t="s">
        <v>233</v>
      </c>
      <c r="K117" s="110" t="s">
        <v>234</v>
      </c>
      <c r="L117" s="10"/>
      <c r="M117" s="10"/>
      <c r="N117" s="10"/>
      <c r="O117" s="10"/>
      <c r="P117" s="10"/>
      <c r="Q117" s="10"/>
      <c r="R117" s="10"/>
      <c r="S117" s="10"/>
      <c r="T117" s="9"/>
      <c r="W117" s="14" t="s">
        <v>235</v>
      </c>
      <c r="X117" s="23"/>
      <c r="Y117" s="3" t="str">
        <f aca="false">IF(X117&lt;&gt;Z117,"Change","")</f>
        <v/>
      </c>
      <c r="Z117" s="27" t="str">
        <f aca="false">IF(J246="","",J246)</f>
        <v/>
      </c>
    </row>
    <row r="118" customFormat="false" ht="15.75" hidden="false" customHeight="false" outlineLevel="0" collapsed="false">
      <c r="I118" s="7"/>
      <c r="J118" s="10"/>
      <c r="K118" s="110" t="s">
        <v>121</v>
      </c>
      <c r="L118" s="10"/>
      <c r="M118" s="10"/>
      <c r="N118" s="10"/>
      <c r="O118" s="10"/>
      <c r="P118" s="10"/>
      <c r="Q118" s="10"/>
      <c r="R118" s="10"/>
      <c r="S118" s="10"/>
      <c r="T118" s="9"/>
      <c r="W118" s="14" t="s">
        <v>236</v>
      </c>
      <c r="X118" s="23"/>
      <c r="Y118" s="3" t="str">
        <f aca="false">IF(X118&lt;&gt;Z118,"Change","")</f>
        <v/>
      </c>
      <c r="Z118" s="27" t="str">
        <f aca="false">IF(J247="","",J247)</f>
        <v/>
      </c>
    </row>
    <row r="119" customFormat="false" ht="15.75" hidden="false" customHeight="false" outlineLevel="0" collapsed="false">
      <c r="I119" s="7"/>
      <c r="J119" s="28" t="s">
        <v>237</v>
      </c>
      <c r="K119" s="12" t="str">
        <f aca="false">IF(K121&lt;&gt;"",K121,IF(X148="","",X148))</f>
        <v/>
      </c>
      <c r="L119" s="29"/>
      <c r="M119" s="29"/>
      <c r="N119" s="29"/>
      <c r="O119" s="29"/>
      <c r="P119" s="29"/>
      <c r="Q119" s="29"/>
      <c r="R119" s="29"/>
      <c r="S119" s="10"/>
      <c r="T119" s="9"/>
      <c r="W119" s="14" t="s">
        <v>238</v>
      </c>
      <c r="X119" s="23"/>
      <c r="Y119" s="3" t="str">
        <f aca="false">IF(X119&lt;&gt;Z119,"Change","")</f>
        <v/>
      </c>
      <c r="Z119" s="27" t="str">
        <f aca="false">IF(J248="","",J248)</f>
        <v/>
      </c>
    </row>
    <row r="120" customFormat="false" ht="15.75" hidden="false" customHeight="false" outlineLevel="0" collapsed="false">
      <c r="I120" s="7"/>
      <c r="J120" s="114" t="s">
        <v>239</v>
      </c>
      <c r="K120" s="10"/>
      <c r="L120" s="115" t="n">
        <f aca="false">LEN(K119)</f>
        <v>0</v>
      </c>
      <c r="M120" s="10"/>
      <c r="N120" s="10"/>
      <c r="O120" s="10"/>
      <c r="P120" s="10"/>
      <c r="Q120" s="10"/>
      <c r="R120" s="10"/>
      <c r="S120" s="10"/>
      <c r="T120" s="9"/>
      <c r="W120" s="14" t="s">
        <v>240</v>
      </c>
      <c r="X120" s="23"/>
      <c r="Y120" s="3" t="str">
        <f aca="false">IF(X120&lt;&gt;Z120,"Change","")</f>
        <v/>
      </c>
      <c r="Z120" s="27" t="str">
        <f aca="false">IF(J249="","",J249)</f>
        <v/>
      </c>
    </row>
    <row r="121" customFormat="false" ht="15.75" hidden="false" customHeight="false" outlineLevel="0" collapsed="false">
      <c r="I121" s="7"/>
      <c r="J121" s="28" t="s">
        <v>241</v>
      </c>
      <c r="K121" s="11"/>
      <c r="L121" s="29"/>
      <c r="M121" s="29"/>
      <c r="N121" s="29"/>
      <c r="O121" s="29"/>
      <c r="P121" s="29"/>
      <c r="Q121" s="29"/>
      <c r="R121" s="29"/>
      <c r="S121" s="10"/>
      <c r="T121" s="9"/>
      <c r="W121" s="14" t="s">
        <v>242</v>
      </c>
      <c r="X121" s="23"/>
      <c r="Y121" s="3" t="str">
        <f aca="false">IF(X121&lt;&gt;Z121,"Change","")</f>
        <v/>
      </c>
      <c r="Z121" s="27" t="str">
        <f aca="false">IF(J250="","",J250)</f>
        <v/>
      </c>
    </row>
    <row r="122" customFormat="false" ht="15.75" hidden="false" customHeight="false" outlineLevel="0" collapsed="false">
      <c r="I122" s="15"/>
      <c r="J122" s="16"/>
      <c r="K122" s="16"/>
      <c r="L122" s="16"/>
      <c r="M122" s="16"/>
      <c r="N122" s="16"/>
      <c r="O122" s="16"/>
      <c r="P122" s="16"/>
      <c r="Q122" s="16"/>
      <c r="R122" s="16"/>
      <c r="S122" s="16"/>
      <c r="T122" s="18"/>
      <c r="W122" s="14" t="s">
        <v>243</v>
      </c>
      <c r="X122" s="23"/>
      <c r="Y122" s="3" t="str">
        <f aca="false">IF(X122&lt;&gt;Z122,"Change","")</f>
        <v/>
      </c>
      <c r="Z122" s="27" t="str">
        <f aca="false">IF(J251="","",J251)</f>
        <v/>
      </c>
    </row>
    <row r="123" customFormat="false" ht="15.75" hidden="false" customHeight="false" outlineLevel="0" collapsed="false">
      <c r="I123" s="116" t="s">
        <v>244</v>
      </c>
      <c r="J123" s="5"/>
      <c r="K123" s="5"/>
      <c r="L123" s="5"/>
      <c r="M123" s="5"/>
      <c r="N123" s="5"/>
      <c r="O123" s="5"/>
      <c r="P123" s="5"/>
      <c r="Q123" s="5"/>
      <c r="R123" s="5"/>
      <c r="S123" s="5"/>
      <c r="T123" s="6"/>
      <c r="W123" s="14" t="s">
        <v>221</v>
      </c>
      <c r="X123" s="23"/>
      <c r="Y123" s="3" t="str">
        <f aca="false">IF(X123&lt;&gt;Z123,"Change","")</f>
        <v/>
      </c>
      <c r="Z123" s="27" t="str">
        <f aca="false">IF(K240="","",K240)</f>
        <v/>
      </c>
    </row>
    <row r="124" customFormat="false" ht="15.75" hidden="false" customHeight="false" outlineLevel="0" collapsed="false">
      <c r="I124" s="42" t="n">
        <v>2</v>
      </c>
      <c r="J124" s="10" t="s">
        <v>245</v>
      </c>
      <c r="K124" s="10"/>
      <c r="L124" s="10"/>
      <c r="M124" s="10"/>
      <c r="N124" s="10"/>
      <c r="O124" s="10"/>
      <c r="P124" s="10"/>
      <c r="Q124" s="10"/>
      <c r="R124" s="10"/>
      <c r="S124" s="10"/>
      <c r="T124" s="9"/>
      <c r="W124" s="14" t="s">
        <v>224</v>
      </c>
      <c r="X124" s="23"/>
      <c r="Y124" s="3" t="str">
        <f aca="false">IF(X124&lt;&gt;Z124,"Change","")</f>
        <v/>
      </c>
      <c r="Z124" s="27" t="str">
        <f aca="false">IF(K241="","",K241)</f>
        <v/>
      </c>
    </row>
    <row r="125" customFormat="false" ht="15.75" hidden="false" customHeight="false" outlineLevel="0" collapsed="false">
      <c r="I125" s="7"/>
      <c r="J125" s="10"/>
      <c r="K125" s="10"/>
      <c r="L125" s="10"/>
      <c r="M125" s="10"/>
      <c r="N125" s="10"/>
      <c r="O125" s="10"/>
      <c r="P125" s="10"/>
      <c r="Q125" s="10"/>
      <c r="R125" s="10"/>
      <c r="S125" s="10"/>
      <c r="T125" s="9"/>
      <c r="W125" s="14" t="s">
        <v>226</v>
      </c>
      <c r="X125" s="23"/>
      <c r="Y125" s="3" t="str">
        <f aca="false">IF(X125&lt;&gt;Z125,"Change","")</f>
        <v/>
      </c>
      <c r="Z125" s="27" t="str">
        <f aca="false">IF(K242="","",K242)</f>
        <v/>
      </c>
    </row>
    <row r="126" customFormat="false" ht="15.75" hidden="false" customHeight="false" outlineLevel="0" collapsed="false">
      <c r="I126" s="117" t="s">
        <v>246</v>
      </c>
      <c r="J126" s="118" t="s">
        <v>192</v>
      </c>
      <c r="K126" s="13" t="s">
        <v>247</v>
      </c>
      <c r="L126" s="118" t="s">
        <v>193</v>
      </c>
      <c r="M126" s="10"/>
      <c r="N126" s="119" t="s">
        <v>248</v>
      </c>
      <c r="O126" s="120"/>
      <c r="P126" s="120"/>
      <c r="Q126" s="120"/>
      <c r="R126" s="120"/>
      <c r="S126" s="10"/>
      <c r="T126" s="9"/>
      <c r="W126" s="14" t="s">
        <v>228</v>
      </c>
      <c r="X126" s="23"/>
      <c r="Y126" s="3" t="str">
        <f aca="false">IF(X126&lt;&gt;Z126,"Change","")</f>
        <v/>
      </c>
      <c r="Z126" s="27" t="str">
        <f aca="false">IF(K243="","",K243)</f>
        <v/>
      </c>
    </row>
    <row r="127" customFormat="false" ht="15.75" hidden="false" customHeight="false" outlineLevel="0" collapsed="false">
      <c r="I127" s="121" t="n">
        <v>80</v>
      </c>
      <c r="J127" s="102"/>
      <c r="K127" s="122" t="n">
        <v>0</v>
      </c>
      <c r="L127" s="80"/>
      <c r="M127" s="10"/>
      <c r="N127" s="123" t="s">
        <v>247</v>
      </c>
      <c r="O127" s="123" t="s">
        <v>249</v>
      </c>
      <c r="P127" s="123" t="s">
        <v>250</v>
      </c>
      <c r="Q127" s="123" t="s">
        <v>251</v>
      </c>
      <c r="R127" s="124" t="s">
        <v>166</v>
      </c>
      <c r="S127" s="10"/>
      <c r="T127" s="9"/>
      <c r="W127" s="14" t="s">
        <v>230</v>
      </c>
      <c r="X127" s="23"/>
      <c r="Y127" s="3" t="str">
        <f aca="false">IF(X127&lt;&gt;Z127,"Change","")</f>
        <v/>
      </c>
      <c r="Z127" s="27" t="str">
        <f aca="false">IF(K244="","",K244)</f>
        <v/>
      </c>
    </row>
    <row r="128" customFormat="false" ht="15.75" hidden="false" customHeight="false" outlineLevel="0" collapsed="false">
      <c r="A128" s="47" t="s">
        <v>7</v>
      </c>
      <c r="B128" s="48" t="str">
        <f aca="false">IF($K$6="","",$K$6)</f>
        <v/>
      </c>
      <c r="F128" s="47" t="s">
        <v>8</v>
      </c>
      <c r="G128" s="49" t="str">
        <f aca="false">IF($R$6="","",$R$6)</f>
        <v/>
      </c>
      <c r="I128" s="7"/>
      <c r="J128" s="10"/>
      <c r="K128" s="125" t="n">
        <v>0</v>
      </c>
      <c r="L128" s="92"/>
      <c r="M128" s="10"/>
      <c r="N128" s="126" t="n">
        <f aca="false">K127</f>
        <v>0</v>
      </c>
      <c r="O128" s="127" t="str">
        <f aca="false">IF(MIN(L127:L128)=0,"",AVERAGE(L127:L128))</f>
        <v/>
      </c>
      <c r="P128" s="127" t="str">
        <f aca="false">IF(O128="","",ABS(O128-$O$128/2))</f>
        <v/>
      </c>
      <c r="Q128" s="126" t="str">
        <f aca="false">IF(OR(O128="",O129=""),"",IF(P128=SMALL(DHALF,1),N128,IF(P129=SMALL(DHALF,1),N129,IF(P130=SMALL(DHALF,1),N130,IF(P131=SMALL(DHALF,1),N131,"")))))</f>
        <v/>
      </c>
      <c r="R128" s="128" t="str">
        <f aca="false">IF(OR(MIN(Q128:Q129)=0,MIN(Q132:Q133)=0),"TBD",TREND(Q128:Q129,R132:R133,LN(O128/2)))</f>
        <v>TBD</v>
      </c>
      <c r="S128" s="10"/>
      <c r="T128" s="9"/>
      <c r="W128" s="14" t="s">
        <v>232</v>
      </c>
      <c r="X128" s="23"/>
      <c r="Y128" s="3" t="str">
        <f aca="false">IF(X128&lt;&gt;Z128,"Change","")</f>
        <v/>
      </c>
      <c r="Z128" s="27" t="str">
        <f aca="false">IF(K245="","",K245)</f>
        <v/>
      </c>
    </row>
    <row r="129" customFormat="false" ht="15.75" hidden="false" customHeight="false" outlineLevel="0" collapsed="false">
      <c r="A129" s="47" t="s">
        <v>99</v>
      </c>
      <c r="B129" s="50" t="str">
        <f aca="false">IF($K$14="","",$K$14)</f>
        <v/>
      </c>
      <c r="F129" s="47" t="s">
        <v>29</v>
      </c>
      <c r="G129" s="50" t="str">
        <f aca="false">IF($K$13="","",$K$13)</f>
        <v/>
      </c>
      <c r="I129" s="7"/>
      <c r="J129" s="10"/>
      <c r="K129" s="129"/>
      <c r="L129" s="80"/>
      <c r="M129" s="10"/>
      <c r="N129" s="126" t="str">
        <f aca="false">IF(K129="","",K129)</f>
        <v/>
      </c>
      <c r="O129" s="127" t="str">
        <f aca="false">IF(MIN(L129:L130)=0,"",AVERAGE(L129:L130))</f>
        <v/>
      </c>
      <c r="P129" s="127" t="str">
        <f aca="false">IF(O129="","",ABS(O129-$O$128/2))</f>
        <v/>
      </c>
      <c r="Q129" s="126" t="str">
        <f aca="false">IF(OR(O128="",O129=""),"",IF(P128=SMALL(DHALF,2),N128,IF(P129=SMALL(DHALF,2),N129,IF(P130=SMALL(DHALF,2),N130,IF(P131=SMALL(DHALF,2),N131,"")))))</f>
        <v/>
      </c>
      <c r="R129" s="120"/>
      <c r="S129" s="10"/>
      <c r="T129" s="9"/>
      <c r="W129" s="14" t="s">
        <v>235</v>
      </c>
      <c r="X129" s="23"/>
      <c r="Y129" s="3" t="str">
        <f aca="false">IF(X129&lt;&gt;Z129,"Change","")</f>
        <v/>
      </c>
      <c r="Z129" s="27" t="str">
        <f aca="false">IF(K246="","",K246)</f>
        <v/>
      </c>
    </row>
    <row r="130" customFormat="false" ht="15.75" hidden="false" customHeight="false" outlineLevel="0" collapsed="false">
      <c r="G130" s="51" t="str">
        <f aca="false">$D$2</f>
        <v>Medical University of South Carolina</v>
      </c>
      <c r="I130" s="7"/>
      <c r="J130" s="10"/>
      <c r="K130" s="130" t="str">
        <f aca="false">IF(K129="","",K129)</f>
        <v/>
      </c>
      <c r="L130" s="97"/>
      <c r="M130" s="10"/>
      <c r="N130" s="126" t="str">
        <f aca="false">IF(K131="","",K131)</f>
        <v/>
      </c>
      <c r="O130" s="127" t="str">
        <f aca="false">IF(MIN(L131:L132)=0,"",AVERAGE(L131:L132))</f>
        <v/>
      </c>
      <c r="P130" s="127" t="str">
        <f aca="false">IF(O130="","",ABS(O130-$O$128/2))</f>
        <v/>
      </c>
      <c r="Q130" s="120"/>
      <c r="R130" s="120"/>
      <c r="S130" s="10"/>
      <c r="T130" s="9"/>
      <c r="W130" s="14" t="s">
        <v>236</v>
      </c>
      <c r="X130" s="23"/>
      <c r="Y130" s="3" t="str">
        <f aca="false">IF(X130&lt;&gt;Z130,"Change","")</f>
        <v/>
      </c>
      <c r="Z130" s="27" t="str">
        <f aca="false">IF(K247="","",K247)</f>
        <v/>
      </c>
    </row>
    <row r="131" customFormat="false" ht="15.75" hidden="false" customHeight="false" outlineLevel="0" collapsed="false">
      <c r="G131" s="52" t="str">
        <f aca="false">$D$5</f>
        <v>O-Arm System Compliance Inspection</v>
      </c>
      <c r="I131" s="7"/>
      <c r="J131" s="10"/>
      <c r="K131" s="131"/>
      <c r="L131" s="102"/>
      <c r="M131" s="10"/>
      <c r="N131" s="126" t="str">
        <f aca="false">IF(K133="","",K133)</f>
        <v/>
      </c>
      <c r="O131" s="127" t="str">
        <f aca="false">IF(MIN(L133:L134)=0,"",AVERAGE(L133:L134))</f>
        <v/>
      </c>
      <c r="P131" s="127" t="str">
        <f aca="false">IF(O131="","",ABS(O131-$O$128/2))</f>
        <v/>
      </c>
      <c r="Q131" s="120" t="s">
        <v>252</v>
      </c>
      <c r="R131" s="120" t="s">
        <v>253</v>
      </c>
      <c r="S131" s="10"/>
      <c r="T131" s="9"/>
      <c r="W131" s="14" t="s">
        <v>238</v>
      </c>
      <c r="X131" s="23"/>
      <c r="Y131" s="3" t="str">
        <f aca="false">IF(X131&lt;&gt;Z131,"Change","")</f>
        <v/>
      </c>
      <c r="Z131" s="27" t="str">
        <f aca="false">IF(K248="","",K248)</f>
        <v/>
      </c>
    </row>
    <row r="132" customFormat="false" ht="15.75" hidden="false" customHeight="false" outlineLevel="0" collapsed="false">
      <c r="I132" s="7"/>
      <c r="J132" s="10"/>
      <c r="K132" s="130" t="str">
        <f aca="false">IF(K131="","",K131)</f>
        <v/>
      </c>
      <c r="L132" s="97"/>
      <c r="M132" s="10"/>
      <c r="N132" s="132" t="str">
        <f aca="false">HVL</f>
        <v>TBD</v>
      </c>
      <c r="O132" s="132" t="e">
        <f aca="false" t="array" ref="O132:O132">_xlfn.single(IF(HVL="TBD","TBD",EXP(TREND(LNEXP,ALUM,N132))))</f>
        <v>#NAME?</v>
      </c>
      <c r="P132" s="133"/>
      <c r="Q132" s="123" t="str">
        <f aca="false">IF(OR(O128="",O129=""),"",IF(N128=Q128,O128,IF(N129=Q128,O129,IF(N130=Q128,O130,IF(N131=Q128,O131,"")))))</f>
        <v/>
      </c>
      <c r="R132" s="127" t="str">
        <f aca="false">IF(Q132="","",LN(Q132))</f>
        <v/>
      </c>
      <c r="S132" s="10"/>
      <c r="T132" s="9"/>
      <c r="W132" s="14" t="s">
        <v>240</v>
      </c>
      <c r="X132" s="23"/>
      <c r="Y132" s="3" t="str">
        <f aca="false">IF(X132&lt;&gt;Z132,"Change","")</f>
        <v/>
      </c>
      <c r="Z132" s="27" t="str">
        <f aca="false">IF(K249="","",K249)</f>
        <v/>
      </c>
    </row>
    <row r="133" customFormat="false" ht="15.75" hidden="false" customHeight="false" outlineLevel="0" collapsed="false">
      <c r="I133" s="7"/>
      <c r="J133" s="10"/>
      <c r="K133" s="131"/>
      <c r="L133" s="102"/>
      <c r="M133" s="10"/>
      <c r="N133" s="123" t="s">
        <v>254</v>
      </c>
      <c r="O133" s="123"/>
      <c r="P133" s="134"/>
      <c r="Q133" s="123" t="str">
        <f aca="false">IF(OR(O128="",O129=""),"",IF(N128=Q129,O128,IF(N129=Q129,O129,IF(N130=Q129,O130,IF(N131=Q129,O131,"")))))</f>
        <v/>
      </c>
      <c r="R133" s="127" t="str">
        <f aca="false">IF(Q133="","",LN(Q133))</f>
        <v/>
      </c>
      <c r="S133" s="10"/>
      <c r="T133" s="9"/>
      <c r="W133" s="14" t="s">
        <v>242</v>
      </c>
      <c r="X133" s="23"/>
      <c r="Y133" s="3" t="str">
        <f aca="false">IF(X133&lt;&gt;Z133,"Change","")</f>
        <v/>
      </c>
      <c r="Z133" s="27" t="str">
        <f aca="false">IF(K250="","",K250)</f>
        <v/>
      </c>
    </row>
    <row r="134" customFormat="false" ht="15.75" hidden="false" customHeight="false" outlineLevel="0" collapsed="false">
      <c r="I134" s="7"/>
      <c r="J134" s="10"/>
      <c r="K134" s="130" t="str">
        <f aca="false">IF(K133="","",K133)</f>
        <v/>
      </c>
      <c r="L134" s="97"/>
      <c r="M134" s="10"/>
      <c r="N134" s="123" t="s">
        <v>255</v>
      </c>
      <c r="O134" s="126" t="n">
        <f aca="false" t="array" ref="O134:O134">IF($I$124=1,IF(I127&lt;=75,MIN(ROUND(TREND(Tables!B81:B83,Tables!A81:A83,I127),1),TRUNC(TREND(Tables!B81:B83,Tables!A81:A83,I127),2)),MIN(ROUND(TREND(Tables!B84:B92,Tables!A84:A92,I127),1),TRUNC(TREND(Tables!B84:B92,Tables!A84:A92,I127),2))),MIN(ROUND(TREND(Tables!F78:F80,Tables!D78:D80,I127),1),TRUNC(TREND(Tables!F80:F85,Tables!D80:D85,I127),2)))</f>
        <v>2.6</v>
      </c>
      <c r="P134" s="120"/>
      <c r="Q134" s="120"/>
      <c r="R134" s="120"/>
      <c r="S134" s="10"/>
      <c r="T134" s="9"/>
      <c r="W134" s="14" t="s">
        <v>243</v>
      </c>
      <c r="X134" s="23"/>
      <c r="Y134" s="3" t="str">
        <f aca="false">IF(X134&lt;&gt;Z134,"Change","")</f>
        <v/>
      </c>
      <c r="Z134" s="27" t="str">
        <f aca="false">IF(K251="","",K251)</f>
        <v/>
      </c>
    </row>
    <row r="135" customFormat="false" ht="15.75" hidden="false" customHeight="false" outlineLevel="0" collapsed="false">
      <c r="I135" s="7"/>
      <c r="J135" s="10"/>
      <c r="K135" s="10"/>
      <c r="L135" s="10"/>
      <c r="M135" s="10"/>
      <c r="N135" s="123" t="s">
        <v>256</v>
      </c>
      <c r="O135" s="126" t="n">
        <f aca="false" t="array" ref="O135:O135">IF($I$124=1,"",ROUND(AVERAGE(ROUND(TREND(Tables!E78:E85,Tables!D78:D85,I127),2),TRUNC(TREND(Tables!E78:E85,Tables!D78:D85,I127),2)),1))</f>
        <v>3.1</v>
      </c>
      <c r="P135" s="120"/>
      <c r="Q135" s="135" t="s">
        <v>257</v>
      </c>
      <c r="R135" s="136" t="str">
        <f aca="false">IF(AND(L127="",L128=""),"TBD",IF(HVL&gt;=O134,"YES","NO"))</f>
        <v>TBD</v>
      </c>
      <c r="S135" s="10"/>
      <c r="T135" s="9"/>
      <c r="W135" s="14" t="s">
        <v>221</v>
      </c>
      <c r="X135" s="23"/>
      <c r="Y135" s="3" t="str">
        <f aca="false">IF(X135&lt;&gt;Z135,"Change","")</f>
        <v/>
      </c>
      <c r="Z135" s="27" t="str">
        <f aca="false">IF(L240="","",L240)</f>
        <v/>
      </c>
    </row>
    <row r="136" customFormat="false" ht="15.75" hidden="false" customHeight="false" outlineLevel="0" collapsed="false">
      <c r="I136" s="7"/>
      <c r="J136" s="10"/>
      <c r="K136" s="10"/>
      <c r="L136" s="10"/>
      <c r="M136" s="10"/>
      <c r="N136" s="123" t="s">
        <v>258</v>
      </c>
      <c r="O136" s="126" t="n">
        <f aca="false" t="array" ref="O136:O136">IF($I$124=1,"",MAX(ROUND(TREND(Tables!G78:G85,Tables!D78:D85,I127),1),TRUNC(TREND(Tables!G78:G85,Tables!D78:D85,I127,I127),2)))</f>
        <v>3.5</v>
      </c>
      <c r="P136" s="120"/>
      <c r="Q136" s="120"/>
      <c r="R136" s="120"/>
      <c r="S136" s="10"/>
      <c r="T136" s="9"/>
      <c r="W136" s="14" t="s">
        <v>224</v>
      </c>
      <c r="X136" s="23"/>
      <c r="Y136" s="3" t="str">
        <f aca="false">IF(X136&lt;&gt;Z136,"Change","")</f>
        <v/>
      </c>
      <c r="Z136" s="27" t="str">
        <f aca="false">IF(L241="","",L241)</f>
        <v/>
      </c>
    </row>
    <row r="137" customFormat="false" ht="15.75" hidden="false" customHeight="false" outlineLevel="0" collapsed="false">
      <c r="I137" s="7"/>
      <c r="J137" s="10"/>
      <c r="K137" s="10"/>
      <c r="L137" s="10"/>
      <c r="M137" s="10"/>
      <c r="N137" s="10"/>
      <c r="O137" s="10"/>
      <c r="P137" s="120"/>
      <c r="Q137" s="135" t="str">
        <f aca="false">"Previous HVL @ "&amp;X79&amp;" kV:"</f>
        <v>Previous HVL @  kV:</v>
      </c>
      <c r="R137" s="137" t="str">
        <f aca="false">IF(X80="","",X80)</f>
        <v/>
      </c>
      <c r="S137" s="10"/>
      <c r="T137" s="9"/>
      <c r="W137" s="14" t="s">
        <v>226</v>
      </c>
      <c r="X137" s="23"/>
      <c r="Y137" s="3" t="str">
        <f aca="false">IF(X137&lt;&gt;Z137,"Change","")</f>
        <v/>
      </c>
      <c r="Z137" s="27" t="str">
        <f aca="false">IF(L242="","",L242)</f>
        <v/>
      </c>
    </row>
    <row r="138" customFormat="false" ht="15.75" hidden="false" customHeight="false" outlineLevel="0" collapsed="false">
      <c r="I138" s="15"/>
      <c r="J138" s="16"/>
      <c r="K138" s="16"/>
      <c r="L138" s="16"/>
      <c r="M138" s="16"/>
      <c r="N138" s="16"/>
      <c r="O138" s="16"/>
      <c r="P138" s="138"/>
      <c r="Q138" s="139"/>
      <c r="R138" s="139"/>
      <c r="S138" s="16"/>
      <c r="T138" s="18"/>
      <c r="W138" s="14" t="s">
        <v>228</v>
      </c>
      <c r="X138" s="23"/>
      <c r="Y138" s="3" t="str">
        <f aca="false">IF(X138&lt;&gt;Z138,"Change","")</f>
        <v/>
      </c>
      <c r="Z138" s="27" t="str">
        <f aca="false">IF(L243="","",L243)</f>
        <v/>
      </c>
    </row>
    <row r="139" customFormat="false" ht="15.75" hidden="false" customHeight="false" outlineLevel="0" collapsed="false">
      <c r="I139" s="116" t="s">
        <v>259</v>
      </c>
      <c r="J139" s="5"/>
      <c r="K139" s="5"/>
      <c r="L139" s="5"/>
      <c r="M139" s="5"/>
      <c r="N139" s="5"/>
      <c r="O139" s="5"/>
      <c r="P139" s="5"/>
      <c r="Q139" s="5"/>
      <c r="R139" s="5"/>
      <c r="S139" s="5"/>
      <c r="T139" s="6"/>
      <c r="W139" s="14" t="s">
        <v>230</v>
      </c>
      <c r="X139" s="23"/>
      <c r="Y139" s="3" t="str">
        <f aca="false">IF(X139&lt;&gt;Z139,"Change","")</f>
        <v/>
      </c>
      <c r="Z139" s="27" t="str">
        <f aca="false">IF(L244="","",L244)</f>
        <v/>
      </c>
    </row>
    <row r="140" customFormat="false" ht="15.75" hidden="false" customHeight="false" outlineLevel="0" collapsed="false">
      <c r="I140" s="42"/>
      <c r="J140" s="10" t="s">
        <v>260</v>
      </c>
      <c r="K140" s="10"/>
      <c r="L140" s="10"/>
      <c r="M140" s="10"/>
      <c r="N140" s="140"/>
      <c r="O140" s="10" t="s">
        <v>261</v>
      </c>
      <c r="P140" s="10"/>
      <c r="Q140" s="140" t="str">
        <f aca="false">P92</f>
        <v/>
      </c>
      <c r="R140" s="10" t="s">
        <v>195</v>
      </c>
      <c r="S140" s="10"/>
      <c r="T140" s="9"/>
      <c r="W140" s="14" t="s">
        <v>232</v>
      </c>
      <c r="X140" s="23"/>
      <c r="Y140" s="3" t="str">
        <f aca="false">IF(X140&lt;&gt;Z140,"Change","")</f>
        <v/>
      </c>
      <c r="Z140" s="27" t="str">
        <f aca="false">IF(L245="","",L245)</f>
        <v/>
      </c>
    </row>
    <row r="141" customFormat="false" ht="15.75" hidden="false" customHeight="false" outlineLevel="0" collapsed="false">
      <c r="I141" s="42"/>
      <c r="J141" s="10" t="s">
        <v>262</v>
      </c>
      <c r="K141" s="10"/>
      <c r="L141" s="10"/>
      <c r="M141" s="10"/>
      <c r="N141" s="140"/>
      <c r="O141" s="10" t="s">
        <v>263</v>
      </c>
      <c r="P141" s="10"/>
      <c r="Q141" s="140" t="str">
        <f aca="false">P93</f>
        <v/>
      </c>
      <c r="R141" s="10" t="s">
        <v>197</v>
      </c>
      <c r="S141" s="10"/>
      <c r="T141" s="9"/>
      <c r="W141" s="14" t="s">
        <v>235</v>
      </c>
      <c r="X141" s="23"/>
      <c r="Y141" s="3" t="str">
        <f aca="false">IF(X141&lt;&gt;Z141,"Change","")</f>
        <v/>
      </c>
      <c r="Z141" s="27" t="str">
        <f aca="false">IF(L246="","",L246)</f>
        <v/>
      </c>
    </row>
    <row r="142" customFormat="false" ht="15.75" hidden="false" customHeight="false" outlineLevel="0" collapsed="false">
      <c r="I142" s="141" t="str">
        <f aca="false">IF(OR(I140=0,I141=0),"",(I140/I141)^2)</f>
        <v/>
      </c>
      <c r="J142" s="10" t="s">
        <v>264</v>
      </c>
      <c r="K142" s="10"/>
      <c r="L142" s="10"/>
      <c r="M142" s="10"/>
      <c r="N142" s="140"/>
      <c r="O142" s="10" t="s">
        <v>265</v>
      </c>
      <c r="P142" s="10"/>
      <c r="Q142" s="140" t="str">
        <f aca="false">P94</f>
        <v/>
      </c>
      <c r="R142" s="10" t="s">
        <v>199</v>
      </c>
      <c r="S142" s="10"/>
      <c r="T142" s="9"/>
      <c r="W142" s="14" t="s">
        <v>236</v>
      </c>
      <c r="X142" s="23"/>
      <c r="Y142" s="3" t="str">
        <f aca="false">IF(X142&lt;&gt;Z142,"Change","")</f>
        <v/>
      </c>
      <c r="Z142" s="27" t="str">
        <f aca="false">IF(L247="","",L247)</f>
        <v/>
      </c>
    </row>
    <row r="143" customFormat="false" ht="15.75" hidden="false" customHeight="false" outlineLevel="0" collapsed="false">
      <c r="I143" s="7"/>
      <c r="J143" s="10"/>
      <c r="K143" s="10"/>
      <c r="L143" s="10"/>
      <c r="M143" s="10"/>
      <c r="N143" s="10"/>
      <c r="O143" s="10"/>
      <c r="P143" s="10"/>
      <c r="Q143" s="10"/>
      <c r="R143" s="10"/>
      <c r="S143" s="10"/>
      <c r="T143" s="9"/>
      <c r="W143" s="14" t="s">
        <v>238</v>
      </c>
      <c r="X143" s="23"/>
      <c r="Y143" s="3" t="str">
        <f aca="false">IF(X143&lt;&gt;Z143,"Change","")</f>
        <v/>
      </c>
      <c r="Z143" s="27" t="str">
        <f aca="false">IF(L248="","",L248)</f>
        <v/>
      </c>
    </row>
    <row r="144" customFormat="false" ht="15.75" hidden="false" customHeight="false" outlineLevel="0" collapsed="false">
      <c r="I144" s="7"/>
      <c r="J144" s="10"/>
      <c r="K144" s="13" t="s">
        <v>266</v>
      </c>
      <c r="L144" s="13" t="s">
        <v>267</v>
      </c>
      <c r="M144" s="13" t="s">
        <v>268</v>
      </c>
      <c r="N144" s="13" t="s">
        <v>269</v>
      </c>
      <c r="O144" s="13" t="s">
        <v>270</v>
      </c>
      <c r="P144" s="13"/>
      <c r="Q144" s="10"/>
      <c r="R144" s="10"/>
      <c r="S144" s="10"/>
      <c r="T144" s="9"/>
      <c r="W144" s="14" t="s">
        <v>240</v>
      </c>
      <c r="X144" s="23"/>
      <c r="Y144" s="3" t="str">
        <f aca="false">IF(X144&lt;&gt;Z144,"Change","")</f>
        <v/>
      </c>
      <c r="Z144" s="27" t="str">
        <f aca="false">IF(L249="","",L249)</f>
        <v/>
      </c>
    </row>
    <row r="145" customFormat="false" ht="15.75" hidden="false" customHeight="false" outlineLevel="0" collapsed="false">
      <c r="I145" s="142" t="s">
        <v>246</v>
      </c>
      <c r="J145" s="13" t="s">
        <v>192</v>
      </c>
      <c r="K145" s="143" t="s">
        <v>271</v>
      </c>
      <c r="L145" s="143"/>
      <c r="M145" s="144" t="s">
        <v>272</v>
      </c>
      <c r="N145" s="144" t="s">
        <v>273</v>
      </c>
      <c r="O145" s="144" t="s">
        <v>272</v>
      </c>
      <c r="P145" s="13" t="s">
        <v>274</v>
      </c>
      <c r="Q145" s="10"/>
      <c r="R145" s="10"/>
      <c r="S145" s="10"/>
      <c r="T145" s="9"/>
      <c r="W145" s="14" t="s">
        <v>242</v>
      </c>
      <c r="X145" s="23"/>
      <c r="Y145" s="3" t="str">
        <f aca="false">IF(X145&lt;&gt;Z145,"Change","")</f>
        <v/>
      </c>
      <c r="Z145" s="27" t="str">
        <f aca="false">IF(L250="","",L250)</f>
        <v/>
      </c>
    </row>
    <row r="146" customFormat="false" ht="15.75" hidden="false" customHeight="false" outlineLevel="0" collapsed="false">
      <c r="I146" s="121"/>
      <c r="J146" s="79"/>
      <c r="K146" s="77"/>
      <c r="L146" s="79"/>
      <c r="M146" s="145" t="str">
        <f aca="false">IF(OR(K146="",L146=""),"",L146-K146)</f>
        <v/>
      </c>
      <c r="N146" s="146" t="str">
        <f aca="false">IF(M146="","",M146*$I$142)</f>
        <v/>
      </c>
      <c r="O146" s="147"/>
      <c r="P146" s="148" t="str">
        <f aca="false">IF(N146="","",(N146-O146)/O146)</f>
        <v/>
      </c>
      <c r="Q146" s="10"/>
      <c r="R146" s="10"/>
      <c r="S146" s="10"/>
      <c r="T146" s="9"/>
      <c r="W146" s="14" t="s">
        <v>243</v>
      </c>
      <c r="X146" s="23"/>
      <c r="Y146" s="3" t="str">
        <f aca="false">IF(X146&lt;&gt;Z146,"Change","")</f>
        <v/>
      </c>
      <c r="Z146" s="27" t="str">
        <f aca="false">IF(L251="","",L251)</f>
        <v/>
      </c>
    </row>
    <row r="147" customFormat="false" ht="15.75" hidden="false" customHeight="false" outlineLevel="0" collapsed="false">
      <c r="I147" s="149"/>
      <c r="J147" s="85"/>
      <c r="K147" s="83"/>
      <c r="L147" s="85"/>
      <c r="M147" s="150" t="str">
        <f aca="false">IF(OR(K147="",L147=""),"",L147-K147)</f>
        <v/>
      </c>
      <c r="N147" s="151" t="str">
        <f aca="false">IF(M147="","",M147*$I$142)</f>
        <v/>
      </c>
      <c r="O147" s="152"/>
      <c r="P147" s="153" t="str">
        <f aca="false">IF(N147="","",(N147-O147)/O147)</f>
        <v/>
      </c>
      <c r="Q147" s="10"/>
      <c r="R147" s="10"/>
      <c r="S147" s="10"/>
      <c r="T147" s="9"/>
      <c r="W147" s="20" t="s">
        <v>275</v>
      </c>
    </row>
    <row r="148" customFormat="false" ht="15.75" hidden="false" customHeight="false" outlineLevel="0" collapsed="false">
      <c r="I148" s="149"/>
      <c r="J148" s="85"/>
      <c r="K148" s="83"/>
      <c r="L148" s="85"/>
      <c r="M148" s="150" t="str">
        <f aca="false">IF(OR(K148="",L148=""),"",L148-K148)</f>
        <v/>
      </c>
      <c r="N148" s="151" t="str">
        <f aca="false">IF(M148="","",M148*$I$142)</f>
        <v/>
      </c>
      <c r="O148" s="152"/>
      <c r="P148" s="153" t="str">
        <f aca="false">IF(N148="","",(N148-O148)/O148)</f>
        <v/>
      </c>
      <c r="Q148" s="10"/>
      <c r="R148" s="10"/>
      <c r="S148" s="10"/>
      <c r="T148" s="9"/>
      <c r="W148" s="14" t="s">
        <v>276</v>
      </c>
      <c r="X148" s="23"/>
      <c r="Y148" s="3" t="str">
        <f aca="false">IF(X148&lt;&gt;Z148,"Change","")</f>
        <v/>
      </c>
      <c r="Z148" s="27" t="str">
        <f aca="false">IF(K121="","",K121)</f>
        <v/>
      </c>
    </row>
    <row r="149" customFormat="false" ht="15.75" hidden="false" customHeight="false" outlineLevel="0" collapsed="false">
      <c r="I149" s="149"/>
      <c r="J149" s="85"/>
      <c r="K149" s="83"/>
      <c r="L149" s="85"/>
      <c r="M149" s="150" t="str">
        <f aca="false">IF(OR(K149="",L149=""),"",L149-K149)</f>
        <v/>
      </c>
      <c r="N149" s="151" t="str">
        <f aca="false">IF(M149="","",M149*$I$142)</f>
        <v/>
      </c>
      <c r="O149" s="152"/>
      <c r="P149" s="153" t="str">
        <f aca="false">IF(N149="","",(N149-O149)/O149)</f>
        <v/>
      </c>
      <c r="Q149" s="10"/>
      <c r="R149" s="10"/>
      <c r="S149" s="10"/>
      <c r="T149" s="9"/>
      <c r="W149" s="14" t="s">
        <v>277</v>
      </c>
      <c r="X149" s="23"/>
      <c r="Y149" s="3" t="str">
        <f aca="false">IF(X149&lt;&gt;Z149,"Change","")</f>
        <v/>
      </c>
      <c r="Z149" s="27" t="str">
        <f aca="false">IF(K198="","",K198)</f>
        <v/>
      </c>
    </row>
    <row r="150" customFormat="false" ht="15.75" hidden="false" customHeight="false" outlineLevel="0" collapsed="false">
      <c r="I150" s="154"/>
      <c r="J150" s="96"/>
      <c r="K150" s="94"/>
      <c r="L150" s="96"/>
      <c r="M150" s="155" t="str">
        <f aca="false">IF(OR(K150="",L150=""),"",L150-K150)</f>
        <v/>
      </c>
      <c r="N150" s="156" t="str">
        <f aca="false">IF(M150="","",M150*$I$142)</f>
        <v/>
      </c>
      <c r="O150" s="157"/>
      <c r="P150" s="158" t="str">
        <f aca="false">IF(N150="","",(N150-O150)/O150)</f>
        <v/>
      </c>
      <c r="Q150" s="10"/>
      <c r="R150" s="10"/>
      <c r="S150" s="10"/>
      <c r="T150" s="9"/>
      <c r="W150" s="14" t="s">
        <v>278</v>
      </c>
      <c r="X150" s="23"/>
      <c r="Y150" s="3" t="str">
        <f aca="false">IF(X150&lt;&gt;Z150,"Change","")</f>
        <v/>
      </c>
      <c r="Z150" s="27" t="str">
        <f aca="false">IF(K181="","",K181)</f>
        <v/>
      </c>
    </row>
    <row r="151" customFormat="false" ht="15.75" hidden="false" customHeight="false" outlineLevel="0" collapsed="false">
      <c r="I151" s="7"/>
      <c r="J151" s="10"/>
      <c r="K151" s="13" t="s">
        <v>279</v>
      </c>
      <c r="L151" s="13" t="s">
        <v>280</v>
      </c>
      <c r="M151" s="13" t="s">
        <v>268</v>
      </c>
      <c r="N151" s="13" t="s">
        <v>281</v>
      </c>
      <c r="O151" s="13" t="s">
        <v>270</v>
      </c>
      <c r="P151" s="13"/>
      <c r="Q151" s="10"/>
      <c r="R151" s="10"/>
      <c r="S151" s="10"/>
      <c r="T151" s="9"/>
      <c r="W151" s="14" t="s">
        <v>282</v>
      </c>
      <c r="X151" s="23"/>
      <c r="Y151" s="3" t="str">
        <f aca="false">IF(X151&lt;&gt;Z151,"Change","")</f>
        <v/>
      </c>
      <c r="Z151" s="27" t="str">
        <f aca="false">IF(K235="","",K235)</f>
        <v/>
      </c>
    </row>
    <row r="152" customFormat="false" ht="15.75" hidden="false" customHeight="false" outlineLevel="0" collapsed="false">
      <c r="I152" s="142" t="s">
        <v>246</v>
      </c>
      <c r="J152" s="13" t="s">
        <v>192</v>
      </c>
      <c r="K152" s="143" t="s">
        <v>283</v>
      </c>
      <c r="L152" s="143"/>
      <c r="M152" s="144" t="s">
        <v>284</v>
      </c>
      <c r="N152" s="144" t="s">
        <v>273</v>
      </c>
      <c r="O152" s="144" t="s">
        <v>284</v>
      </c>
      <c r="P152" s="13" t="s">
        <v>274</v>
      </c>
      <c r="Q152" s="10"/>
      <c r="R152" s="10"/>
      <c r="S152" s="10"/>
      <c r="T152" s="9"/>
      <c r="W152" s="14" t="s">
        <v>285</v>
      </c>
      <c r="X152" s="23"/>
      <c r="Y152" s="3" t="str">
        <f aca="false">IF(X152&lt;&gt;Z152,"Change","")</f>
        <v/>
      </c>
      <c r="Z152" s="27" t="str">
        <f aca="false">IF(K254="","",K254)</f>
        <v/>
      </c>
    </row>
    <row r="153" customFormat="false" ht="15.75" hidden="false" customHeight="false" outlineLevel="0" collapsed="false">
      <c r="I153" s="121"/>
      <c r="J153" s="79"/>
      <c r="K153" s="77"/>
      <c r="L153" s="79"/>
      <c r="M153" s="145" t="str">
        <f aca="false">IF(OR(K153="",L153=""),"",L153-K153)</f>
        <v/>
      </c>
      <c r="N153" s="146" t="str">
        <f aca="false">IF(M153="","",M153*$I$142)</f>
        <v/>
      </c>
      <c r="O153" s="147"/>
      <c r="P153" s="159" t="str">
        <f aca="false">IF(N153="","",(N153-O153)/O153)</f>
        <v/>
      </c>
      <c r="Q153" s="10"/>
      <c r="R153" s="10"/>
      <c r="S153" s="10"/>
      <c r="T153" s="9"/>
      <c r="W153" s="14" t="s">
        <v>286</v>
      </c>
      <c r="X153" s="23"/>
      <c r="Y153" s="3" t="str">
        <f aca="false">IF(X153&lt;&gt;Z153,"Change","")</f>
        <v/>
      </c>
      <c r="Z153" s="27" t="str">
        <f aca="false">IF(K267="","",K267)</f>
        <v/>
      </c>
    </row>
    <row r="154" customFormat="false" ht="15.75" hidden="false" customHeight="false" outlineLevel="0" collapsed="false">
      <c r="I154" s="149"/>
      <c r="J154" s="85"/>
      <c r="K154" s="83"/>
      <c r="L154" s="85"/>
      <c r="M154" s="150" t="str">
        <f aca="false">IF(OR(K154="",L154=""),"",L154-K154)</f>
        <v/>
      </c>
      <c r="N154" s="151" t="str">
        <f aca="false">IF(M154="","",M154*$I$142)</f>
        <v/>
      </c>
      <c r="O154" s="152"/>
      <c r="P154" s="160" t="str">
        <f aca="false">IF(N154="","",(N154-O154)/O154)</f>
        <v/>
      </c>
      <c r="Q154" s="10"/>
      <c r="R154" s="10"/>
      <c r="S154" s="10"/>
      <c r="T154" s="9"/>
      <c r="X154" s="1"/>
      <c r="Y154" s="1"/>
      <c r="Z154" s="1"/>
    </row>
    <row r="155" customFormat="false" ht="15.75" hidden="false" customHeight="false" outlineLevel="0" collapsed="false">
      <c r="I155" s="149"/>
      <c r="J155" s="85"/>
      <c r="K155" s="83"/>
      <c r="L155" s="85"/>
      <c r="M155" s="150" t="str">
        <f aca="false">IF(OR(K155="",L155=""),"",L155-K155)</f>
        <v/>
      </c>
      <c r="N155" s="151" t="str">
        <f aca="false">IF(M155="","",M155*$I$142)</f>
        <v/>
      </c>
      <c r="O155" s="152"/>
      <c r="P155" s="160" t="str">
        <f aca="false">IF(N155="","",(N155-O155)/O155)</f>
        <v/>
      </c>
      <c r="Q155" s="10"/>
      <c r="R155" s="10"/>
      <c r="S155" s="10"/>
      <c r="T155" s="9"/>
      <c r="W155" s="20"/>
      <c r="X155" s="1"/>
      <c r="Y155" s="1"/>
      <c r="Z155" s="1"/>
    </row>
    <row r="156" customFormat="false" ht="15.75" hidden="false" customHeight="false" outlineLevel="0" collapsed="false">
      <c r="I156" s="149"/>
      <c r="J156" s="85"/>
      <c r="K156" s="83"/>
      <c r="L156" s="85"/>
      <c r="M156" s="150" t="str">
        <f aca="false">IF(OR(K156="",L156=""),"",L156-K156)</f>
        <v/>
      </c>
      <c r="N156" s="151" t="str">
        <f aca="false">IF(M156="","",M156*$I$142)</f>
        <v/>
      </c>
      <c r="O156" s="152"/>
      <c r="P156" s="160" t="str">
        <f aca="false">IF(N156="","",(N156-O156)/O156)</f>
        <v/>
      </c>
      <c r="Q156" s="10"/>
      <c r="R156" s="10"/>
      <c r="S156" s="10"/>
      <c r="T156" s="9"/>
      <c r="W156" s="20" t="s">
        <v>287</v>
      </c>
    </row>
    <row r="157" customFormat="false" ht="15.75" hidden="false" customHeight="false" outlineLevel="0" collapsed="false">
      <c r="I157" s="154"/>
      <c r="J157" s="96"/>
      <c r="K157" s="94"/>
      <c r="L157" s="96"/>
      <c r="M157" s="155" t="str">
        <f aca="false">IF(OR(K157="",L157=""),"",L157-K157)</f>
        <v/>
      </c>
      <c r="N157" s="156" t="str">
        <f aca="false">IF(M157="","",M157*$I$142)</f>
        <v/>
      </c>
      <c r="O157" s="157"/>
      <c r="P157" s="161" t="str">
        <f aca="false">IF(N157="","",(N157-O157)/O157)</f>
        <v/>
      </c>
      <c r="Q157" s="10"/>
      <c r="R157" s="10"/>
      <c r="S157" s="10"/>
      <c r="T157" s="9"/>
      <c r="W157" s="14" t="s">
        <v>288</v>
      </c>
      <c r="X157" s="23"/>
      <c r="Y157" s="3" t="str">
        <f aca="false">IF(X157&lt;&gt;Z157,"Change","")</f>
        <v/>
      </c>
      <c r="Z157" s="27" t="str">
        <f aca="false">IF(K270="","",K270)</f>
        <v/>
      </c>
    </row>
    <row r="158" customFormat="false" ht="15.75" hidden="false" customHeight="false" outlineLevel="0" collapsed="false">
      <c r="I158" s="7"/>
      <c r="J158" s="10"/>
      <c r="K158" s="13" t="s">
        <v>268</v>
      </c>
      <c r="L158" s="13" t="s">
        <v>289</v>
      </c>
      <c r="M158" s="13" t="s">
        <v>270</v>
      </c>
      <c r="N158" s="13"/>
      <c r="O158" s="10"/>
      <c r="P158" s="10"/>
      <c r="Q158" s="10"/>
      <c r="R158" s="10"/>
      <c r="S158" s="10"/>
      <c r="T158" s="9"/>
      <c r="W158" s="14" t="s">
        <v>155</v>
      </c>
      <c r="X158" s="23"/>
      <c r="Y158" s="3" t="str">
        <f aca="false">IF(X158&lt;&gt;Z158,"Change","")</f>
        <v/>
      </c>
      <c r="Z158" s="27" t="str">
        <f aca="false">IF(K271="","",K271)</f>
        <v/>
      </c>
    </row>
    <row r="159" customFormat="false" ht="15.75" hidden="false" customHeight="false" outlineLevel="0" collapsed="false">
      <c r="I159" s="142" t="s">
        <v>246</v>
      </c>
      <c r="J159" s="13" t="s">
        <v>192</v>
      </c>
      <c r="K159" s="144" t="s">
        <v>290</v>
      </c>
      <c r="L159" s="144" t="s">
        <v>273</v>
      </c>
      <c r="M159" s="144" t="s">
        <v>290</v>
      </c>
      <c r="N159" s="13" t="s">
        <v>274</v>
      </c>
      <c r="O159" s="10"/>
      <c r="P159" s="10"/>
      <c r="Q159" s="10"/>
      <c r="R159" s="10"/>
      <c r="S159" s="10"/>
      <c r="T159" s="9"/>
      <c r="W159" s="14" t="s">
        <v>157</v>
      </c>
      <c r="X159" s="23"/>
      <c r="Y159" s="3" t="str">
        <f aca="false">IF(X159&lt;&gt;Z159,"Change","")</f>
        <v/>
      </c>
      <c r="Z159" s="27" t="str">
        <f aca="false">IF(K272="","",K272)</f>
        <v/>
      </c>
    </row>
    <row r="160" customFormat="false" ht="15.75" hidden="false" customHeight="false" outlineLevel="0" collapsed="false">
      <c r="I160" s="121"/>
      <c r="J160" s="79"/>
      <c r="K160" s="80"/>
      <c r="L160" s="146" t="str">
        <f aca="false">IF(K160="","",K160*$I$142)</f>
        <v/>
      </c>
      <c r="M160" s="77"/>
      <c r="N160" s="162" t="str">
        <f aca="false">IF(L160="","",(L160-M160)/M160)</f>
        <v/>
      </c>
      <c r="O160" s="10"/>
      <c r="P160" s="10"/>
      <c r="Q160" s="10"/>
      <c r="R160" s="10"/>
      <c r="S160" s="10"/>
      <c r="T160" s="9"/>
      <c r="W160" s="14" t="s">
        <v>291</v>
      </c>
      <c r="X160" s="23"/>
      <c r="Y160" s="3" t="str">
        <f aca="false">IF(X160&lt;&gt;Z160,"Change","")</f>
        <v/>
      </c>
      <c r="Z160" s="27" t="str">
        <f aca="false">IF(K281="","",K281)</f>
        <v/>
      </c>
    </row>
    <row r="161" customFormat="false" ht="15.75" hidden="false" customHeight="false" outlineLevel="0" collapsed="false">
      <c r="I161" s="149"/>
      <c r="J161" s="85"/>
      <c r="K161" s="86"/>
      <c r="L161" s="151" t="str">
        <f aca="false">IF(K161="","",K161*$I$142)</f>
        <v/>
      </c>
      <c r="M161" s="83"/>
      <c r="N161" s="163" t="str">
        <f aca="false">IF(L161="","",(L161-M161)/M161)</f>
        <v/>
      </c>
      <c r="O161" s="10"/>
      <c r="P161" s="10"/>
      <c r="Q161" s="10"/>
      <c r="R161" s="10"/>
      <c r="S161" s="10"/>
      <c r="T161" s="9"/>
      <c r="W161" s="14" t="s">
        <v>292</v>
      </c>
      <c r="X161" s="23"/>
      <c r="Y161" s="3" t="str">
        <f aca="false">IF(X161&lt;&gt;Z161,"Change","")</f>
        <v/>
      </c>
      <c r="Z161" s="27" t="str">
        <f aca="false">IF(K288="","",K288)</f>
        <v/>
      </c>
    </row>
    <row r="162" customFormat="false" ht="15.75" hidden="false" customHeight="false" outlineLevel="0" collapsed="false">
      <c r="I162" s="149"/>
      <c r="J162" s="85"/>
      <c r="K162" s="86"/>
      <c r="L162" s="151" t="str">
        <f aca="false">IF(K162="","",K162*$I$142)</f>
        <v/>
      </c>
      <c r="M162" s="83"/>
      <c r="N162" s="163" t="str">
        <f aca="false">IF(L162="","",(L162-M162)/M162)</f>
        <v/>
      </c>
      <c r="O162" s="10"/>
      <c r="P162" s="10"/>
      <c r="Q162" s="10"/>
      <c r="R162" s="10"/>
      <c r="S162" s="10"/>
      <c r="T162" s="9"/>
      <c r="W162" s="20" t="s">
        <v>293</v>
      </c>
      <c r="X162" s="164"/>
      <c r="Z162" s="164" t="str">
        <f aca="false">IF(L282="","",L282)</f>
        <v/>
      </c>
    </row>
    <row r="163" customFormat="false" ht="15.75" hidden="false" customHeight="false" outlineLevel="0" collapsed="false">
      <c r="I163" s="149"/>
      <c r="J163" s="85"/>
      <c r="K163" s="86"/>
      <c r="L163" s="151" t="str">
        <f aca="false">IF(K163="","",K163*$I$142)</f>
        <v/>
      </c>
      <c r="M163" s="83"/>
      <c r="N163" s="163" t="str">
        <f aca="false">IF(L163="","",(L163-M163)/M163)</f>
        <v/>
      </c>
      <c r="O163" s="10"/>
      <c r="P163" s="10"/>
      <c r="Q163" s="10"/>
      <c r="R163" s="10"/>
      <c r="S163" s="10"/>
      <c r="T163" s="9"/>
      <c r="W163" s="14" t="s">
        <v>294</v>
      </c>
      <c r="X163" s="23"/>
      <c r="Y163" s="3" t="str">
        <f aca="false">IF(X163&lt;&gt;Z163,"Change","")</f>
        <v/>
      </c>
      <c r="Z163" s="27" t="str">
        <f aca="false">IF(O290="","",O290)</f>
        <v/>
      </c>
    </row>
    <row r="164" customFormat="false" ht="15.75" hidden="false" customHeight="true" outlineLevel="0" collapsed="false">
      <c r="I164" s="154"/>
      <c r="J164" s="96"/>
      <c r="K164" s="97"/>
      <c r="L164" s="156" t="str">
        <f aca="false">IF(K164="","",K164*$I$142)</f>
        <v/>
      </c>
      <c r="M164" s="94"/>
      <c r="N164" s="165" t="str">
        <f aca="false">IF(L164="","",(L164-M164)/M164)</f>
        <v/>
      </c>
      <c r="O164" s="10"/>
      <c r="P164" s="10"/>
      <c r="Q164" s="10"/>
      <c r="R164" s="10"/>
      <c r="S164" s="10"/>
      <c r="T164" s="9"/>
      <c r="W164" s="20" t="s">
        <v>295</v>
      </c>
      <c r="X164" s="164"/>
      <c r="Z164" s="164"/>
    </row>
    <row r="165" customFormat="false" ht="15.75" hidden="false" customHeight="false" outlineLevel="0" collapsed="false">
      <c r="I165" s="7"/>
      <c r="J165" s="10"/>
      <c r="K165" s="10"/>
      <c r="L165" s="10"/>
      <c r="M165" s="10"/>
      <c r="N165" s="10"/>
      <c r="O165" s="10"/>
      <c r="P165" s="10"/>
      <c r="Q165" s="13"/>
      <c r="R165" s="10"/>
      <c r="S165" s="10"/>
      <c r="T165" s="9"/>
      <c r="W165" s="14" t="s">
        <v>155</v>
      </c>
      <c r="X165" s="23"/>
      <c r="Y165" s="3" t="str">
        <f aca="false">IF(X165&lt;&gt;Z165,"Change","")</f>
        <v/>
      </c>
      <c r="Z165" s="27" t="str">
        <f aca="false">IF(J292="","",J292)</f>
        <v/>
      </c>
    </row>
    <row r="166" customFormat="false" ht="15.75" hidden="false" customHeight="false" outlineLevel="0" collapsed="false">
      <c r="I166" s="166" t="s">
        <v>233</v>
      </c>
      <c r="J166" s="110" t="s">
        <v>296</v>
      </c>
      <c r="K166" s="10"/>
      <c r="L166" s="10"/>
      <c r="M166" s="10"/>
      <c r="N166" s="10"/>
      <c r="O166" s="10"/>
      <c r="P166" s="10"/>
      <c r="Q166" s="13"/>
      <c r="R166" s="10"/>
      <c r="S166" s="10"/>
      <c r="T166" s="9"/>
      <c r="W166" s="14" t="s">
        <v>297</v>
      </c>
      <c r="X166" s="23"/>
      <c r="Y166" s="3" t="str">
        <f aca="false">IF(X166&lt;&gt;Z166,"Change","")</f>
        <v/>
      </c>
      <c r="Z166" s="27" t="str">
        <f aca="false">IF(J293="","",J293)</f>
        <v/>
      </c>
    </row>
    <row r="167" customFormat="false" ht="15.75" hidden="false" customHeight="false" outlineLevel="0" collapsed="false">
      <c r="I167" s="15"/>
      <c r="J167" s="16"/>
      <c r="K167" s="16"/>
      <c r="L167" s="16"/>
      <c r="M167" s="16"/>
      <c r="N167" s="16"/>
      <c r="O167" s="16"/>
      <c r="P167" s="16"/>
      <c r="Q167" s="16"/>
      <c r="R167" s="16"/>
      <c r="S167" s="16"/>
      <c r="T167" s="18"/>
      <c r="W167" s="14" t="s">
        <v>298</v>
      </c>
      <c r="X167" s="23"/>
      <c r="Y167" s="3" t="str">
        <f aca="false">IF(X167&lt;&gt;Z167,"Change","")</f>
        <v/>
      </c>
      <c r="Z167" s="27" t="str">
        <f aca="false">IF(J294="","",J294)</f>
        <v/>
      </c>
    </row>
    <row r="168" customFormat="false" ht="15.75" hidden="false" customHeight="false" outlineLevel="0" collapsed="false">
      <c r="I168" s="116" t="s">
        <v>299</v>
      </c>
      <c r="J168" s="5"/>
      <c r="K168" s="5"/>
      <c r="L168" s="5"/>
      <c r="M168" s="5"/>
      <c r="N168" s="5"/>
      <c r="O168" s="5"/>
      <c r="P168" s="5"/>
      <c r="Q168" s="5"/>
      <c r="R168" s="5"/>
      <c r="S168" s="5"/>
      <c r="T168" s="6"/>
      <c r="W168" s="14" t="s">
        <v>300</v>
      </c>
      <c r="X168" s="23"/>
      <c r="Y168" s="3" t="str">
        <f aca="false">IF(X168&lt;&gt;Z168,"Change","")</f>
        <v/>
      </c>
      <c r="Z168" s="27" t="str">
        <f aca="false">IF(J295="","",J295)</f>
        <v/>
      </c>
    </row>
    <row r="169" customFormat="false" ht="15.75" hidden="false" customHeight="false" outlineLevel="0" collapsed="false">
      <c r="I169" s="7"/>
      <c r="J169" s="10"/>
      <c r="K169" s="10"/>
      <c r="L169" s="10"/>
      <c r="M169" s="13" t="s">
        <v>301</v>
      </c>
      <c r="N169" s="10"/>
      <c r="O169" s="10"/>
      <c r="P169" s="10"/>
      <c r="Q169" s="10"/>
      <c r="R169" s="10"/>
      <c r="S169" s="10"/>
      <c r="T169" s="9"/>
      <c r="W169" s="14" t="s">
        <v>302</v>
      </c>
      <c r="X169" s="23"/>
      <c r="Y169" s="3" t="str">
        <f aca="false">IF(X169&lt;&gt;Z169,"Change","")</f>
        <v/>
      </c>
      <c r="Z169" s="27" t="str">
        <f aca="false">IF(J296="","",J296)</f>
        <v/>
      </c>
    </row>
    <row r="170" customFormat="false" ht="15.75" hidden="false" customHeight="false" outlineLevel="0" collapsed="false">
      <c r="I170" s="7"/>
      <c r="J170" s="10"/>
      <c r="K170" s="13" t="s">
        <v>191</v>
      </c>
      <c r="L170" s="13" t="s">
        <v>192</v>
      </c>
      <c r="M170" s="13" t="s">
        <v>193</v>
      </c>
      <c r="N170" s="13" t="s">
        <v>303</v>
      </c>
      <c r="O170" s="13" t="s">
        <v>10</v>
      </c>
      <c r="P170" s="10"/>
      <c r="Q170" s="167" t="s">
        <v>304</v>
      </c>
      <c r="R170" s="10"/>
      <c r="S170" s="10"/>
      <c r="T170" s="9"/>
      <c r="W170" s="14" t="s">
        <v>305</v>
      </c>
      <c r="X170" s="23"/>
      <c r="Y170" s="3" t="str">
        <f aca="false">IF(X170&lt;&gt;Z170,"Change","")</f>
        <v/>
      </c>
      <c r="Z170" s="27" t="str">
        <f aca="false">IF(J297="","",J297)</f>
        <v/>
      </c>
    </row>
    <row r="171" customFormat="false" ht="15.75" hidden="false" customHeight="false" outlineLevel="0" collapsed="false">
      <c r="A171" s="47" t="s">
        <v>7</v>
      </c>
      <c r="B171" s="48" t="str">
        <f aca="false">IF($K$6="","",$K$6)</f>
        <v/>
      </c>
      <c r="F171" s="47" t="s">
        <v>8</v>
      </c>
      <c r="G171" s="49" t="str">
        <f aca="false">IF($R$6="","",$R$6)</f>
        <v/>
      </c>
      <c r="I171" s="7"/>
      <c r="J171" s="168" t="s">
        <v>306</v>
      </c>
      <c r="K171" s="169" t="str">
        <f aca="false">IF(AND(K44="",N44=""),"",IF($I$93=1,K44,IF(AND($I$94=1,Q44&lt;&gt;""),Q44,IF(N44&lt;&gt;"",N44,IF(K44&lt;&gt;"",K44,"")))))</f>
        <v/>
      </c>
      <c r="L171" s="169" t="str">
        <f aca="false">IF(AND(L44="",O44=""),"",IF($I$93=1,L44,IF(AND($I$94=1,R44&lt;&gt;""),R44,IF(O44&lt;&gt;"",O44,IF(L44&lt;&gt;"",L44,"")))))</f>
        <v/>
      </c>
      <c r="M171" s="169" t="str">
        <f aca="false">IF(AND(M44="",P44=""),"",IF($I$93=1,M44,IF(AND($I$94=1,S44&lt;&gt;""),S44,IF(P44&lt;&gt;"",P44,IF(M44&lt;&gt;"",M44,"")))))</f>
        <v/>
      </c>
      <c r="N171" s="170" t="n">
        <v>0</v>
      </c>
      <c r="O171" s="171" t="str">
        <f aca="false">IF(X82="","",X82)</f>
        <v/>
      </c>
      <c r="P171" s="10"/>
      <c r="Q171" s="172" t="str">
        <f aca="false">IF(N171="NA","NA",IF(OR(M171="",N171=""),"TBD",IF(N171&lt;=2*M171,"YES","NO")))</f>
        <v>TBD</v>
      </c>
      <c r="R171" s="10"/>
      <c r="S171" s="10"/>
      <c r="T171" s="9"/>
      <c r="W171" s="14" t="s">
        <v>307</v>
      </c>
      <c r="X171" s="23"/>
      <c r="Y171" s="3" t="str">
        <f aca="false">IF(X171&lt;&gt;Z171,"Change","")</f>
        <v/>
      </c>
      <c r="Z171" s="27" t="str">
        <f aca="false">IF(J298="","",J298)</f>
        <v/>
      </c>
    </row>
    <row r="172" customFormat="false" ht="15.75" hidden="false" customHeight="false" outlineLevel="0" collapsed="false">
      <c r="A172" s="47" t="s">
        <v>99</v>
      </c>
      <c r="B172" s="50" t="str">
        <f aca="false">IF($K$14="","",$K$14)</f>
        <v/>
      </c>
      <c r="F172" s="47" t="s">
        <v>29</v>
      </c>
      <c r="G172" s="50" t="str">
        <f aca="false">IF($K$13="","",$K$13)</f>
        <v/>
      </c>
      <c r="I172" s="7"/>
      <c r="J172" s="10"/>
      <c r="K172" s="10"/>
      <c r="L172" s="10"/>
      <c r="M172" s="13" t="s">
        <v>308</v>
      </c>
      <c r="N172" s="13" t="s">
        <v>309</v>
      </c>
      <c r="O172" s="13" t="s">
        <v>308</v>
      </c>
      <c r="P172" s="13" t="s">
        <v>309</v>
      </c>
      <c r="Q172" s="13" t="s">
        <v>308</v>
      </c>
      <c r="R172" s="13" t="s">
        <v>309</v>
      </c>
      <c r="S172" s="10"/>
      <c r="T172" s="9"/>
      <c r="W172" s="14" t="s">
        <v>310</v>
      </c>
      <c r="X172" s="23"/>
      <c r="Y172" s="3" t="str">
        <f aca="false">IF(X172&lt;&gt;Z172,"Change","")</f>
        <v/>
      </c>
      <c r="Z172" s="27" t="str">
        <f aca="false">IF(J299="","",J299)</f>
        <v/>
      </c>
    </row>
    <row r="173" customFormat="false" ht="15.75" hidden="false" customHeight="false" outlineLevel="0" collapsed="false">
      <c r="G173" s="51" t="str">
        <f aca="false">$D$2</f>
        <v>Medical University of South Carolina</v>
      </c>
      <c r="I173" s="7"/>
      <c r="J173" s="10"/>
      <c r="K173" s="10"/>
      <c r="L173" s="10"/>
      <c r="M173" s="13" t="s">
        <v>311</v>
      </c>
      <c r="N173" s="13" t="s">
        <v>311</v>
      </c>
      <c r="O173" s="13" t="s">
        <v>303</v>
      </c>
      <c r="P173" s="13" t="s">
        <v>303</v>
      </c>
      <c r="Q173" s="13" t="s">
        <v>303</v>
      </c>
      <c r="R173" s="13" t="s">
        <v>303</v>
      </c>
      <c r="S173" s="10"/>
      <c r="T173" s="9"/>
      <c r="W173" s="20" t="s">
        <v>312</v>
      </c>
      <c r="X173" s="164"/>
      <c r="Z173" s="164"/>
    </row>
    <row r="174" customFormat="false" ht="15.75" hidden="false" customHeight="true" outlineLevel="0" collapsed="false">
      <c r="G174" s="52" t="str">
        <f aca="false">$D$5</f>
        <v>O-Arm System Compliance Inspection</v>
      </c>
      <c r="I174" s="173" t="s">
        <v>313</v>
      </c>
      <c r="J174" s="174" t="s">
        <v>314</v>
      </c>
      <c r="K174" s="174" t="str">
        <f aca="false">IF(K171="","",K171)</f>
        <v/>
      </c>
      <c r="L174" s="174" t="str">
        <f aca="false">IF(L171="","",L171)</f>
        <v/>
      </c>
      <c r="M174" s="78"/>
      <c r="N174" s="78"/>
      <c r="O174" s="174" t="str">
        <f aca="false">IF(M174="","",M174*60)</f>
        <v/>
      </c>
      <c r="P174" s="174" t="str">
        <f aca="false">IF(N174="","",N174*60)</f>
        <v/>
      </c>
      <c r="Q174" s="175" t="str">
        <f aca="false">IF(X83="","",X83)</f>
        <v/>
      </c>
      <c r="R174" s="176" t="str">
        <f aca="false">IF(X85="","",X85)</f>
        <v/>
      </c>
      <c r="S174" s="10"/>
      <c r="T174" s="9"/>
      <c r="W174" s="14" t="s">
        <v>315</v>
      </c>
      <c r="X174" s="23"/>
      <c r="Y174" s="3" t="str">
        <f aca="false">IF(X174&lt;&gt;Z174,"Change","")</f>
        <v/>
      </c>
      <c r="Z174" s="27" t="str">
        <f aca="false">IF(N295="","",N295)</f>
        <v/>
      </c>
    </row>
    <row r="175" customFormat="false" ht="15.75" hidden="false" customHeight="false" outlineLevel="0" collapsed="false">
      <c r="I175" s="173"/>
      <c r="J175" s="177" t="s">
        <v>316</v>
      </c>
      <c r="K175" s="177" t="str">
        <f aca="false">IF(K171="","",K171)</f>
        <v/>
      </c>
      <c r="L175" s="177" t="str">
        <f aca="false">IF(L171="","",L171)</f>
        <v/>
      </c>
      <c r="M175" s="95"/>
      <c r="N175" s="95"/>
      <c r="O175" s="177" t="str">
        <f aca="false">IF(M175="","",M175*60)</f>
        <v/>
      </c>
      <c r="P175" s="177" t="str">
        <f aca="false">IF(N175="","",N175*60)</f>
        <v/>
      </c>
      <c r="Q175" s="106" t="str">
        <f aca="false">IF(X84="","",X84)</f>
        <v/>
      </c>
      <c r="R175" s="108" t="str">
        <f aca="false">IF(X86="","",X86)</f>
        <v/>
      </c>
      <c r="S175" s="10"/>
      <c r="T175" s="9"/>
      <c r="W175" s="14" t="s">
        <v>317</v>
      </c>
      <c r="X175" s="23"/>
      <c r="Y175" s="3" t="str">
        <f aca="false">IF(X175&lt;&gt;Z175,"Change","")</f>
        <v/>
      </c>
      <c r="Z175" s="27" t="str">
        <f aca="false">IF(N296="","",N296)</f>
        <v/>
      </c>
    </row>
    <row r="176" customFormat="false" ht="15.75" hidden="false" customHeight="false" outlineLevel="0" collapsed="false">
      <c r="I176" s="7"/>
      <c r="J176" s="110" t="s">
        <v>318</v>
      </c>
      <c r="K176" s="110"/>
      <c r="L176" s="10"/>
      <c r="M176" s="10"/>
      <c r="N176" s="10"/>
      <c r="O176" s="10"/>
      <c r="P176" s="10"/>
      <c r="Q176" s="10"/>
      <c r="R176" s="10"/>
      <c r="S176" s="10"/>
      <c r="T176" s="9"/>
      <c r="W176" s="14" t="s">
        <v>319</v>
      </c>
      <c r="X176" s="23"/>
      <c r="Y176" s="3" t="str">
        <f aca="false">IF(X176&lt;&gt;Z176,"Change","")</f>
        <v/>
      </c>
      <c r="Z176" s="27" t="str">
        <f aca="false">IF(I310="","",I310)</f>
        <v/>
      </c>
    </row>
    <row r="177" customFormat="false" ht="15.75" hidden="false" customHeight="false" outlineLevel="0" collapsed="false">
      <c r="I177" s="7"/>
      <c r="J177" s="110" t="s">
        <v>320</v>
      </c>
      <c r="K177" s="110"/>
      <c r="L177" s="10"/>
      <c r="M177" s="10"/>
      <c r="N177" s="10"/>
      <c r="O177" s="10"/>
      <c r="P177" s="10"/>
      <c r="Q177" s="10"/>
      <c r="R177" s="10"/>
      <c r="S177" s="10"/>
      <c r="T177" s="9"/>
      <c r="W177" s="14"/>
      <c r="X177" s="164"/>
      <c r="Z177" s="164" t="str">
        <f aca="false">IF(M284="","",M284)</f>
        <v/>
      </c>
    </row>
    <row r="178" customFormat="false" ht="15.75" hidden="false" customHeight="false" outlineLevel="0" collapsed="false">
      <c r="I178" s="7"/>
      <c r="J178" s="113" t="s">
        <v>233</v>
      </c>
      <c r="K178" s="110" t="s">
        <v>321</v>
      </c>
      <c r="L178" s="10"/>
      <c r="M178" s="10"/>
      <c r="N178" s="10"/>
      <c r="O178" s="10"/>
      <c r="P178" s="10"/>
      <c r="Q178" s="10"/>
      <c r="R178" s="10"/>
      <c r="S178" s="10"/>
      <c r="T178" s="9"/>
      <c r="W178" s="14" t="s">
        <v>322</v>
      </c>
      <c r="X178" s="23"/>
      <c r="Y178" s="3" t="str">
        <f aca="false">IF(X178&lt;&gt;Z178,"Change","")</f>
        <v/>
      </c>
      <c r="Z178" s="27" t="str">
        <f aca="false">IF(K315="","",K315)</f>
        <v/>
      </c>
    </row>
    <row r="179" customFormat="false" ht="15.75" hidden="false" customHeight="false" outlineLevel="0" collapsed="false">
      <c r="I179" s="7"/>
      <c r="J179" s="28" t="s">
        <v>237</v>
      </c>
      <c r="K179" s="12" t="str">
        <f aca="false">IF(K181&lt;&gt;"",K181,IF(X150="","",X150))</f>
        <v/>
      </c>
      <c r="L179" s="29"/>
      <c r="M179" s="29"/>
      <c r="N179" s="29"/>
      <c r="O179" s="29"/>
      <c r="P179" s="29"/>
      <c r="Q179" s="29"/>
      <c r="R179" s="29"/>
      <c r="S179" s="10"/>
      <c r="T179" s="9"/>
      <c r="W179" s="14"/>
      <c r="X179" s="164"/>
      <c r="Z179" s="164"/>
    </row>
    <row r="180" customFormat="false" ht="15.75" hidden="false" customHeight="false" outlineLevel="0" collapsed="false">
      <c r="I180" s="7"/>
      <c r="J180" s="114" t="s">
        <v>239</v>
      </c>
      <c r="K180" s="10"/>
      <c r="L180" s="115" t="n">
        <f aca="false">LEN(K179)</f>
        <v>0</v>
      </c>
      <c r="M180" s="10"/>
      <c r="N180" s="10"/>
      <c r="O180" s="10"/>
      <c r="P180" s="10"/>
      <c r="Q180" s="10"/>
      <c r="R180" s="10"/>
      <c r="S180" s="10"/>
      <c r="T180" s="9"/>
      <c r="W180" s="14"/>
      <c r="X180" s="23"/>
      <c r="Y180" s="3" t="str">
        <f aca="false">IF(X180&lt;&gt;Z180,"Change","")</f>
        <v/>
      </c>
      <c r="Z180" s="27" t="str">
        <f aca="false">IF(K317="","",K317)</f>
        <v/>
      </c>
    </row>
    <row r="181" customFormat="false" ht="15.75" hidden="false" customHeight="false" outlineLevel="0" collapsed="false">
      <c r="I181" s="7"/>
      <c r="J181" s="28" t="s">
        <v>241</v>
      </c>
      <c r="K181" s="11"/>
      <c r="L181" s="29"/>
      <c r="M181" s="29"/>
      <c r="N181" s="29"/>
      <c r="O181" s="29"/>
      <c r="P181" s="29"/>
      <c r="Q181" s="29"/>
      <c r="R181" s="29"/>
      <c r="S181" s="10"/>
      <c r="T181" s="9"/>
      <c r="W181" s="14"/>
      <c r="X181" s="164"/>
      <c r="Z181" s="164"/>
    </row>
    <row r="182" customFormat="false" ht="15.75" hidden="false" customHeight="false" outlineLevel="0" collapsed="false">
      <c r="I182" s="15"/>
      <c r="J182" s="16"/>
      <c r="K182" s="16"/>
      <c r="L182" s="16"/>
      <c r="M182" s="16"/>
      <c r="N182" s="16"/>
      <c r="O182" s="16"/>
      <c r="P182" s="16"/>
      <c r="Q182" s="16"/>
      <c r="R182" s="16"/>
      <c r="S182" s="16"/>
      <c r="T182" s="18"/>
      <c r="W182" s="20"/>
      <c r="X182" s="23"/>
      <c r="Y182" s="3" t="str">
        <f aca="false">IF(X182&lt;&gt;Z182,"Change","")</f>
        <v/>
      </c>
      <c r="Z182" s="27" t="str">
        <f aca="false">IF(K319="","",K319)</f>
        <v/>
      </c>
    </row>
    <row r="183" customFormat="false" ht="15.75" hidden="false" customHeight="false" outlineLevel="0" collapsed="false">
      <c r="I183" s="116" t="s">
        <v>323</v>
      </c>
      <c r="J183" s="5"/>
      <c r="K183" s="5"/>
      <c r="L183" s="5"/>
      <c r="M183" s="5"/>
      <c r="N183" s="5"/>
      <c r="O183" s="5"/>
      <c r="P183" s="5"/>
      <c r="Q183" s="5"/>
      <c r="R183" s="5"/>
      <c r="S183" s="5"/>
      <c r="T183" s="6"/>
      <c r="W183" s="14"/>
      <c r="X183" s="164"/>
      <c r="Z183" s="164"/>
    </row>
    <row r="184" customFormat="false" ht="15.75" hidden="false" customHeight="false" outlineLevel="0" collapsed="false">
      <c r="I184" s="142" t="s">
        <v>324</v>
      </c>
      <c r="J184" s="13" t="s">
        <v>325</v>
      </c>
      <c r="K184" s="13"/>
      <c r="L184" s="13"/>
      <c r="M184" s="13"/>
      <c r="N184" s="13"/>
      <c r="O184" s="13" t="s">
        <v>326</v>
      </c>
      <c r="P184" s="10"/>
      <c r="Q184" s="10"/>
      <c r="R184" s="10"/>
      <c r="S184" s="10"/>
      <c r="T184" s="9"/>
      <c r="W184" s="14"/>
      <c r="X184" s="23"/>
      <c r="Y184" s="3" t="str">
        <f aca="false">IF(X184&lt;&gt;Z184,"Change","")</f>
        <v/>
      </c>
      <c r="Z184" s="27" t="str">
        <f aca="false">IF(K321="","",K321)</f>
        <v/>
      </c>
    </row>
    <row r="185" customFormat="false" ht="15.75" hidden="false" customHeight="false" outlineLevel="0" collapsed="false">
      <c r="I185" s="142" t="s">
        <v>327</v>
      </c>
      <c r="J185" s="13" t="s">
        <v>328</v>
      </c>
      <c r="K185" s="13" t="s">
        <v>191</v>
      </c>
      <c r="L185" s="13" t="s">
        <v>192</v>
      </c>
      <c r="M185" s="13" t="s">
        <v>311</v>
      </c>
      <c r="N185" s="13" t="s">
        <v>329</v>
      </c>
      <c r="O185" s="13" t="s">
        <v>329</v>
      </c>
      <c r="P185" s="10"/>
      <c r="Q185" s="10"/>
      <c r="R185" s="10"/>
      <c r="S185" s="10"/>
      <c r="T185" s="9"/>
      <c r="W185" s="14"/>
      <c r="X185" s="164"/>
      <c r="Z185" s="164"/>
    </row>
    <row r="186" customFormat="false" ht="15.75" hidden="false" customHeight="false" outlineLevel="0" collapsed="false">
      <c r="I186" s="178" t="str">
        <f aca="false">IF(K99="","",K99)</f>
        <v/>
      </c>
      <c r="J186" s="174" t="str">
        <f aca="false">IF($I$102="","",$I$102)</f>
        <v/>
      </c>
      <c r="K186" s="78"/>
      <c r="L186" s="78"/>
      <c r="M186" s="78"/>
      <c r="N186" s="78"/>
      <c r="O186" s="176" t="str">
        <f aca="false">IF(X88="","",X88)</f>
        <v/>
      </c>
      <c r="P186" s="10"/>
      <c r="Q186" s="110" t="s">
        <v>330</v>
      </c>
      <c r="R186" s="10"/>
      <c r="S186" s="10"/>
      <c r="T186" s="9"/>
      <c r="W186" s="14"/>
      <c r="X186" s="23"/>
      <c r="Y186" s="3" t="str">
        <f aca="false">IF(X186&lt;&gt;Z186,"Change","")</f>
        <v/>
      </c>
      <c r="Z186" s="27" t="str">
        <f aca="false">IF(K323="","",K323)</f>
        <v/>
      </c>
    </row>
    <row r="187" customFormat="false" ht="15.75" hidden="false" customHeight="false" outlineLevel="0" collapsed="false">
      <c r="I187" s="178"/>
      <c r="J187" s="64" t="str">
        <f aca="false">IF($I$105="","",$I$105)</f>
        <v/>
      </c>
      <c r="K187" s="84"/>
      <c r="L187" s="84"/>
      <c r="M187" s="84"/>
      <c r="N187" s="84"/>
      <c r="O187" s="179" t="str">
        <f aca="false">IF(X89="","",X89)</f>
        <v/>
      </c>
      <c r="P187" s="10"/>
      <c r="Q187" s="110" t="s">
        <v>331</v>
      </c>
      <c r="R187" s="10"/>
      <c r="S187" s="10"/>
      <c r="T187" s="9"/>
      <c r="W187" s="14"/>
      <c r="X187" s="164"/>
      <c r="Z187" s="164"/>
    </row>
    <row r="188" customFormat="false" ht="15.75" hidden="false" customHeight="false" outlineLevel="0" collapsed="false">
      <c r="I188" s="178"/>
      <c r="J188" s="180" t="str">
        <f aca="false">IF($I$108="","",$I$108)</f>
        <v/>
      </c>
      <c r="K188" s="90"/>
      <c r="L188" s="90"/>
      <c r="M188" s="90"/>
      <c r="N188" s="90"/>
      <c r="O188" s="181" t="str">
        <f aca="false">IF(X90="","",X90)</f>
        <v/>
      </c>
      <c r="P188" s="10"/>
      <c r="Q188" s="110" t="s">
        <v>332</v>
      </c>
      <c r="R188" s="10"/>
      <c r="S188" s="10"/>
      <c r="T188" s="9"/>
      <c r="W188" s="14"/>
      <c r="X188" s="23"/>
      <c r="Y188" s="3" t="str">
        <f aca="false">IF(X188&lt;&gt;Z188,"Change","")</f>
        <v/>
      </c>
      <c r="Z188" s="27" t="str">
        <f aca="false">IF(K325="","",K325)</f>
        <v/>
      </c>
    </row>
    <row r="189" customFormat="false" ht="15.75" hidden="false" customHeight="false" outlineLevel="0" collapsed="false">
      <c r="I189" s="182" t="str">
        <f aca="false">IF(N99="","",N99)</f>
        <v/>
      </c>
      <c r="J189" s="174" t="str">
        <f aca="false">IF($I$102="","",$I$102)</f>
        <v/>
      </c>
      <c r="K189" s="78"/>
      <c r="L189" s="78"/>
      <c r="M189" s="78"/>
      <c r="N189" s="78"/>
      <c r="O189" s="176" t="str">
        <f aca="false">IF(X91="","",X91)</f>
        <v/>
      </c>
      <c r="P189" s="10"/>
      <c r="Q189" s="10"/>
      <c r="R189" s="10"/>
      <c r="S189" s="10"/>
      <c r="T189" s="9"/>
      <c r="W189" s="14"/>
      <c r="X189" s="164"/>
      <c r="Z189" s="164"/>
    </row>
    <row r="190" customFormat="false" ht="15.75" hidden="false" customHeight="false" outlineLevel="0" collapsed="false">
      <c r="I190" s="182"/>
      <c r="J190" s="64" t="str">
        <f aca="false">IF($I$105="","",$I$105)</f>
        <v/>
      </c>
      <c r="K190" s="84"/>
      <c r="L190" s="84"/>
      <c r="M190" s="84"/>
      <c r="N190" s="84"/>
      <c r="O190" s="179" t="str">
        <f aca="false">IF(X92="","",X92)</f>
        <v/>
      </c>
      <c r="P190" s="10"/>
      <c r="Q190" s="10"/>
      <c r="R190" s="10"/>
      <c r="S190" s="10"/>
      <c r="T190" s="9"/>
      <c r="W190" s="14"/>
      <c r="X190" s="23"/>
      <c r="Y190" s="3" t="str">
        <f aca="false">IF(X190&lt;&gt;Z190,"Change","")</f>
        <v/>
      </c>
      <c r="Z190" s="27" t="str">
        <f aca="false">IF(K327="","",K327)</f>
        <v/>
      </c>
    </row>
    <row r="191" customFormat="false" ht="15.75" hidden="false" customHeight="false" outlineLevel="0" collapsed="false">
      <c r="I191" s="182"/>
      <c r="J191" s="180" t="str">
        <f aca="false">IF($I$108="","",$I$108)</f>
        <v/>
      </c>
      <c r="K191" s="95"/>
      <c r="L191" s="95"/>
      <c r="M191" s="95"/>
      <c r="N191" s="95"/>
      <c r="O191" s="108" t="str">
        <f aca="false">IF(X93="","",X93)</f>
        <v/>
      </c>
      <c r="P191" s="10"/>
      <c r="Q191" s="10"/>
      <c r="R191" s="10"/>
      <c r="S191" s="10"/>
      <c r="T191" s="9"/>
      <c r="W191" s="14"/>
      <c r="X191" s="164"/>
      <c r="Z191" s="164"/>
    </row>
    <row r="192" customFormat="false" ht="15.75" hidden="false" customHeight="false" outlineLevel="0" collapsed="false">
      <c r="I192" s="182" t="str">
        <f aca="false">IF(Q99="","",Q99)</f>
        <v/>
      </c>
      <c r="J192" s="174" t="str">
        <f aca="false">IF($I$102="","",$I$102)</f>
        <v/>
      </c>
      <c r="K192" s="100"/>
      <c r="L192" s="100"/>
      <c r="M192" s="100"/>
      <c r="N192" s="100"/>
      <c r="O192" s="183" t="str">
        <f aca="false">IF(X94="","",X94)</f>
        <v/>
      </c>
      <c r="P192" s="10"/>
      <c r="Q192" s="10"/>
      <c r="R192" s="10"/>
      <c r="S192" s="10"/>
      <c r="T192" s="9"/>
      <c r="W192" s="14"/>
      <c r="X192" s="23"/>
      <c r="Y192" s="3" t="str">
        <f aca="false">IF(X192&lt;&gt;Z192,"Change","")</f>
        <v/>
      </c>
      <c r="Z192" s="27" t="str">
        <f aca="false">IF(K329="","",K329)</f>
        <v/>
      </c>
    </row>
    <row r="193" customFormat="false" ht="15.75" hidden="false" customHeight="false" outlineLevel="0" collapsed="false">
      <c r="I193" s="182"/>
      <c r="J193" s="64" t="str">
        <f aca="false">IF($I$105="","",$I$105)</f>
        <v/>
      </c>
      <c r="K193" s="84"/>
      <c r="L193" s="84"/>
      <c r="M193" s="84"/>
      <c r="N193" s="84"/>
      <c r="O193" s="179" t="str">
        <f aca="false">IF(X95="","",X95)</f>
        <v/>
      </c>
      <c r="P193" s="10"/>
      <c r="Q193" s="10"/>
      <c r="R193" s="10"/>
      <c r="S193" s="10"/>
      <c r="T193" s="9"/>
      <c r="W193" s="14"/>
      <c r="X193" s="164"/>
      <c r="Z193" s="164"/>
    </row>
    <row r="194" customFormat="false" ht="15.75" hidden="false" customHeight="false" outlineLevel="0" collapsed="false">
      <c r="I194" s="182"/>
      <c r="J194" s="177" t="str">
        <f aca="false">IF($I$108="","",$I$108)</f>
        <v/>
      </c>
      <c r="K194" s="95"/>
      <c r="L194" s="95"/>
      <c r="M194" s="95"/>
      <c r="N194" s="95"/>
      <c r="O194" s="108" t="str">
        <f aca="false">IF(X96="","",X96)</f>
        <v/>
      </c>
      <c r="P194" s="10"/>
      <c r="Q194" s="10"/>
      <c r="R194" s="10"/>
      <c r="S194" s="10"/>
      <c r="T194" s="9"/>
      <c r="W194" s="14"/>
      <c r="X194" s="23"/>
      <c r="Y194" s="3" t="str">
        <f aca="false">IF(X194&lt;&gt;Z194,"Change","")</f>
        <v/>
      </c>
      <c r="Z194" s="27" t="str">
        <f aca="false">IF(K331="","",K331)</f>
        <v/>
      </c>
    </row>
    <row r="195" customFormat="false" ht="15.75" hidden="false" customHeight="false" outlineLevel="0" collapsed="false">
      <c r="I195" s="7"/>
      <c r="J195" s="10"/>
      <c r="K195" s="10"/>
      <c r="L195" s="10"/>
      <c r="M195" s="10"/>
      <c r="N195" s="10"/>
      <c r="O195" s="10"/>
      <c r="P195" s="10"/>
      <c r="Q195" s="10"/>
      <c r="R195" s="10"/>
      <c r="S195" s="10"/>
      <c r="T195" s="9"/>
      <c r="W195" s="184"/>
      <c r="X195" s="164"/>
      <c r="Z195" s="164"/>
    </row>
    <row r="196" customFormat="false" ht="15.75" hidden="false" customHeight="false" outlineLevel="0" collapsed="false">
      <c r="I196" s="7"/>
      <c r="J196" s="28" t="s">
        <v>237</v>
      </c>
      <c r="K196" s="12" t="str">
        <f aca="false">IF(K198&lt;&gt;"",K198,IF(X149="","",X149))</f>
        <v/>
      </c>
      <c r="L196" s="29"/>
      <c r="M196" s="29"/>
      <c r="N196" s="29"/>
      <c r="O196" s="29"/>
      <c r="P196" s="29"/>
      <c r="Q196" s="29"/>
      <c r="R196" s="29"/>
      <c r="S196" s="10"/>
      <c r="T196" s="9"/>
      <c r="X196" s="23"/>
      <c r="Y196" s="3" t="str">
        <f aca="false">IF(X196&lt;&gt;Z196,"Change","")</f>
        <v/>
      </c>
      <c r="Z196" s="27" t="str">
        <f aca="false">IF(K333="","",K333)</f>
        <v/>
      </c>
    </row>
    <row r="197" customFormat="false" ht="15.75" hidden="false" customHeight="false" outlineLevel="0" collapsed="false">
      <c r="I197" s="7"/>
      <c r="J197" s="114" t="s">
        <v>239</v>
      </c>
      <c r="K197" s="10"/>
      <c r="L197" s="115" t="n">
        <f aca="false">LEN(K196)</f>
        <v>0</v>
      </c>
      <c r="M197" s="10"/>
      <c r="N197" s="10"/>
      <c r="O197" s="10"/>
      <c r="P197" s="10"/>
      <c r="Q197" s="10"/>
      <c r="R197" s="10"/>
      <c r="S197" s="10"/>
      <c r="T197" s="9"/>
      <c r="X197" s="164"/>
      <c r="Z197" s="164"/>
    </row>
    <row r="198" customFormat="false" ht="15.75" hidden="false" customHeight="false" outlineLevel="0" collapsed="false">
      <c r="I198" s="7"/>
      <c r="J198" s="28" t="s">
        <v>241</v>
      </c>
      <c r="K198" s="11"/>
      <c r="L198" s="29"/>
      <c r="M198" s="29"/>
      <c r="N198" s="29"/>
      <c r="O198" s="29"/>
      <c r="P198" s="29"/>
      <c r="Q198" s="29"/>
      <c r="R198" s="29"/>
      <c r="S198" s="10"/>
      <c r="T198" s="9"/>
      <c r="X198" s="23"/>
      <c r="Y198" s="3" t="str">
        <f aca="false">IF(X198&lt;&gt;Z198,"Change","")</f>
        <v/>
      </c>
      <c r="Z198" s="27" t="str">
        <f aca="false">IF(K335="","",K335)</f>
        <v/>
      </c>
    </row>
    <row r="199" customFormat="false" ht="15.75" hidden="false" customHeight="false" outlineLevel="0" collapsed="false">
      <c r="I199" s="15"/>
      <c r="J199" s="16"/>
      <c r="K199" s="16"/>
      <c r="L199" s="16"/>
      <c r="M199" s="16"/>
      <c r="N199" s="16"/>
      <c r="O199" s="16"/>
      <c r="P199" s="16"/>
      <c r="Q199" s="16"/>
      <c r="R199" s="16"/>
      <c r="S199" s="16"/>
      <c r="T199" s="18"/>
      <c r="X199" s="164"/>
      <c r="Z199" s="164"/>
    </row>
    <row r="200" customFormat="false" ht="15.75" hidden="false" customHeight="false" outlineLevel="0" collapsed="false">
      <c r="I200" s="116" t="s">
        <v>333</v>
      </c>
      <c r="J200" s="5"/>
      <c r="K200" s="5"/>
      <c r="L200" s="5"/>
      <c r="M200" s="5"/>
      <c r="N200" s="5"/>
      <c r="O200" s="5"/>
      <c r="P200" s="5"/>
      <c r="Q200" s="5"/>
      <c r="R200" s="5"/>
      <c r="S200" s="5"/>
      <c r="T200" s="6"/>
      <c r="X200" s="23"/>
      <c r="Y200" s="3" t="str">
        <f aca="false">IF(X200&lt;&gt;Z200,"Change","")</f>
        <v/>
      </c>
      <c r="Z200" s="27" t="str">
        <f aca="false">IF(K337="","",K337)</f>
        <v/>
      </c>
    </row>
    <row r="201" customFormat="false" ht="15.75" hidden="false" customHeight="false" outlineLevel="0" collapsed="false">
      <c r="I201" s="7"/>
      <c r="J201" s="28" t="s">
        <v>334</v>
      </c>
      <c r="K201" s="39" t="s">
        <v>335</v>
      </c>
      <c r="L201" s="39"/>
      <c r="M201" s="10"/>
      <c r="N201" s="28" t="s">
        <v>336</v>
      </c>
      <c r="O201" s="185"/>
      <c r="P201" s="185"/>
      <c r="Q201" s="10"/>
      <c r="R201" s="10"/>
      <c r="S201" s="10"/>
      <c r="T201" s="9"/>
      <c r="X201" s="164"/>
      <c r="Z201" s="164"/>
    </row>
    <row r="202" customFormat="false" ht="15.75" hidden="false" customHeight="false" outlineLevel="0" collapsed="false">
      <c r="I202" s="7"/>
      <c r="J202" s="28" t="s">
        <v>40</v>
      </c>
      <c r="K202" s="39" t="s">
        <v>337</v>
      </c>
      <c r="L202" s="39"/>
      <c r="M202" s="10"/>
      <c r="N202" s="28" t="s">
        <v>338</v>
      </c>
      <c r="O202" s="186"/>
      <c r="P202" s="186"/>
      <c r="Q202" s="10"/>
      <c r="R202" s="10"/>
      <c r="S202" s="10"/>
      <c r="T202" s="9"/>
      <c r="X202" s="23"/>
      <c r="Y202" s="3" t="str">
        <f aca="false">IF(X202&lt;&gt;Z202,"Change","")</f>
        <v/>
      </c>
      <c r="Z202" s="27" t="str">
        <f aca="false">IF(K339="","",K339)</f>
        <v/>
      </c>
    </row>
    <row r="203" customFormat="false" ht="15.75" hidden="false" customHeight="false" outlineLevel="0" collapsed="false">
      <c r="I203" s="7"/>
      <c r="J203" s="10"/>
      <c r="K203" s="10"/>
      <c r="L203" s="10"/>
      <c r="M203" s="10"/>
      <c r="N203" s="10"/>
      <c r="O203" s="10"/>
      <c r="P203" s="10"/>
      <c r="Q203" s="10"/>
      <c r="R203" s="10"/>
      <c r="S203" s="10"/>
      <c r="T203" s="9"/>
      <c r="X203" s="164"/>
      <c r="Z203" s="164"/>
    </row>
    <row r="204" customFormat="false" ht="15.75" hidden="false" customHeight="false" outlineLevel="0" collapsed="false">
      <c r="I204" s="7"/>
      <c r="J204" s="10"/>
      <c r="K204" s="10"/>
      <c r="L204" s="10"/>
      <c r="M204" s="10"/>
      <c r="N204" s="10"/>
      <c r="O204" s="10"/>
      <c r="P204" s="10"/>
      <c r="Q204" s="10"/>
      <c r="R204" s="10"/>
      <c r="S204" s="10"/>
      <c r="T204" s="9"/>
      <c r="X204" s="23"/>
      <c r="Y204" s="3" t="str">
        <f aca="false">IF(X204&lt;&gt;Z204,"Change","")</f>
        <v/>
      </c>
      <c r="Z204" s="27" t="str">
        <f aca="false">IF(K341="","",K341)</f>
        <v/>
      </c>
    </row>
    <row r="205" customFormat="false" ht="15.75" hidden="false" customHeight="false" outlineLevel="0" collapsed="false">
      <c r="I205" s="58" t="s">
        <v>339</v>
      </c>
      <c r="J205" s="10"/>
      <c r="K205" s="10"/>
      <c r="L205" s="13" t="s">
        <v>340</v>
      </c>
      <c r="M205" s="13" t="s">
        <v>341</v>
      </c>
      <c r="N205" s="10"/>
      <c r="O205" s="10"/>
      <c r="P205" s="10"/>
      <c r="Q205" s="10"/>
      <c r="R205" s="10"/>
      <c r="S205" s="10"/>
      <c r="T205" s="9"/>
      <c r="X205" s="164"/>
      <c r="Z205" s="164"/>
    </row>
    <row r="206" customFormat="false" ht="15.75" hidden="false" customHeight="false" outlineLevel="0" collapsed="false">
      <c r="I206" s="142" t="s">
        <v>342</v>
      </c>
      <c r="J206" s="13" t="s">
        <v>343</v>
      </c>
      <c r="K206" s="13" t="s">
        <v>246</v>
      </c>
      <c r="L206" s="13" t="s">
        <v>344</v>
      </c>
      <c r="M206" s="13" t="s">
        <v>345</v>
      </c>
      <c r="N206" s="13" t="s">
        <v>166</v>
      </c>
      <c r="O206" s="13" t="s">
        <v>346</v>
      </c>
      <c r="P206" s="13" t="s">
        <v>347</v>
      </c>
      <c r="Q206" s="10"/>
      <c r="R206" s="10"/>
      <c r="S206" s="10"/>
      <c r="T206" s="9"/>
      <c r="X206" s="23"/>
      <c r="Y206" s="3" t="str">
        <f aca="false">IF(X206&lt;&gt;Z206,"Change","")</f>
        <v/>
      </c>
      <c r="Z206" s="27" t="str">
        <f aca="false">IF(K343="","",K343)</f>
        <v/>
      </c>
    </row>
    <row r="207" customFormat="false" ht="15.75" hidden="false" customHeight="false" outlineLevel="0" collapsed="false">
      <c r="I207" s="187" t="n">
        <f aca="false">IF('Data Entry'!M4="","",'Data Entry'!M4)</f>
        <v>60</v>
      </c>
      <c r="J207" s="174" t="n">
        <f aca="false">IF('Data Entry'!N4="","",'Data Entry'!N4)</f>
        <v>5</v>
      </c>
      <c r="K207" s="174" t="str">
        <f aca="false">IF('Data Entry'!O4="","",'Data Entry'!O4)</f>
        <v/>
      </c>
      <c r="L207" s="174" t="str">
        <f aca="false">IF('Data Entry'!P4="","",'Data Entry'!P4)</f>
        <v/>
      </c>
      <c r="M207" s="174" t="str">
        <f aca="false">IF('Data Entry'!Q4="","",'Data Entry'!Q4)</f>
        <v/>
      </c>
      <c r="N207" s="174" t="str">
        <f aca="false">IF('Data Entry'!R4="","",'Data Entry'!R4)</f>
        <v/>
      </c>
      <c r="O207" s="174" t="str">
        <f aca="false">IF('Data Entry'!S4="","",'Data Entry'!S4)</f>
        <v/>
      </c>
      <c r="P207" s="188" t="str">
        <f aca="false">IF(K207="","",(K207-I207)/I207)</f>
        <v/>
      </c>
      <c r="Q207" s="10"/>
      <c r="R207" s="10"/>
      <c r="S207" s="10"/>
      <c r="T207" s="9"/>
      <c r="W207" s="14"/>
      <c r="X207" s="164"/>
      <c r="Z207" s="164"/>
    </row>
    <row r="208" customFormat="false" ht="15.75" hidden="false" customHeight="false" outlineLevel="0" collapsed="false">
      <c r="I208" s="189" t="n">
        <f aca="false">IF('Data Entry'!M5="","",'Data Entry'!M5)</f>
        <v>80</v>
      </c>
      <c r="J208" s="64" t="n">
        <f aca="false">IF('Data Entry'!N5="","",'Data Entry'!N5)</f>
        <v>5</v>
      </c>
      <c r="K208" s="64" t="str">
        <f aca="false">IF('Data Entry'!O5="","",AVERAGE('Data Entry'!O5:O9))</f>
        <v/>
      </c>
      <c r="L208" s="64" t="str">
        <f aca="false">IF('Data Entry'!P5="","",AVERAGE('Data Entry'!P5:P9))</f>
        <v/>
      </c>
      <c r="M208" s="64" t="str">
        <f aca="false">IF('Data Entry'!Q5="","",AVERAGE('Data Entry'!Q5:Q9))</f>
        <v/>
      </c>
      <c r="N208" s="64" t="str">
        <f aca="false">IF('Data Entry'!R5="","",AVERAGE('Data Entry'!R5:R9))</f>
        <v/>
      </c>
      <c r="O208" s="64" t="str">
        <f aca="false">IF('Data Entry'!S5="","",AVERAGE('Data Entry'!S5:S9))</f>
        <v/>
      </c>
      <c r="P208" s="190" t="str">
        <f aca="false">IF(K208="","",(K208-I208)/I208)</f>
        <v/>
      </c>
      <c r="Q208" s="10"/>
      <c r="R208" s="10"/>
      <c r="S208" s="10"/>
      <c r="T208" s="9"/>
      <c r="W208" s="14"/>
      <c r="X208" s="23"/>
      <c r="Y208" s="3" t="str">
        <f aca="false">IF(X208&lt;&gt;Z208,"Change","")</f>
        <v/>
      </c>
      <c r="Z208" s="27" t="str">
        <f aca="false">IF(K345="","",K345)</f>
        <v/>
      </c>
    </row>
    <row r="209" customFormat="false" ht="15.75" hidden="false" customHeight="false" outlineLevel="0" collapsed="false">
      <c r="I209" s="189" t="n">
        <f aca="false">IF('Data Entry'!M10="","",'Data Entry'!M10)</f>
        <v>100</v>
      </c>
      <c r="J209" s="64" t="n">
        <f aca="false">IF('Data Entry'!N10="","",'Data Entry'!N10)</f>
        <v>5</v>
      </c>
      <c r="K209" s="64" t="str">
        <f aca="false">IF('Data Entry'!O10="","",'Data Entry'!O10)</f>
        <v/>
      </c>
      <c r="L209" s="64" t="str">
        <f aca="false">IF('Data Entry'!P10="","",'Data Entry'!P10)</f>
        <v/>
      </c>
      <c r="M209" s="64" t="str">
        <f aca="false">IF('Data Entry'!Q10="","",'Data Entry'!Q10)</f>
        <v/>
      </c>
      <c r="N209" s="64" t="str">
        <f aca="false">IF('Data Entry'!R10="","",'Data Entry'!R10)</f>
        <v/>
      </c>
      <c r="O209" s="64" t="str">
        <f aca="false">IF('Data Entry'!S10="","",'Data Entry'!S10)</f>
        <v/>
      </c>
      <c r="P209" s="190" t="str">
        <f aca="false">IF(K209="","",(K209-I209)/I209)</f>
        <v/>
      </c>
      <c r="Q209" s="10"/>
      <c r="R209" s="10"/>
      <c r="S209" s="10"/>
      <c r="T209" s="9"/>
      <c r="W209" s="14"/>
      <c r="X209" s="164"/>
      <c r="Z209" s="164"/>
    </row>
    <row r="210" customFormat="false" ht="15.75" hidden="false" customHeight="false" outlineLevel="0" collapsed="false">
      <c r="I210" s="191" t="n">
        <f aca="false">IF('Data Entry'!M11="","",'Data Entry'!M11)</f>
        <v>120</v>
      </c>
      <c r="J210" s="177" t="n">
        <f aca="false">IF('Data Entry'!N11="","",'Data Entry'!N11)</f>
        <v>5</v>
      </c>
      <c r="K210" s="177" t="str">
        <f aca="false">IF('Data Entry'!O11="","",'Data Entry'!O11)</f>
        <v/>
      </c>
      <c r="L210" s="177" t="str">
        <f aca="false">IF('Data Entry'!P11="","",'Data Entry'!P11)</f>
        <v/>
      </c>
      <c r="M210" s="177" t="str">
        <f aca="false">IF('Data Entry'!Q11="","",'Data Entry'!Q11)</f>
        <v/>
      </c>
      <c r="N210" s="177" t="str">
        <f aca="false">IF('Data Entry'!R11="","",'Data Entry'!R11)</f>
        <v/>
      </c>
      <c r="O210" s="177" t="str">
        <f aca="false">IF('Data Entry'!S11="","",'Data Entry'!S11)</f>
        <v/>
      </c>
      <c r="P210" s="192" t="str">
        <f aca="false">IF(K210="","",(K210-I210)/I210)</f>
        <v/>
      </c>
      <c r="Q210" s="10"/>
      <c r="R210" s="10"/>
      <c r="S210" s="10"/>
      <c r="T210" s="9"/>
      <c r="W210" s="14"/>
      <c r="X210" s="23"/>
      <c r="Y210" s="3" t="str">
        <f aca="false">IF(X210&lt;&gt;Z210,"Change","")</f>
        <v/>
      </c>
      <c r="Z210" s="27" t="str">
        <f aca="false">IF(K347="","",K347)</f>
        <v/>
      </c>
    </row>
    <row r="211" customFormat="false" ht="15.75" hidden="false" customHeight="false" outlineLevel="0" collapsed="false">
      <c r="I211" s="7"/>
      <c r="J211" s="113" t="s">
        <v>233</v>
      </c>
      <c r="K211" s="110" t="s">
        <v>348</v>
      </c>
      <c r="L211" s="10"/>
      <c r="M211" s="10"/>
      <c r="N211" s="10"/>
      <c r="O211" s="28" t="s">
        <v>223</v>
      </c>
      <c r="P211" s="104"/>
      <c r="Q211" s="10"/>
      <c r="R211" s="10"/>
      <c r="S211" s="10"/>
      <c r="T211" s="9"/>
      <c r="W211" s="14"/>
      <c r="X211" s="164"/>
      <c r="Z211" s="164"/>
    </row>
    <row r="212" customFormat="false" ht="15.75" hidden="false" customHeight="false" outlineLevel="0" collapsed="false">
      <c r="I212" s="58" t="s">
        <v>349</v>
      </c>
      <c r="J212" s="10"/>
      <c r="K212" s="10"/>
      <c r="L212" s="10"/>
      <c r="M212" s="10"/>
      <c r="N212" s="10"/>
      <c r="O212" s="10"/>
      <c r="S212" s="10"/>
      <c r="T212" s="9"/>
      <c r="W212" s="14"/>
      <c r="X212" s="23"/>
      <c r="Y212" s="3" t="str">
        <f aca="false">IF(X212&lt;&gt;Z212,"Change","")</f>
        <v/>
      </c>
      <c r="Z212" s="27" t="str">
        <f aca="false">IF(K349="","",K349)</f>
        <v/>
      </c>
    </row>
    <row r="213" customFormat="false" ht="15.75" hidden="false" customHeight="false" outlineLevel="0" collapsed="false">
      <c r="I213" s="7"/>
      <c r="J213" s="10"/>
      <c r="K213" s="13" t="s">
        <v>340</v>
      </c>
      <c r="L213" s="13" t="s">
        <v>341</v>
      </c>
      <c r="M213" s="10"/>
      <c r="N213" s="10"/>
      <c r="O213" s="10"/>
      <c r="P213" s="193" t="s">
        <v>350</v>
      </c>
      <c r="Q213" s="10"/>
      <c r="R213" s="10"/>
      <c r="S213" s="10"/>
      <c r="T213" s="9"/>
      <c r="Z213" s="164"/>
    </row>
    <row r="214" customFormat="false" ht="15.75" hidden="false" customHeight="false" outlineLevel="0" collapsed="false">
      <c r="A214" s="47" t="s">
        <v>7</v>
      </c>
      <c r="B214" s="48" t="str">
        <f aca="false">IF($K$6="","",$K$6)</f>
        <v/>
      </c>
      <c r="F214" s="47" t="s">
        <v>8</v>
      </c>
      <c r="G214" s="49" t="str">
        <f aca="false">IF($R$6="","",$R$6)</f>
        <v/>
      </c>
      <c r="I214" s="142" t="s">
        <v>351</v>
      </c>
      <c r="J214" s="13" t="s">
        <v>246</v>
      </c>
      <c r="K214" s="13" t="s">
        <v>344</v>
      </c>
      <c r="L214" s="13" t="s">
        <v>345</v>
      </c>
      <c r="M214" s="13" t="s">
        <v>166</v>
      </c>
      <c r="N214" s="13" t="s">
        <v>346</v>
      </c>
      <c r="O214" s="10"/>
      <c r="P214" s="13" t="s">
        <v>351</v>
      </c>
      <c r="Q214" s="13" t="s">
        <v>192</v>
      </c>
      <c r="R214" s="13" t="s">
        <v>193</v>
      </c>
      <c r="S214" s="10"/>
      <c r="T214" s="9"/>
      <c r="X214" s="23"/>
      <c r="Y214" s="3" t="str">
        <f aca="false">IF(X214&lt;&gt;Z214,"Change","")</f>
        <v/>
      </c>
      <c r="Z214" s="27" t="str">
        <f aca="false">IF(K351="","",K351)</f>
        <v/>
      </c>
    </row>
    <row r="215" customFormat="false" ht="15.75" hidden="false" customHeight="false" outlineLevel="0" collapsed="false">
      <c r="A215" s="47" t="s">
        <v>99</v>
      </c>
      <c r="B215" s="50" t="str">
        <f aca="false">IF($K$14="","",$K$14)</f>
        <v/>
      </c>
      <c r="F215" s="47" t="s">
        <v>29</v>
      </c>
      <c r="G215" s="50" t="str">
        <f aca="false">IF($K$13="","",$K$13)</f>
        <v/>
      </c>
      <c r="I215" s="194" t="n">
        <f aca="false">IF('Data Entry'!M5="","",'Data Entry'!M5)</f>
        <v>80</v>
      </c>
      <c r="J215" s="145" t="str">
        <f aca="false">IF('Data Entry'!O5="","",'Data Entry'!O5)</f>
        <v/>
      </c>
      <c r="K215" s="174" t="str">
        <f aca="false">IF('Data Entry'!P5="","",'Data Entry'!P5)</f>
        <v/>
      </c>
      <c r="L215" s="174" t="str">
        <f aca="false">IF('Data Entry'!Q5="","",'Data Entry'!Q5)</f>
        <v/>
      </c>
      <c r="M215" s="174" t="str">
        <f aca="false">IF('Data Entry'!R5="","",'Data Entry'!R5)</f>
        <v/>
      </c>
      <c r="N215" s="195" t="str">
        <f aca="false">IF('Data Entry'!S5="","",'Data Entry'!S5)</f>
        <v/>
      </c>
      <c r="O215" s="10"/>
      <c r="P215" s="104" t="n">
        <f aca="false">IF('Data Entry'!M12="","",'Data Entry'!M12)</f>
        <v>80</v>
      </c>
      <c r="Q215" s="145" t="n">
        <f aca="false">IF('Data Entry'!N12="","",'Data Entry'!N12)</f>
        <v>1</v>
      </c>
      <c r="R215" s="195" t="str">
        <f aca="false">IF('Data Entry'!Q12="","",'Data Entry'!Q12)</f>
        <v/>
      </c>
      <c r="S215" s="10"/>
      <c r="T215" s="9"/>
      <c r="Z215" s="164"/>
    </row>
    <row r="216" customFormat="false" ht="15.75" hidden="false" customHeight="false" outlineLevel="0" collapsed="false">
      <c r="G216" s="51" t="str">
        <f aca="false">$D$2</f>
        <v>Medical University of South Carolina</v>
      </c>
      <c r="I216" s="7"/>
      <c r="J216" s="150" t="str">
        <f aca="false">IF('Data Entry'!O6="","",'Data Entry'!O6)</f>
        <v/>
      </c>
      <c r="K216" s="64" t="str">
        <f aca="false">IF('Data Entry'!P6="","",'Data Entry'!P6)</f>
        <v/>
      </c>
      <c r="L216" s="64" t="str">
        <f aca="false">IF('Data Entry'!Q6="","",'Data Entry'!Q6)</f>
        <v/>
      </c>
      <c r="M216" s="64" t="str">
        <f aca="false">IF('Data Entry'!R6="","",'Data Entry'!R6)</f>
        <v/>
      </c>
      <c r="N216" s="190" t="str">
        <f aca="false">IF('Data Entry'!S6="","",'Data Entry'!S6)</f>
        <v/>
      </c>
      <c r="O216" s="10"/>
      <c r="P216" s="10"/>
      <c r="Q216" s="150" t="n">
        <f aca="false">IF('Data Entry'!N13="","",'Data Entry'!N13)</f>
        <v>10</v>
      </c>
      <c r="R216" s="190" t="str">
        <f aca="false">IF('Data Entry'!Q13="","",'Data Entry'!Q13)</f>
        <v/>
      </c>
      <c r="S216" s="10"/>
      <c r="T216" s="9"/>
    </row>
    <row r="217" customFormat="false" ht="15.75" hidden="false" customHeight="false" outlineLevel="0" collapsed="false">
      <c r="G217" s="52" t="str">
        <f aca="false">$D$5</f>
        <v>O-Arm System Compliance Inspection</v>
      </c>
      <c r="I217" s="7"/>
      <c r="J217" s="150" t="str">
        <f aca="false">IF('Data Entry'!O7="","",'Data Entry'!O7)</f>
        <v/>
      </c>
      <c r="K217" s="64" t="str">
        <f aca="false">IF('Data Entry'!P7="","",'Data Entry'!P7)</f>
        <v/>
      </c>
      <c r="L217" s="64" t="str">
        <f aca="false">IF('Data Entry'!Q7="","",'Data Entry'!Q7)</f>
        <v/>
      </c>
      <c r="M217" s="64" t="str">
        <f aca="false">IF('Data Entry'!R7="","",'Data Entry'!R7)</f>
        <v/>
      </c>
      <c r="N217" s="190" t="str">
        <f aca="false">IF('Data Entry'!S7="","",'Data Entry'!S7)</f>
        <v/>
      </c>
      <c r="O217" s="10"/>
      <c r="P217" s="10"/>
      <c r="Q217" s="150" t="n">
        <f aca="false">IF('Data Entry'!N14="","",'Data Entry'!N14)</f>
        <v>7.5</v>
      </c>
      <c r="R217" s="190" t="str">
        <f aca="false">IF('Data Entry'!Q14="","",'Data Entry'!Q14)</f>
        <v/>
      </c>
      <c r="S217" s="10"/>
      <c r="T217" s="9"/>
    </row>
    <row r="218" customFormat="false" ht="15.75" hidden="false" customHeight="false" outlineLevel="0" collapsed="false">
      <c r="I218" s="7"/>
      <c r="J218" s="150" t="str">
        <f aca="false">IF('Data Entry'!O8="","",'Data Entry'!O8)</f>
        <v/>
      </c>
      <c r="K218" s="64" t="str">
        <f aca="false">IF('Data Entry'!P8="","",'Data Entry'!P8)</f>
        <v/>
      </c>
      <c r="L218" s="64" t="str">
        <f aca="false">IF('Data Entry'!Q8="","",'Data Entry'!Q8)</f>
        <v/>
      </c>
      <c r="M218" s="64" t="str">
        <f aca="false">IF('Data Entry'!R8="","",'Data Entry'!R8)</f>
        <v/>
      </c>
      <c r="N218" s="190" t="str">
        <f aca="false">IF('Data Entry'!S8="","",'Data Entry'!S8)</f>
        <v/>
      </c>
      <c r="O218" s="10"/>
      <c r="P218" s="10"/>
      <c r="Q218" s="155" t="n">
        <f aca="false">IF(J208="","",J208)</f>
        <v>5</v>
      </c>
      <c r="R218" s="192" t="str">
        <f aca="false">IF(M208="","",M208)</f>
        <v/>
      </c>
      <c r="S218" s="10"/>
      <c r="T218" s="9"/>
    </row>
    <row r="219" customFormat="false" ht="15.75" hidden="false" customHeight="false" outlineLevel="0" collapsed="false">
      <c r="I219" s="7"/>
      <c r="J219" s="155" t="str">
        <f aca="false">IF('Data Entry'!O9="","",'Data Entry'!O9)</f>
        <v/>
      </c>
      <c r="K219" s="177" t="str">
        <f aca="false">IF('Data Entry'!P9="","",'Data Entry'!P9)</f>
        <v/>
      </c>
      <c r="L219" s="177" t="str">
        <f aca="false">IF('Data Entry'!Q9="","",'Data Entry'!Q9)</f>
        <v/>
      </c>
      <c r="M219" s="177" t="str">
        <f aca="false">IF('Data Entry'!R9="","",'Data Entry'!R9)</f>
        <v/>
      </c>
      <c r="N219" s="192" t="str">
        <f aca="false">IF('Data Entry'!S9="","",'Data Entry'!S9)</f>
        <v/>
      </c>
      <c r="O219" s="10"/>
      <c r="P219" s="10"/>
      <c r="Q219" s="28" t="s">
        <v>352</v>
      </c>
      <c r="R219" s="104"/>
      <c r="S219" s="10"/>
      <c r="T219" s="9"/>
    </row>
    <row r="220" customFormat="false" ht="15.75" hidden="false" customHeight="false" outlineLevel="0" collapsed="false">
      <c r="I220" s="196" t="s">
        <v>353</v>
      </c>
      <c r="J220" s="167" t="str">
        <f aca="false">IF(J215="","",AVERAGE(J215:J219))</f>
        <v/>
      </c>
      <c r="K220" s="10"/>
      <c r="L220" s="167" t="str">
        <f aca="false">IF(L215="","",AVERAGE(L215:L219))</f>
        <v/>
      </c>
      <c r="M220" s="10"/>
      <c r="N220" s="10"/>
      <c r="O220" s="10"/>
      <c r="P220" s="10"/>
      <c r="Q220" s="28" t="s">
        <v>223</v>
      </c>
      <c r="R220" s="104"/>
      <c r="S220" s="10"/>
      <c r="T220" s="9"/>
    </row>
    <row r="221" customFormat="false" ht="15.75" hidden="false" customHeight="false" outlineLevel="0" collapsed="false">
      <c r="I221" s="196" t="s">
        <v>354</v>
      </c>
      <c r="J221" s="197" t="str">
        <f aca="false">IF(J215="","",STDEV(J215:J219))</f>
        <v/>
      </c>
      <c r="K221" s="10"/>
      <c r="L221" s="197" t="str">
        <f aca="false">IF(L215="","",STDEV(L215:L219))</f>
        <v/>
      </c>
      <c r="M221" s="10"/>
      <c r="N221" s="10"/>
      <c r="O221" s="10"/>
      <c r="P221" s="10"/>
      <c r="Q221" s="113" t="s">
        <v>233</v>
      </c>
      <c r="R221" s="110" t="s">
        <v>355</v>
      </c>
      <c r="S221" s="10"/>
      <c r="T221" s="9"/>
    </row>
    <row r="222" customFormat="false" ht="15.75" hidden="false" customHeight="false" outlineLevel="0" collapsed="false">
      <c r="I222" s="196" t="s">
        <v>356</v>
      </c>
      <c r="J222" s="197" t="str">
        <f aca="false">IF(OR(J220="",J221=""),"",J221/J220)</f>
        <v/>
      </c>
      <c r="K222" s="10"/>
      <c r="L222" s="197" t="str">
        <f aca="false">IF(OR(L220="",L221=""),"",L221/L220)</f>
        <v/>
      </c>
      <c r="M222" s="10"/>
      <c r="N222" s="10"/>
      <c r="O222" s="10"/>
      <c r="P222" s="10"/>
      <c r="Q222" s="10"/>
      <c r="R222" s="10"/>
      <c r="S222" s="10"/>
      <c r="T222" s="9"/>
    </row>
    <row r="223" customFormat="false" ht="15.75" hidden="false" customHeight="false" outlineLevel="0" collapsed="false">
      <c r="I223" s="196" t="s">
        <v>223</v>
      </c>
      <c r="J223" s="172" t="str">
        <f aca="false">IF(J222="","",IF(J222&lt;0.05,"PASS", "FAIL"))</f>
        <v/>
      </c>
      <c r="K223" s="10"/>
      <c r="L223" s="172" t="str">
        <f aca="false">IF(L222="","",IF(L222&lt;0.05,"PASS", "FAIL"))</f>
        <v/>
      </c>
      <c r="M223" s="10"/>
      <c r="N223" s="10"/>
      <c r="O223" s="10"/>
      <c r="P223" s="10"/>
      <c r="Q223" s="10"/>
      <c r="R223" s="10"/>
      <c r="S223" s="10"/>
      <c r="T223" s="9"/>
    </row>
    <row r="224" customFormat="false" ht="15.75" hidden="false" customHeight="false" outlineLevel="0" collapsed="false">
      <c r="I224" s="7"/>
      <c r="J224" s="113" t="s">
        <v>233</v>
      </c>
      <c r="K224" s="110" t="s">
        <v>357</v>
      </c>
      <c r="L224" s="10"/>
      <c r="M224" s="10"/>
      <c r="N224" s="10"/>
      <c r="O224" s="10"/>
      <c r="P224" s="10"/>
      <c r="Q224" s="10"/>
      <c r="R224" s="10"/>
      <c r="S224" s="10"/>
      <c r="T224" s="9"/>
    </row>
    <row r="225" customFormat="false" ht="15.75" hidden="false" customHeight="false" outlineLevel="0" collapsed="false">
      <c r="I225" s="15"/>
      <c r="J225" s="16"/>
      <c r="K225" s="16"/>
      <c r="L225" s="16"/>
      <c r="M225" s="16"/>
      <c r="N225" s="16"/>
      <c r="O225" s="16"/>
      <c r="P225" s="16"/>
      <c r="Q225" s="16"/>
      <c r="R225" s="16"/>
      <c r="S225" s="16"/>
      <c r="T225" s="18"/>
    </row>
    <row r="226" customFormat="false" ht="15.75" hidden="false" customHeight="false" outlineLevel="0" collapsed="false">
      <c r="I226" s="116" t="s">
        <v>202</v>
      </c>
      <c r="J226" s="5"/>
      <c r="K226" s="5"/>
      <c r="L226" s="5"/>
      <c r="M226" s="5"/>
      <c r="N226" s="5"/>
      <c r="O226" s="5"/>
      <c r="P226" s="5"/>
      <c r="Q226" s="5"/>
      <c r="R226" s="5"/>
      <c r="S226" s="5"/>
      <c r="T226" s="6"/>
    </row>
    <row r="227" customFormat="false" ht="15.75" hidden="false" customHeight="false" outlineLevel="0" collapsed="false">
      <c r="I227" s="198" t="s">
        <v>118</v>
      </c>
      <c r="J227" s="199" t="s">
        <v>358</v>
      </c>
      <c r="K227" s="199" t="s">
        <v>359</v>
      </c>
      <c r="L227" s="199" t="s">
        <v>360</v>
      </c>
      <c r="M227" s="199" t="s">
        <v>361</v>
      </c>
      <c r="N227" s="200" t="s">
        <v>362</v>
      </c>
      <c r="O227" s="28" t="s">
        <v>203</v>
      </c>
      <c r="P227" s="40" t="n">
        <f aca="false">IF(Q227&lt;&gt;"",Q227,IF(X98="","",X98))</f>
        <v>70</v>
      </c>
      <c r="Q227" s="39" t="n">
        <v>70</v>
      </c>
      <c r="R227" s="10"/>
      <c r="S227" s="10"/>
      <c r="T227" s="9"/>
    </row>
    <row r="228" customFormat="false" ht="15.75" hidden="false" customHeight="false" outlineLevel="0" collapsed="false">
      <c r="I228" s="189" t="str">
        <f aca="false">IF($I$102="","",$I$102)</f>
        <v/>
      </c>
      <c r="J228" s="84"/>
      <c r="K228" s="84"/>
      <c r="L228" s="84"/>
      <c r="M228" s="84"/>
      <c r="N228" s="86"/>
      <c r="O228" s="10"/>
      <c r="P228" s="64" t="s">
        <v>363</v>
      </c>
      <c r="Q228" s="64"/>
      <c r="R228" s="110" t="s">
        <v>364</v>
      </c>
      <c r="S228" s="10"/>
      <c r="T228" s="9"/>
    </row>
    <row r="229" customFormat="false" ht="15.75" hidden="false" customHeight="false" outlineLevel="0" collapsed="false">
      <c r="I229" s="189" t="str">
        <f aca="false">IF($I$105="","",$I$105)</f>
        <v/>
      </c>
      <c r="J229" s="84"/>
      <c r="K229" s="84"/>
      <c r="L229" s="84"/>
      <c r="M229" s="84"/>
      <c r="N229" s="86"/>
      <c r="O229" s="10"/>
      <c r="P229" s="64" t="n">
        <v>1</v>
      </c>
      <c r="Q229" s="201" t="s">
        <v>365</v>
      </c>
      <c r="R229" s="110" t="s">
        <v>366</v>
      </c>
      <c r="S229" s="10"/>
      <c r="T229" s="9"/>
    </row>
    <row r="230" customFormat="false" ht="15.75" hidden="false" customHeight="false" outlineLevel="0" collapsed="false">
      <c r="I230" s="191" t="str">
        <f aca="false">IF($I$108="","",$I$108)</f>
        <v/>
      </c>
      <c r="J230" s="95"/>
      <c r="K230" s="95"/>
      <c r="L230" s="95"/>
      <c r="M230" s="95"/>
      <c r="N230" s="97"/>
      <c r="O230" s="10"/>
      <c r="P230" s="64" t="n">
        <v>2</v>
      </c>
      <c r="Q230" s="201" t="s">
        <v>367</v>
      </c>
      <c r="R230" s="10"/>
      <c r="S230" s="10"/>
      <c r="T230" s="9"/>
    </row>
    <row r="231" customFormat="false" ht="15.75" hidden="false" customHeight="false" outlineLevel="0" collapsed="false">
      <c r="I231" s="7"/>
      <c r="J231" s="10"/>
      <c r="K231" s="10"/>
      <c r="L231" s="28" t="s">
        <v>223</v>
      </c>
      <c r="M231" s="202"/>
      <c r="N231" s="202"/>
      <c r="O231" s="10"/>
      <c r="P231" s="64" t="n">
        <v>3</v>
      </c>
      <c r="Q231" s="201" t="s">
        <v>368</v>
      </c>
      <c r="R231" s="10"/>
      <c r="S231" s="10"/>
      <c r="T231" s="9"/>
    </row>
    <row r="232" customFormat="false" ht="15.75" hidden="false" customHeight="false" outlineLevel="0" collapsed="false">
      <c r="I232" s="7"/>
      <c r="J232" s="10"/>
      <c r="K232" s="10"/>
      <c r="L232" s="10"/>
      <c r="M232" s="10"/>
      <c r="N232" s="10"/>
      <c r="O232" s="10"/>
      <c r="P232" s="64" t="n">
        <v>4</v>
      </c>
      <c r="Q232" s="201" t="s">
        <v>369</v>
      </c>
      <c r="R232" s="10"/>
      <c r="S232" s="10"/>
      <c r="T232" s="9"/>
    </row>
    <row r="233" customFormat="false" ht="15.75" hidden="false" customHeight="false" outlineLevel="0" collapsed="false">
      <c r="I233" s="7"/>
      <c r="J233" s="28" t="s">
        <v>237</v>
      </c>
      <c r="K233" s="12" t="str">
        <f aca="false">IF(K235&lt;&gt;"",K235,IF(X151="","",X151))</f>
        <v/>
      </c>
      <c r="L233" s="29"/>
      <c r="M233" s="29"/>
      <c r="N233" s="29"/>
      <c r="O233" s="29"/>
      <c r="P233" s="29"/>
      <c r="Q233" s="29"/>
      <c r="R233" s="29"/>
      <c r="S233" s="10"/>
      <c r="T233" s="9"/>
    </row>
    <row r="234" customFormat="false" ht="15.75" hidden="false" customHeight="false" outlineLevel="0" collapsed="false">
      <c r="I234" s="7"/>
      <c r="J234" s="114" t="s">
        <v>239</v>
      </c>
      <c r="K234" s="10"/>
      <c r="L234" s="115" t="n">
        <f aca="false">LEN(K233)</f>
        <v>0</v>
      </c>
      <c r="M234" s="10"/>
      <c r="N234" s="10"/>
      <c r="O234" s="10"/>
      <c r="P234" s="10"/>
      <c r="Q234" s="10"/>
      <c r="R234" s="10"/>
      <c r="S234" s="10"/>
      <c r="T234" s="9"/>
    </row>
    <row r="235" customFormat="false" ht="15.75" hidden="false" customHeight="false" outlineLevel="0" collapsed="false">
      <c r="I235" s="7"/>
      <c r="J235" s="28" t="s">
        <v>241</v>
      </c>
      <c r="K235" s="11"/>
      <c r="L235" s="29"/>
      <c r="M235" s="29"/>
      <c r="N235" s="29"/>
      <c r="O235" s="29"/>
      <c r="P235" s="29"/>
      <c r="Q235" s="29"/>
      <c r="R235" s="29"/>
      <c r="S235" s="10"/>
      <c r="T235" s="9"/>
    </row>
    <row r="236" customFormat="false" ht="15.75" hidden="false" customHeight="false" outlineLevel="0" collapsed="false">
      <c r="I236" s="7"/>
      <c r="J236" s="10"/>
      <c r="K236" s="10"/>
      <c r="L236" s="10"/>
      <c r="M236" s="10"/>
      <c r="N236" s="10"/>
      <c r="O236" s="10"/>
      <c r="P236" s="10"/>
      <c r="Q236" s="10"/>
      <c r="R236" s="10"/>
      <c r="S236" s="10"/>
      <c r="T236" s="9"/>
    </row>
    <row r="237" customFormat="false" ht="15.75" hidden="false" customHeight="false" outlineLevel="0" collapsed="false">
      <c r="I237" s="7"/>
      <c r="J237" s="10"/>
      <c r="K237" s="10"/>
      <c r="L237" s="10"/>
      <c r="M237" s="10"/>
      <c r="N237" s="10"/>
      <c r="O237" s="10"/>
      <c r="P237" s="10"/>
      <c r="Q237" s="10"/>
      <c r="R237" s="10"/>
      <c r="S237" s="10"/>
      <c r="T237" s="9"/>
    </row>
    <row r="238" customFormat="false" ht="15.75" hidden="false" customHeight="false" outlineLevel="0" collapsed="false">
      <c r="I238" s="58" t="s">
        <v>370</v>
      </c>
      <c r="J238" s="10"/>
      <c r="K238" s="10"/>
      <c r="L238" s="10"/>
      <c r="M238" s="10"/>
      <c r="N238" s="193" t="s">
        <v>371</v>
      </c>
      <c r="O238" s="10"/>
      <c r="P238" s="10"/>
      <c r="Q238" s="10"/>
      <c r="R238" s="10"/>
      <c r="S238" s="10"/>
      <c r="T238" s="9"/>
    </row>
    <row r="239" customFormat="false" ht="15.75" hidden="false" customHeight="false" outlineLevel="0" collapsed="false">
      <c r="I239" s="189" t="s">
        <v>372</v>
      </c>
      <c r="J239" s="64" t="str">
        <f aca="false">IF($I$102="","",$I$102)</f>
        <v/>
      </c>
      <c r="K239" s="64" t="str">
        <f aca="false">IF($I$105="","",$I$105)</f>
        <v/>
      </c>
      <c r="L239" s="64" t="str">
        <f aca="false">IF($I$108="","",$I$108)</f>
        <v/>
      </c>
      <c r="M239" s="10"/>
      <c r="N239" s="40" t="str">
        <f aca="false">IF(O239&lt;&gt;"",O239,IF(X105="","",X105))</f>
        <v/>
      </c>
      <c r="O239" s="39"/>
      <c r="P239" s="203" t="s">
        <v>373</v>
      </c>
      <c r="Q239" s="10"/>
      <c r="R239" s="10"/>
      <c r="S239" s="10"/>
      <c r="T239" s="9"/>
    </row>
    <row r="240" customFormat="false" ht="15.75" hidden="false" customHeight="false" outlineLevel="0" collapsed="false">
      <c r="I240" s="189" t="s">
        <v>374</v>
      </c>
      <c r="J240" s="84"/>
      <c r="K240" s="84"/>
      <c r="L240" s="84"/>
      <c r="M240" s="10"/>
      <c r="N240" s="10"/>
      <c r="O240" s="10"/>
      <c r="P240" s="10"/>
      <c r="Q240" s="10"/>
      <c r="R240" s="10"/>
      <c r="S240" s="10"/>
      <c r="T240" s="9"/>
    </row>
    <row r="241" customFormat="false" ht="15.75" hidden="false" customHeight="false" outlineLevel="0" collapsed="false">
      <c r="I241" s="189" t="s">
        <v>375</v>
      </c>
      <c r="J241" s="84"/>
      <c r="K241" s="84"/>
      <c r="L241" s="84"/>
      <c r="M241" s="10"/>
      <c r="N241" s="10"/>
      <c r="O241" s="199" t="str">
        <f aca="false">IF($I$102="","",$I$102)</f>
        <v/>
      </c>
      <c r="P241" s="199" t="str">
        <f aca="false">IF($I$105="","",$I$105)</f>
        <v/>
      </c>
      <c r="Q241" s="199" t="str">
        <f aca="false">IF($I$108="","",$I$108)</f>
        <v/>
      </c>
      <c r="R241" s="10"/>
      <c r="S241" s="10"/>
      <c r="T241" s="9"/>
    </row>
    <row r="242" customFormat="false" ht="15.75" hidden="false" customHeight="false" outlineLevel="0" collapsed="false">
      <c r="I242" s="189" t="s">
        <v>376</v>
      </c>
      <c r="J242" s="84"/>
      <c r="K242" s="84"/>
      <c r="L242" s="84"/>
      <c r="M242" s="10"/>
      <c r="N242" s="28" t="s">
        <v>377</v>
      </c>
      <c r="O242" s="84"/>
      <c r="P242" s="84"/>
      <c r="Q242" s="84"/>
      <c r="R242" s="10"/>
      <c r="S242" s="10"/>
      <c r="T242" s="9"/>
    </row>
    <row r="243" customFormat="false" ht="15.75" hidden="false" customHeight="false" outlineLevel="0" collapsed="false">
      <c r="I243" s="189" t="s">
        <v>378</v>
      </c>
      <c r="J243" s="84"/>
      <c r="K243" s="84"/>
      <c r="L243" s="84"/>
      <c r="M243" s="10"/>
      <c r="N243" s="28" t="s">
        <v>379</v>
      </c>
      <c r="O243" s="84"/>
      <c r="P243" s="84"/>
      <c r="Q243" s="84"/>
      <c r="R243" s="10"/>
      <c r="S243" s="10"/>
      <c r="T243" s="9"/>
    </row>
    <row r="244" customFormat="false" ht="15.75" hidden="false" customHeight="false" outlineLevel="0" collapsed="false">
      <c r="I244" s="189" t="s">
        <v>380</v>
      </c>
      <c r="J244" s="84"/>
      <c r="K244" s="84"/>
      <c r="L244" s="84"/>
      <c r="M244" s="10"/>
      <c r="N244" s="28" t="s">
        <v>381</v>
      </c>
      <c r="O244" s="64" t="str">
        <f aca="false">IF(OR(O242="",O243=""),"",SQRT(O242^2+O243^2))</f>
        <v/>
      </c>
      <c r="P244" s="64" t="str">
        <f aca="false">IF(OR(P242="",P243=""),"",SQRT(P242^2+P243^2))</f>
        <v/>
      </c>
      <c r="Q244" s="64" t="str">
        <f aca="false">IF(OR(Q242="",Q243=""),"",SQRT(Q242^2+Q243^2))</f>
        <v/>
      </c>
      <c r="R244" s="10"/>
      <c r="S244" s="10"/>
      <c r="T244" s="9"/>
    </row>
    <row r="245" customFormat="false" ht="15.75" hidden="false" customHeight="false" outlineLevel="0" collapsed="false">
      <c r="I245" s="189" t="s">
        <v>382</v>
      </c>
      <c r="J245" s="84"/>
      <c r="K245" s="84"/>
      <c r="L245" s="84"/>
      <c r="M245" s="10"/>
      <c r="N245" s="28" t="s">
        <v>223</v>
      </c>
      <c r="O245" s="64" t="str">
        <f aca="false">IF($N$239="","NA",IF(OR(O242=0,O243="",O244=""),"",IF($N$239=1,IF(AND(O242&gt;O241*0.85,O243&gt;O241*0.85),"YES","NO"),IF(O244&gt;O241*0.85,"YES","NO"))))</f>
        <v>NA</v>
      </c>
      <c r="P245" s="64" t="str">
        <f aca="false">IF($N$239="","NA",IF(OR(P242=0,P243="",P244=""),"",IF($N$239=1,IF(AND(P242&gt;P241*0.85,P243&gt;P241*0.85),"YES","NO"),IF(P244&gt;P241*0.85,"YES","NO"))))</f>
        <v>NA</v>
      </c>
      <c r="Q245" s="64" t="str">
        <f aca="false">IF($N$239="","NA",IF(OR(Q242=0,Q243="",Q244=""),"",IF($N$239=1,IF(AND(Q242&gt;Q241*0.85,Q243&gt;Q241*0.85),"YES","NO"),IF(Q244&gt;Q241*0.85,"YES","NO"))))</f>
        <v>NA</v>
      </c>
      <c r="R245" s="10"/>
      <c r="S245" s="10"/>
      <c r="T245" s="9"/>
    </row>
    <row r="246" customFormat="false" ht="15.75" hidden="false" customHeight="false" outlineLevel="0" collapsed="false">
      <c r="I246" s="189" t="s">
        <v>383</v>
      </c>
      <c r="J246" s="84"/>
      <c r="K246" s="84"/>
      <c r="L246" s="84"/>
      <c r="M246" s="10"/>
      <c r="N246" s="10"/>
      <c r="O246" s="113" t="s">
        <v>384</v>
      </c>
      <c r="P246" s="110" t="s">
        <v>385</v>
      </c>
      <c r="Q246" s="10"/>
      <c r="R246" s="10"/>
      <c r="S246" s="10"/>
      <c r="T246" s="9"/>
    </row>
    <row r="247" customFormat="false" ht="15.75" hidden="false" customHeight="false" outlineLevel="0" collapsed="false">
      <c r="I247" s="189" t="s">
        <v>386</v>
      </c>
      <c r="J247" s="84"/>
      <c r="K247" s="84"/>
      <c r="L247" s="84"/>
      <c r="M247" s="10"/>
      <c r="N247" s="10"/>
      <c r="O247" s="10"/>
      <c r="P247" s="10"/>
      <c r="Q247" s="10"/>
      <c r="R247" s="10"/>
      <c r="S247" s="10"/>
      <c r="T247" s="9"/>
    </row>
    <row r="248" customFormat="false" ht="15.75" hidden="false" customHeight="false" outlineLevel="0" collapsed="false">
      <c r="I248" s="189" t="s">
        <v>387</v>
      </c>
      <c r="J248" s="84"/>
      <c r="K248" s="84"/>
      <c r="L248" s="84"/>
      <c r="M248" s="10"/>
      <c r="N248" s="10"/>
      <c r="O248" s="10"/>
      <c r="P248" s="10"/>
      <c r="Q248" s="10"/>
      <c r="R248" s="10"/>
      <c r="S248" s="10"/>
      <c r="T248" s="9"/>
    </row>
    <row r="249" customFormat="false" ht="15.75" hidden="false" customHeight="false" outlineLevel="0" collapsed="false">
      <c r="I249" s="189" t="s">
        <v>388</v>
      </c>
      <c r="J249" s="84"/>
      <c r="K249" s="84"/>
      <c r="L249" s="84"/>
      <c r="M249" s="10"/>
      <c r="N249" s="10"/>
      <c r="O249" s="10"/>
      <c r="P249" s="10"/>
      <c r="Q249" s="10"/>
      <c r="R249" s="10"/>
      <c r="S249" s="10"/>
      <c r="T249" s="9"/>
    </row>
    <row r="250" customFormat="false" ht="15.75" hidden="false" customHeight="false" outlineLevel="0" collapsed="false">
      <c r="I250" s="189" t="s">
        <v>389</v>
      </c>
      <c r="J250" s="84"/>
      <c r="K250" s="84"/>
      <c r="L250" s="84"/>
      <c r="M250" s="10"/>
      <c r="N250" s="10"/>
      <c r="O250" s="10"/>
      <c r="P250" s="10"/>
      <c r="Q250" s="10"/>
      <c r="R250" s="10"/>
      <c r="S250" s="10"/>
      <c r="T250" s="9"/>
    </row>
    <row r="251" customFormat="false" ht="15.75" hidden="false" customHeight="false" outlineLevel="0" collapsed="false">
      <c r="I251" s="189" t="s">
        <v>390</v>
      </c>
      <c r="J251" s="84"/>
      <c r="K251" s="84"/>
      <c r="L251" s="84"/>
      <c r="M251" s="10"/>
      <c r="N251" s="10"/>
      <c r="O251" s="10"/>
      <c r="P251" s="10"/>
      <c r="Q251" s="10"/>
      <c r="R251" s="10"/>
      <c r="S251" s="10"/>
      <c r="T251" s="9"/>
    </row>
    <row r="252" customFormat="false" ht="15.75" hidden="false" customHeight="false" outlineLevel="0" collapsed="false">
      <c r="I252" s="7"/>
      <c r="J252" s="28" t="s">
        <v>237</v>
      </c>
      <c r="K252" s="12" t="str">
        <f aca="false">IF(K254&lt;&gt;"",K254,IF(X152="","",X152))</f>
        <v/>
      </c>
      <c r="L252" s="29"/>
      <c r="M252" s="29"/>
      <c r="N252" s="29"/>
      <c r="O252" s="29"/>
      <c r="P252" s="29"/>
      <c r="Q252" s="29"/>
      <c r="R252" s="29"/>
      <c r="S252" s="10"/>
      <c r="T252" s="9"/>
    </row>
    <row r="253" customFormat="false" ht="15.75" hidden="false" customHeight="false" outlineLevel="0" collapsed="false">
      <c r="I253" s="7"/>
      <c r="J253" s="114" t="s">
        <v>239</v>
      </c>
      <c r="K253" s="10"/>
      <c r="L253" s="115" t="n">
        <f aca="false">LEN(K252)</f>
        <v>0</v>
      </c>
      <c r="M253" s="10"/>
      <c r="N253" s="10"/>
      <c r="O253" s="10"/>
      <c r="P253" s="10"/>
      <c r="Q253" s="10"/>
      <c r="R253" s="10"/>
      <c r="S253" s="10"/>
      <c r="T253" s="9"/>
    </row>
    <row r="254" customFormat="false" ht="15.75" hidden="false" customHeight="false" outlineLevel="0" collapsed="false">
      <c r="I254" s="7"/>
      <c r="J254" s="28" t="s">
        <v>241</v>
      </c>
      <c r="K254" s="11"/>
      <c r="L254" s="29"/>
      <c r="M254" s="29"/>
      <c r="N254" s="29"/>
      <c r="O254" s="29"/>
      <c r="P254" s="29"/>
      <c r="Q254" s="29"/>
      <c r="R254" s="29"/>
      <c r="S254" s="10"/>
      <c r="T254" s="9"/>
    </row>
    <row r="255" customFormat="false" ht="15.75" hidden="false" customHeight="false" outlineLevel="0" collapsed="false">
      <c r="I255" s="7"/>
      <c r="J255" s="10"/>
      <c r="K255" s="10"/>
      <c r="L255" s="10"/>
      <c r="M255" s="10"/>
      <c r="N255" s="10"/>
      <c r="O255" s="10"/>
      <c r="P255" s="10"/>
      <c r="Q255" s="10"/>
      <c r="R255" s="10"/>
      <c r="S255" s="10"/>
      <c r="T255" s="9"/>
    </row>
    <row r="256" customFormat="false" ht="15.75" hidden="false" customHeight="false" outlineLevel="0" collapsed="false">
      <c r="I256" s="58" t="s">
        <v>391</v>
      </c>
      <c r="J256" s="10"/>
      <c r="K256" s="10"/>
      <c r="L256" s="10"/>
      <c r="M256" s="10"/>
      <c r="N256" s="10"/>
      <c r="O256" s="10"/>
      <c r="P256" s="10"/>
      <c r="Q256" s="10"/>
      <c r="R256" s="10"/>
      <c r="S256" s="10"/>
      <c r="T256" s="9"/>
    </row>
    <row r="257" customFormat="false" ht="15.75" hidden="false" customHeight="false" outlineLevel="0" collapsed="false">
      <c r="A257" s="47" t="s">
        <v>7</v>
      </c>
      <c r="B257" s="48" t="str">
        <f aca="false">IF($K$6="","",$K$6)</f>
        <v/>
      </c>
      <c r="F257" s="47" t="s">
        <v>8</v>
      </c>
      <c r="G257" s="49" t="str">
        <f aca="false">IF($R$6="","",$R$6)</f>
        <v/>
      </c>
      <c r="I257" s="204" t="str">
        <f aca="false">IF(J257&lt;&gt;"",J257,IF(X106="","",X106))</f>
        <v/>
      </c>
      <c r="J257" s="11"/>
      <c r="K257" s="10" t="s">
        <v>392</v>
      </c>
      <c r="L257" s="10"/>
      <c r="M257" s="10"/>
      <c r="N257" s="10"/>
      <c r="O257" s="10"/>
      <c r="P257" s="10"/>
      <c r="Q257" s="10"/>
      <c r="R257" s="10"/>
      <c r="S257" s="10"/>
      <c r="T257" s="9"/>
    </row>
    <row r="258" customFormat="false" ht="15.75" hidden="false" customHeight="false" outlineLevel="0" collapsed="false">
      <c r="A258" s="47" t="s">
        <v>99</v>
      </c>
      <c r="B258" s="50" t="str">
        <f aca="false">IF($K$14="","",$K$14)</f>
        <v/>
      </c>
      <c r="F258" s="47" t="s">
        <v>29</v>
      </c>
      <c r="G258" s="50" t="str">
        <f aca="false">IF($K$13="","",$K$13)</f>
        <v/>
      </c>
      <c r="I258" s="7"/>
      <c r="J258" s="13" t="s">
        <v>268</v>
      </c>
      <c r="K258" s="13" t="s">
        <v>393</v>
      </c>
      <c r="L258" s="13" t="s">
        <v>394</v>
      </c>
      <c r="M258" s="13" t="s">
        <v>10</v>
      </c>
      <c r="N258" s="10"/>
      <c r="O258" s="10"/>
      <c r="P258" s="13" t="s">
        <v>395</v>
      </c>
      <c r="Q258" s="13" t="s">
        <v>375</v>
      </c>
      <c r="R258" s="13" t="s">
        <v>389</v>
      </c>
      <c r="S258" s="13" t="s">
        <v>396</v>
      </c>
      <c r="T258" s="9"/>
    </row>
    <row r="259" customFormat="false" ht="15.75" hidden="false" customHeight="false" outlineLevel="0" collapsed="false">
      <c r="G259" s="51" t="str">
        <f aca="false">$D$2</f>
        <v>Medical University of South Carolina</v>
      </c>
      <c r="I259" s="196" t="s">
        <v>397</v>
      </c>
      <c r="J259" s="205" t="str">
        <f aca="false">IF(OR(P259="",P260="",P263=""),"",(P259-P260)*P263)</f>
        <v/>
      </c>
      <c r="K259" s="167" t="str">
        <f aca="false">IF(OR(J259="",J260=""),"",(ABS(J259)+ABS(J260))/$I$257)</f>
        <v/>
      </c>
      <c r="L259" s="104" t="str">
        <f aca="false">IF(OR(K259="",K261=""),"",K259+K261)</f>
        <v/>
      </c>
      <c r="M259" s="206" t="str">
        <f aca="false">IF(X107="","",X107)</f>
        <v/>
      </c>
      <c r="N259" s="10"/>
      <c r="O259" s="28" t="s">
        <v>398</v>
      </c>
      <c r="P259" s="84"/>
      <c r="Q259" s="84"/>
      <c r="R259" s="84"/>
      <c r="S259" s="84"/>
      <c r="T259" s="9"/>
    </row>
    <row r="260" customFormat="false" ht="15.75" hidden="false" customHeight="false" outlineLevel="0" collapsed="false">
      <c r="G260" s="52" t="str">
        <f aca="false">$D$5</f>
        <v>O-Arm System Compliance Inspection</v>
      </c>
      <c r="I260" s="196" t="s">
        <v>399</v>
      </c>
      <c r="J260" s="207" t="str">
        <f aca="false">IF(OR(Q259="",Q260="",P263=""),"",(Q259-Q260)*P263)</f>
        <v/>
      </c>
      <c r="K260" s="167"/>
      <c r="L260" s="104"/>
      <c r="M260" s="208" t="str">
        <f aca="false">IF(X108="","",X108)</f>
        <v/>
      </c>
      <c r="N260" s="10"/>
      <c r="O260" s="28" t="s">
        <v>400</v>
      </c>
      <c r="P260" s="84"/>
      <c r="Q260" s="84"/>
      <c r="R260" s="84"/>
      <c r="S260" s="84"/>
      <c r="T260" s="9"/>
    </row>
    <row r="261" customFormat="false" ht="15.75" hidden="false" customHeight="false" outlineLevel="0" collapsed="false">
      <c r="I261" s="196" t="s">
        <v>218</v>
      </c>
      <c r="J261" s="207" t="str">
        <f aca="false">IF(OR(R259="",R260="",P263=""),"",(R259-R260)*P263)</f>
        <v/>
      </c>
      <c r="K261" s="172" t="str">
        <f aca="false">IF(OR(J261="",J262=""),"",(ABS(J261)+ABS(J262))/$I$257)</f>
        <v/>
      </c>
      <c r="L261" s="104"/>
      <c r="M261" s="208" t="str">
        <f aca="false">IF(X109="","",X109)</f>
        <v/>
      </c>
      <c r="N261" s="13" t="s">
        <v>304</v>
      </c>
      <c r="O261" s="28" t="s">
        <v>214</v>
      </c>
      <c r="P261" s="64" t="str">
        <f aca="false">I257</f>
        <v/>
      </c>
      <c r="Q261" s="10"/>
      <c r="R261" s="10"/>
      <c r="S261" s="10"/>
      <c r="T261" s="9"/>
    </row>
    <row r="262" customFormat="false" ht="15.75" hidden="false" customHeight="false" outlineLevel="0" collapsed="false">
      <c r="I262" s="196" t="s">
        <v>219</v>
      </c>
      <c r="J262" s="209" t="str">
        <f aca="false">IF(OR(S259="",S260="",P263=""),"",(S259-S260)*P263)</f>
        <v/>
      </c>
      <c r="K262" s="172"/>
      <c r="L262" s="172"/>
      <c r="M262" s="210" t="str">
        <f aca="false">IF(X110="","",X110)</f>
        <v/>
      </c>
      <c r="N262" s="112" t="str">
        <f aca="false">IF(OR(K259="",K261="",L259=""),"",IF(OR(K259&gt;0.02,K261&gt;0.02,L259&gt;0.04),"NO","YES"))</f>
        <v/>
      </c>
      <c r="O262" s="28" t="s">
        <v>401</v>
      </c>
      <c r="P262" s="84"/>
      <c r="Q262" s="10"/>
      <c r="R262" s="10"/>
      <c r="S262" s="10"/>
      <c r="T262" s="9"/>
    </row>
    <row r="263" customFormat="false" ht="15.75" hidden="false" customHeight="false" outlineLevel="0" collapsed="false">
      <c r="I263" s="166" t="s">
        <v>233</v>
      </c>
      <c r="J263" s="110" t="s">
        <v>402</v>
      </c>
      <c r="K263" s="10"/>
      <c r="L263" s="10"/>
      <c r="M263" s="10"/>
      <c r="N263" s="10"/>
      <c r="O263" s="28" t="s">
        <v>403</v>
      </c>
      <c r="P263" s="64" t="str">
        <f aca="false">IF(OR(P261="",P262=""),"",P261/P262)</f>
        <v/>
      </c>
      <c r="Q263" s="10"/>
      <c r="R263" s="10"/>
      <c r="S263" s="10"/>
      <c r="T263" s="9"/>
    </row>
    <row r="264" customFormat="false" ht="15.75" hidden="false" customHeight="false" outlineLevel="0" collapsed="false">
      <c r="I264" s="7"/>
      <c r="J264" s="110" t="s">
        <v>404</v>
      </c>
      <c r="K264" s="10"/>
      <c r="L264" s="10"/>
      <c r="M264" s="10"/>
      <c r="N264" s="10"/>
      <c r="O264" s="10"/>
      <c r="P264" s="10"/>
      <c r="Q264" s="10"/>
      <c r="R264" s="10"/>
      <c r="S264" s="10"/>
      <c r="T264" s="9"/>
    </row>
    <row r="265" customFormat="false" ht="15.75" hidden="false" customHeight="false" outlineLevel="0" collapsed="false">
      <c r="I265" s="7"/>
      <c r="J265" s="28" t="s">
        <v>237</v>
      </c>
      <c r="K265" s="12" t="str">
        <f aca="false">IF(K267&lt;&gt;"",K267,IF(X153="","",X153))</f>
        <v/>
      </c>
      <c r="L265" s="29"/>
      <c r="M265" s="29"/>
      <c r="N265" s="29"/>
      <c r="O265" s="29"/>
      <c r="P265" s="29"/>
      <c r="Q265" s="29"/>
      <c r="R265" s="29"/>
      <c r="S265" s="10"/>
      <c r="T265" s="9"/>
    </row>
    <row r="266" customFormat="false" ht="15.75" hidden="false" customHeight="false" outlineLevel="0" collapsed="false">
      <c r="I266" s="7"/>
      <c r="J266" s="114" t="s">
        <v>239</v>
      </c>
      <c r="K266" s="10"/>
      <c r="L266" s="115" t="n">
        <f aca="false">LEN(K265)</f>
        <v>0</v>
      </c>
      <c r="M266" s="10"/>
      <c r="N266" s="10"/>
      <c r="O266" s="10"/>
      <c r="P266" s="10"/>
      <c r="Q266" s="10"/>
      <c r="R266" s="10"/>
      <c r="S266" s="10"/>
      <c r="T266" s="9"/>
    </row>
    <row r="267" customFormat="false" ht="15.75" hidden="false" customHeight="false" outlineLevel="0" collapsed="false">
      <c r="I267" s="7"/>
      <c r="J267" s="28" t="s">
        <v>241</v>
      </c>
      <c r="K267" s="11"/>
      <c r="L267" s="29"/>
      <c r="M267" s="29"/>
      <c r="N267" s="29"/>
      <c r="O267" s="29"/>
      <c r="P267" s="29"/>
      <c r="Q267" s="29"/>
      <c r="R267" s="29"/>
      <c r="S267" s="10"/>
      <c r="T267" s="9"/>
    </row>
    <row r="268" customFormat="false" ht="15.75" hidden="false" customHeight="false" outlineLevel="0" collapsed="false">
      <c r="I268" s="15"/>
      <c r="J268" s="16"/>
      <c r="K268" s="16"/>
      <c r="L268" s="16"/>
      <c r="M268" s="16"/>
      <c r="N268" s="16"/>
      <c r="O268" s="16"/>
      <c r="P268" s="16"/>
      <c r="Q268" s="16"/>
      <c r="R268" s="16"/>
      <c r="S268" s="16"/>
      <c r="T268" s="18"/>
    </row>
    <row r="269" customFormat="false" ht="15.75" hidden="false" customHeight="false" outlineLevel="0" collapsed="false">
      <c r="I269" s="116" t="s">
        <v>287</v>
      </c>
      <c r="J269" s="5"/>
      <c r="K269" s="5"/>
      <c r="L269" s="5"/>
      <c r="M269" s="5"/>
      <c r="N269" s="5"/>
      <c r="O269" s="5"/>
      <c r="P269" s="5"/>
      <c r="Q269" s="5"/>
      <c r="R269" s="5"/>
      <c r="S269" s="5"/>
      <c r="T269" s="6"/>
    </row>
    <row r="270" customFormat="false" ht="15.75" hidden="false" customHeight="false" outlineLevel="0" collapsed="false">
      <c r="I270" s="196" t="s">
        <v>288</v>
      </c>
      <c r="J270" s="40" t="str">
        <f aca="false">IF(K270&lt;&gt;"",K270,IF(X157="","",X157))</f>
        <v/>
      </c>
      <c r="K270" s="39"/>
      <c r="T270" s="9"/>
    </row>
    <row r="271" customFormat="false" ht="15.75" hidden="false" customHeight="false" outlineLevel="0" collapsed="false">
      <c r="I271" s="196" t="s">
        <v>155</v>
      </c>
      <c r="J271" s="40" t="str">
        <f aca="false">IF(K271&lt;&gt;"",K271,IF(X158="","",X158))</f>
        <v/>
      </c>
      <c r="K271" s="39"/>
      <c r="T271" s="9"/>
    </row>
    <row r="272" customFormat="false" ht="15.75" hidden="false" customHeight="false" outlineLevel="0" collapsed="false">
      <c r="I272" s="196" t="s">
        <v>157</v>
      </c>
      <c r="J272" s="40" t="str">
        <f aca="false">IF(K272&lt;&gt;"",K272,IF(X159="","",X159))</f>
        <v/>
      </c>
      <c r="K272" s="39"/>
      <c r="T272" s="9"/>
    </row>
    <row r="273" customFormat="false" ht="15.75" hidden="false" customHeight="false" outlineLevel="0" collapsed="false">
      <c r="I273" s="7"/>
      <c r="T273" s="9"/>
    </row>
    <row r="274" customFormat="false" ht="15.75" hidden="false" customHeight="false" outlineLevel="0" collapsed="false">
      <c r="I274" s="58" t="s">
        <v>405</v>
      </c>
      <c r="T274" s="9"/>
    </row>
    <row r="275" customFormat="false" ht="15.75" hidden="false" customHeight="false" outlineLevel="0" collapsed="false">
      <c r="I275" s="7"/>
      <c r="K275" s="1" t="s">
        <v>406</v>
      </c>
      <c r="L275" s="1" t="s">
        <v>407</v>
      </c>
      <c r="M275" s="1" t="s">
        <v>408</v>
      </c>
      <c r="N275" s="1" t="s">
        <v>409</v>
      </c>
      <c r="O275" s="1" t="s">
        <v>410</v>
      </c>
      <c r="T275" s="9"/>
    </row>
    <row r="276" customFormat="false" ht="15.75" hidden="false" customHeight="false" outlineLevel="0" collapsed="false">
      <c r="I276" s="7"/>
      <c r="K276" s="84"/>
      <c r="L276" s="84"/>
      <c r="M276" s="84"/>
      <c r="N276" s="84"/>
      <c r="O276" s="84"/>
      <c r="T276" s="9"/>
    </row>
    <row r="277" customFormat="false" ht="15.75" hidden="false" customHeight="false" outlineLevel="0" collapsed="false">
      <c r="I277" s="7"/>
      <c r="K277" s="84"/>
      <c r="L277" s="84"/>
      <c r="M277" s="84"/>
      <c r="N277" s="84"/>
      <c r="O277" s="84"/>
      <c r="T277" s="9"/>
    </row>
    <row r="278" customFormat="false" ht="15.75" hidden="false" customHeight="false" outlineLevel="0" collapsed="false">
      <c r="I278" s="7"/>
      <c r="K278" s="84"/>
      <c r="L278" s="84"/>
      <c r="M278" s="84"/>
      <c r="N278" s="84"/>
      <c r="O278" s="84"/>
      <c r="T278" s="9"/>
    </row>
    <row r="279" customFormat="false" ht="15.75" hidden="false" customHeight="false" outlineLevel="0" collapsed="false">
      <c r="I279" s="7"/>
      <c r="J279" s="14" t="s">
        <v>411</v>
      </c>
      <c r="K279" s="64" t="str">
        <f aca="false">IF(K276="","",AVERAGE(K276:K278))</f>
        <v/>
      </c>
      <c r="L279" s="64" t="str">
        <f aca="false">IF(L276="","",AVERAGE(L276:L278))</f>
        <v/>
      </c>
      <c r="M279" s="64" t="str">
        <f aca="false">IF(M276="","",AVERAGE(M276:M278))</f>
        <v/>
      </c>
      <c r="N279" s="64" t="str">
        <f aca="false">IF(N276="","",AVERAGE(N276:N278))</f>
        <v/>
      </c>
      <c r="O279" s="64" t="str">
        <f aca="false">IF(O276="","",AVERAGE(O276:O278))</f>
        <v/>
      </c>
      <c r="T279" s="9"/>
    </row>
    <row r="280" customFormat="false" ht="15.75" hidden="false" customHeight="false" outlineLevel="0" collapsed="false">
      <c r="I280" s="7"/>
      <c r="J280" s="14" t="s">
        <v>412</v>
      </c>
      <c r="K280" s="64" t="str">
        <f aca="false">IF(K276="","",STDEV(K276:K278))</f>
        <v/>
      </c>
      <c r="L280" s="64" t="str">
        <f aca="false">IF(L276="","",STDEV(L276:L278))</f>
        <v/>
      </c>
      <c r="M280" s="64" t="str">
        <f aca="false">IF(M276="","",STDEV(M276:M278))</f>
        <v/>
      </c>
      <c r="N280" s="64" t="str">
        <f aca="false">IF(N276="","",STDEV(N276:N278))</f>
        <v/>
      </c>
      <c r="O280" s="64" t="str">
        <f aca="false">IF(O276="","",STDEV(O276:O278))</f>
        <v/>
      </c>
      <c r="T280" s="9"/>
    </row>
    <row r="281" customFormat="false" ht="15.75" hidden="false" customHeight="false" outlineLevel="0" collapsed="false">
      <c r="I281" s="7"/>
      <c r="J281" s="14" t="s">
        <v>291</v>
      </c>
      <c r="K281" s="211" t="str">
        <f aca="false">IF(K279="","",K279/3+(2/3)*AVERAGE(L279:O279))</f>
        <v/>
      </c>
      <c r="T281" s="9"/>
    </row>
    <row r="282" customFormat="false" ht="15.75" hidden="false" customHeight="false" outlineLevel="0" collapsed="false">
      <c r="I282" s="7"/>
      <c r="J282" s="14" t="s">
        <v>413</v>
      </c>
      <c r="K282" s="212" t="str">
        <f aca="false">IF(X160="","",X160)</f>
        <v/>
      </c>
      <c r="T282" s="9"/>
    </row>
    <row r="283" customFormat="false" ht="15.75" hidden="false" customHeight="false" outlineLevel="0" collapsed="false">
      <c r="I283" s="7"/>
      <c r="J283" s="14" t="s">
        <v>414</v>
      </c>
      <c r="K283" s="213" t="str">
        <f aca="false">IF(OR(K281="",K282=""),"",(K281-K282)/K282)</f>
        <v/>
      </c>
      <c r="T283" s="9"/>
    </row>
    <row r="284" customFormat="false" ht="15.75" hidden="false" customHeight="false" outlineLevel="0" collapsed="false">
      <c r="I284" s="7"/>
      <c r="J284" s="14" t="s">
        <v>415</v>
      </c>
      <c r="K284" s="213" t="str">
        <f aca="false">IF(OR(K281="",J270=""),"",(K281-J270)/J270)</f>
        <v/>
      </c>
      <c r="T284" s="9"/>
    </row>
    <row r="285" customFormat="false" ht="15.75" hidden="false" customHeight="false" outlineLevel="0" collapsed="false">
      <c r="I285" s="7"/>
      <c r="T285" s="9"/>
    </row>
    <row r="286" customFormat="false" ht="15.75" hidden="false" customHeight="false" outlineLevel="0" collapsed="false">
      <c r="I286" s="7"/>
      <c r="J286" s="28" t="s">
        <v>237</v>
      </c>
      <c r="K286" s="12" t="str">
        <f aca="false">IF(K288&lt;&gt;"",K288,IF(X161="","",X161))</f>
        <v/>
      </c>
      <c r="L286" s="29"/>
      <c r="M286" s="29"/>
      <c r="N286" s="29"/>
      <c r="O286" s="29"/>
      <c r="P286" s="29"/>
      <c r="Q286" s="29"/>
      <c r="R286" s="29"/>
      <c r="T286" s="9"/>
    </row>
    <row r="287" customFormat="false" ht="15.75" hidden="false" customHeight="false" outlineLevel="0" collapsed="false">
      <c r="I287" s="7"/>
      <c r="J287" s="114" t="s">
        <v>239</v>
      </c>
      <c r="K287" s="10"/>
      <c r="L287" s="115" t="n">
        <f aca="false">LEN(K286)</f>
        <v>0</v>
      </c>
      <c r="M287" s="10"/>
      <c r="N287" s="10"/>
      <c r="O287" s="10"/>
      <c r="P287" s="10"/>
      <c r="Q287" s="10"/>
      <c r="R287" s="10"/>
      <c r="T287" s="9"/>
    </row>
    <row r="288" customFormat="false" ht="15.75" hidden="false" customHeight="false" outlineLevel="0" collapsed="false">
      <c r="I288" s="7"/>
      <c r="J288" s="28" t="s">
        <v>241</v>
      </c>
      <c r="K288" s="11"/>
      <c r="L288" s="29"/>
      <c r="M288" s="29"/>
      <c r="N288" s="29"/>
      <c r="O288" s="29"/>
      <c r="P288" s="29"/>
      <c r="Q288" s="29"/>
      <c r="R288" s="29"/>
      <c r="T288" s="9"/>
    </row>
    <row r="289" customFormat="false" ht="15.75" hidden="false" customHeight="false" outlineLevel="0" collapsed="false">
      <c r="I289" s="7"/>
      <c r="T289" s="9"/>
    </row>
    <row r="290" customFormat="false" ht="15.75" hidden="false" customHeight="false" outlineLevel="0" collapsed="false">
      <c r="I290" s="58" t="s">
        <v>293</v>
      </c>
      <c r="K290" s="0"/>
      <c r="M290" s="14" t="s">
        <v>294</v>
      </c>
      <c r="N290" s="40" t="str">
        <f aca="false">IF(O290&lt;&gt;"",O290,IF(X163="","",X163))</f>
        <v/>
      </c>
      <c r="O290" s="39"/>
      <c r="T290" s="9"/>
    </row>
    <row r="291" customFormat="false" ht="15.75" hidden="false" customHeight="false" outlineLevel="0" collapsed="false">
      <c r="I291" s="58" t="s">
        <v>295</v>
      </c>
      <c r="M291" s="214" t="s">
        <v>312</v>
      </c>
      <c r="T291" s="9"/>
    </row>
    <row r="292" customFormat="false" ht="15.75" hidden="false" customHeight="false" outlineLevel="0" collapsed="false">
      <c r="I292" s="196" t="s">
        <v>155</v>
      </c>
      <c r="J292" s="84"/>
      <c r="K292" s="40" t="str">
        <f aca="false">IF(X165="","",X165)</f>
        <v/>
      </c>
      <c r="M292" s="14" t="s">
        <v>416</v>
      </c>
      <c r="N292" s="84"/>
      <c r="T292" s="9"/>
    </row>
    <row r="293" customFormat="false" ht="15.75" hidden="false" customHeight="true" outlineLevel="0" collapsed="false">
      <c r="I293" s="196" t="s">
        <v>297</v>
      </c>
      <c r="J293" s="84"/>
      <c r="K293" s="40" t="str">
        <f aca="false">IF(X166="","",X166)</f>
        <v/>
      </c>
      <c r="M293" s="14" t="s">
        <v>417</v>
      </c>
      <c r="N293" s="84"/>
      <c r="T293" s="9"/>
    </row>
    <row r="294" customFormat="false" ht="15.75" hidden="false" customHeight="true" outlineLevel="0" collapsed="false">
      <c r="I294" s="196" t="s">
        <v>298</v>
      </c>
      <c r="J294" s="84"/>
      <c r="K294" s="40" t="str">
        <f aca="false">IF(X167="","",X167)</f>
        <v/>
      </c>
      <c r="M294" s="14" t="s">
        <v>418</v>
      </c>
      <c r="N294" s="84"/>
      <c r="T294" s="9"/>
    </row>
    <row r="295" customFormat="false" ht="15.75" hidden="false" customHeight="false" outlineLevel="0" collapsed="false">
      <c r="I295" s="196" t="s">
        <v>300</v>
      </c>
      <c r="J295" s="84"/>
      <c r="K295" s="40" t="str">
        <f aca="false">IF(X168="","",X168)</f>
        <v/>
      </c>
      <c r="M295" s="14" t="s">
        <v>315</v>
      </c>
      <c r="N295" s="64" t="str">
        <f aca="false">IF(OR(N292="",N293=""),"",N292-N293)</f>
        <v/>
      </c>
      <c r="O295" s="212" t="str">
        <f aca="false">IF(AB173="","",AB173)</f>
        <v/>
      </c>
      <c r="T295" s="9"/>
    </row>
    <row r="296" customFormat="false" ht="15.75" hidden="false" customHeight="false" outlineLevel="0" collapsed="false">
      <c r="I296" s="196" t="s">
        <v>419</v>
      </c>
      <c r="J296" s="84"/>
      <c r="K296" s="40" t="str">
        <f aca="false">IF(X169="","",X169)</f>
        <v/>
      </c>
      <c r="M296" s="14" t="s">
        <v>317</v>
      </c>
      <c r="N296" s="64" t="str">
        <f aca="false">IF(OR(N294="",N295=""),"",ABS(N295)/N294)</f>
        <v/>
      </c>
      <c r="O296" s="212" t="str">
        <f aca="false">IF(AB174="","",AB174)</f>
        <v/>
      </c>
      <c r="T296" s="9"/>
    </row>
    <row r="297" customFormat="false" ht="15.75" hidden="false" customHeight="true" outlineLevel="0" collapsed="false">
      <c r="I297" s="196" t="s">
        <v>305</v>
      </c>
      <c r="J297" s="84"/>
      <c r="K297" s="40" t="str">
        <f aca="false">IF(X170="","",X170)</f>
        <v/>
      </c>
      <c r="T297" s="9"/>
    </row>
    <row r="298" customFormat="false" ht="15.75" hidden="false" customHeight="true" outlineLevel="0" collapsed="false">
      <c r="I298" s="196" t="s">
        <v>307</v>
      </c>
      <c r="J298" s="84"/>
      <c r="K298" s="40" t="str">
        <f aca="false">IF(X171="","",X171)</f>
        <v/>
      </c>
      <c r="T298" s="9"/>
    </row>
    <row r="299" customFormat="false" ht="15.75" hidden="false" customHeight="false" outlineLevel="0" collapsed="false">
      <c r="I299" s="196" t="s">
        <v>310</v>
      </c>
      <c r="J299" s="84"/>
      <c r="K299" s="40" t="str">
        <f aca="false">IF(X172="","",X172)</f>
        <v/>
      </c>
      <c r="T299" s="9"/>
    </row>
    <row r="300" customFormat="false" ht="15.75" hidden="false" customHeight="false" outlineLevel="0" collapsed="false">
      <c r="A300" s="47" t="s">
        <v>7</v>
      </c>
      <c r="B300" s="48" t="str">
        <f aca="false">IF($K$6="","",$K$6)</f>
        <v/>
      </c>
      <c r="F300" s="47" t="s">
        <v>8</v>
      </c>
      <c r="G300" s="49" t="str">
        <f aca="false">IF($R$6="","",$R$6)</f>
        <v/>
      </c>
      <c r="I300" s="7"/>
      <c r="T300" s="9"/>
    </row>
    <row r="301" customFormat="false" ht="15.75" hidden="false" customHeight="false" outlineLevel="0" collapsed="false">
      <c r="A301" s="47" t="s">
        <v>99</v>
      </c>
      <c r="B301" s="50" t="str">
        <f aca="false">IF($K$14="","",$K$14)</f>
        <v/>
      </c>
      <c r="F301" s="47" t="s">
        <v>29</v>
      </c>
      <c r="G301" s="50" t="str">
        <f aca="false">IF($K$13="","",$K$13)</f>
        <v/>
      </c>
      <c r="I301" s="58" t="s">
        <v>420</v>
      </c>
      <c r="T301" s="9"/>
    </row>
    <row r="302" customFormat="false" ht="15.75" hidden="false" customHeight="false" outlineLevel="0" collapsed="false">
      <c r="I302" s="7"/>
      <c r="J302" s="1" t="s">
        <v>421</v>
      </c>
      <c r="K302" s="1" t="s">
        <v>422</v>
      </c>
      <c r="L302" s="1" t="s">
        <v>423</v>
      </c>
      <c r="M302" s="1" t="s">
        <v>424</v>
      </c>
      <c r="N302" s="1" t="s">
        <v>304</v>
      </c>
      <c r="T302" s="9"/>
    </row>
    <row r="303" customFormat="false" ht="15.75" hidden="false" customHeight="false" outlineLevel="0" collapsed="false">
      <c r="I303" s="196" t="s">
        <v>425</v>
      </c>
      <c r="J303" s="84"/>
      <c r="K303" s="84"/>
      <c r="L303" s="151" t="str">
        <f aca="false">IF(OR($J$303="",J303=""),"",ABS(J303-$J$303))</f>
        <v/>
      </c>
      <c r="M303" s="151" t="str">
        <f aca="false">IF(J303="","",ABS(J303-AVERAGE($J$303:$J$307)))</f>
        <v/>
      </c>
      <c r="N303" s="151" t="str">
        <f aca="false">IF(OR(L303="",M303=""),"",IF(AND(L303&lt;5,M303&lt;5),"Pass","Fail"))</f>
        <v/>
      </c>
      <c r="T303" s="9"/>
    </row>
    <row r="304" customFormat="false" ht="15.75" hidden="false" customHeight="false" outlineLevel="0" collapsed="false">
      <c r="I304" s="196" t="s">
        <v>397</v>
      </c>
      <c r="J304" s="84"/>
      <c r="K304" s="84"/>
      <c r="L304" s="151" t="str">
        <f aca="false">IF(OR($J$303="",J304=""),"",ABS(J304-$J$303))</f>
        <v/>
      </c>
      <c r="M304" s="151" t="str">
        <f aca="false">IF(J304="","",ABS(J304-AVERAGE($J$303:$J$307)))</f>
        <v/>
      </c>
      <c r="N304" s="151" t="str">
        <f aca="false">IF(OR(L304="",M304=""),"",IF(AND(L304&lt;5,M304&lt;5),"Pass","Fail"))</f>
        <v/>
      </c>
      <c r="T304" s="9"/>
    </row>
    <row r="305" customFormat="false" ht="15.75" hidden="false" customHeight="false" outlineLevel="0" collapsed="false">
      <c r="I305" s="196" t="s">
        <v>399</v>
      </c>
      <c r="J305" s="84"/>
      <c r="K305" s="84"/>
      <c r="L305" s="151" t="str">
        <f aca="false">IF(OR($J$303="",J305=""),"",ABS(J305-$J$303))</f>
        <v/>
      </c>
      <c r="M305" s="151" t="str">
        <f aca="false">IF(J305="","",ABS(J305-AVERAGE($J$303:$J$307)))</f>
        <v/>
      </c>
      <c r="N305" s="151" t="str">
        <f aca="false">IF(OR(L305="",M305=""),"",IF(AND(L305&lt;5,M305&lt;5),"Pass","Fail"))</f>
        <v/>
      </c>
      <c r="T305" s="9"/>
    </row>
    <row r="306" customFormat="false" ht="15.75" hidden="false" customHeight="false" outlineLevel="0" collapsed="false">
      <c r="I306" s="196" t="s">
        <v>218</v>
      </c>
      <c r="J306" s="84"/>
      <c r="K306" s="84"/>
      <c r="L306" s="151" t="str">
        <f aca="false">IF(OR($J$303="",J306=""),"",ABS(J306-$J$303))</f>
        <v/>
      </c>
      <c r="M306" s="151" t="str">
        <f aca="false">IF(J306="","",ABS(J306-AVERAGE($J$303:$J$307)))</f>
        <v/>
      </c>
      <c r="N306" s="151" t="str">
        <f aca="false">IF(OR(L306="",M306=""),"",IF(AND(L306&lt;5,M306&lt;5),"Pass","Fail"))</f>
        <v/>
      </c>
      <c r="T306" s="9"/>
    </row>
    <row r="307" customFormat="false" ht="15.75" hidden="false" customHeight="false" outlineLevel="0" collapsed="false">
      <c r="I307" s="196" t="s">
        <v>219</v>
      </c>
      <c r="J307" s="84"/>
      <c r="K307" s="84"/>
      <c r="L307" s="151" t="str">
        <f aca="false">IF(OR($J$303="",J307=""),"",ABS(J307-$J$303))</f>
        <v/>
      </c>
      <c r="M307" s="151" t="str">
        <f aca="false">IF(J307="","",ABS(J307-AVERAGE($J$303:$J$307)))</f>
        <v/>
      </c>
      <c r="N307" s="151" t="str">
        <f aca="false">IF(OR(L307="",M307=""),"",IF(AND(L307&lt;5,M307&lt;5),"Pass","Fail"))</f>
        <v/>
      </c>
      <c r="T307" s="9"/>
    </row>
    <row r="308" customFormat="false" ht="15.75" hidden="false" customHeight="false" outlineLevel="0" collapsed="false">
      <c r="I308" s="7"/>
      <c r="T308" s="9"/>
    </row>
    <row r="309" customFormat="false" ht="15.75" hidden="false" customHeight="false" outlineLevel="0" collapsed="false">
      <c r="I309" s="58" t="s">
        <v>426</v>
      </c>
      <c r="T309" s="9"/>
    </row>
    <row r="310" customFormat="false" ht="15.75" hidden="false" customHeight="false" outlineLevel="0" collapsed="false">
      <c r="I310" s="149"/>
      <c r="J310" s="40" t="str">
        <f aca="false">IF(X176="","",X176)</f>
        <v/>
      </c>
      <c r="K310" s="1" t="s">
        <v>427</v>
      </c>
      <c r="M310" s="1" t="s">
        <v>223</v>
      </c>
      <c r="N310" s="64"/>
      <c r="T310" s="9"/>
    </row>
    <row r="311" customFormat="false" ht="15.75" hidden="false" customHeight="false" outlineLevel="0" collapsed="false">
      <c r="I311" s="15"/>
      <c r="J311" s="16"/>
      <c r="K311" s="16"/>
      <c r="L311" s="16"/>
      <c r="M311" s="16"/>
      <c r="N311" s="16"/>
      <c r="O311" s="16"/>
      <c r="P311" s="16"/>
      <c r="Q311" s="16"/>
      <c r="R311" s="16"/>
      <c r="S311" s="16"/>
      <c r="T311" s="18"/>
    </row>
    <row r="313" customFormat="false" ht="17.35" hidden="false" customHeight="false" outlineLevel="0" collapsed="false">
      <c r="I313" s="215"/>
      <c r="J313" s="215"/>
      <c r="K313" s="215"/>
      <c r="L313" s="215"/>
      <c r="M313" s="215"/>
      <c r="N313" s="216" t="s">
        <v>428</v>
      </c>
      <c r="O313" s="215"/>
      <c r="P313" s="215"/>
      <c r="Q313" s="215"/>
      <c r="R313" s="215"/>
      <c r="S313" s="215"/>
    </row>
    <row r="314" customFormat="false" ht="15.75" hidden="false" customHeight="false" outlineLevel="0" collapsed="false">
      <c r="I314" s="217"/>
      <c r="J314" s="218"/>
      <c r="K314" s="218"/>
      <c r="L314" s="218"/>
      <c r="M314" s="219" t="s">
        <v>429</v>
      </c>
      <c r="N314" s="218"/>
      <c r="O314" s="218"/>
      <c r="P314" s="218"/>
      <c r="Q314" s="218"/>
      <c r="R314" s="218"/>
      <c r="S314" s="218"/>
      <c r="T314" s="220"/>
    </row>
    <row r="315" customFormat="false" ht="15.75" hidden="false" customHeight="false" outlineLevel="0" collapsed="false">
      <c r="I315" s="221"/>
      <c r="J315" s="222" t="s">
        <v>237</v>
      </c>
      <c r="K315" s="223"/>
      <c r="L315" s="224"/>
      <c r="M315" s="225" t="str">
        <f aca="false">IF(X178="","",X178)</f>
        <v/>
      </c>
      <c r="N315" s="226"/>
      <c r="O315" s="226"/>
      <c r="P315" s="227"/>
      <c r="Q315" s="215"/>
      <c r="R315" s="226"/>
      <c r="S315" s="226"/>
      <c r="T315" s="228"/>
    </row>
    <row r="316" customFormat="false" ht="15.75" hidden="false" customHeight="false" outlineLevel="0" collapsed="false">
      <c r="I316" s="221"/>
      <c r="J316" s="229" t="s">
        <v>239</v>
      </c>
      <c r="K316" s="230"/>
      <c r="L316" s="231" t="n">
        <f aca="false">LEN(K315)</f>
        <v>0</v>
      </c>
      <c r="M316" s="232"/>
      <c r="N316" s="232"/>
      <c r="O316" s="233" t="s">
        <v>430</v>
      </c>
      <c r="P316" s="232"/>
      <c r="Q316" s="232"/>
      <c r="R316" s="232"/>
      <c r="S316" s="232"/>
      <c r="T316" s="228"/>
    </row>
    <row r="317" customFormat="false" ht="15.75" hidden="false" customHeight="false" outlineLevel="0" collapsed="false">
      <c r="I317" s="221"/>
      <c r="J317" s="222" t="s">
        <v>431</v>
      </c>
      <c r="K317" s="223"/>
      <c r="L317" s="224"/>
      <c r="M317" s="225" t="str">
        <f aca="false">IF(X180="","",X180)</f>
        <v/>
      </c>
      <c r="N317" s="226"/>
      <c r="O317" s="226"/>
      <c r="P317" s="227"/>
      <c r="Q317" s="215"/>
      <c r="R317" s="226"/>
      <c r="S317" s="226"/>
      <c r="T317" s="228"/>
    </row>
    <row r="318" customFormat="false" ht="15.75" hidden="false" customHeight="false" outlineLevel="0" collapsed="false">
      <c r="I318" s="221"/>
      <c r="J318" s="229" t="s">
        <v>239</v>
      </c>
      <c r="K318" s="230"/>
      <c r="L318" s="231" t="n">
        <f aca="false">LEN(K317)</f>
        <v>0</v>
      </c>
      <c r="M318" s="232"/>
      <c r="N318" s="232"/>
      <c r="O318" s="233" t="s">
        <v>432</v>
      </c>
      <c r="P318" s="232"/>
      <c r="Q318" s="232"/>
      <c r="R318" s="232"/>
      <c r="S318" s="232"/>
      <c r="T318" s="228"/>
    </row>
    <row r="319" customFormat="false" ht="15.75" hidden="false" customHeight="false" outlineLevel="0" collapsed="false">
      <c r="I319" s="221"/>
      <c r="J319" s="222" t="s">
        <v>431</v>
      </c>
      <c r="K319" s="223"/>
      <c r="L319" s="224"/>
      <c r="M319" s="225" t="str">
        <f aca="false">IF(X182="","",X182)</f>
        <v/>
      </c>
      <c r="N319" s="226"/>
      <c r="O319" s="226"/>
      <c r="P319" s="227"/>
      <c r="Q319" s="215"/>
      <c r="R319" s="226"/>
      <c r="S319" s="226"/>
      <c r="T319" s="228"/>
    </row>
    <row r="320" customFormat="false" ht="15.75" hidden="false" customHeight="false" outlineLevel="0" collapsed="false">
      <c r="I320" s="221"/>
      <c r="J320" s="229" t="s">
        <v>239</v>
      </c>
      <c r="K320" s="230"/>
      <c r="L320" s="231" t="n">
        <f aca="false">LEN(K319)</f>
        <v>0</v>
      </c>
      <c r="M320" s="232"/>
      <c r="N320" s="232"/>
      <c r="O320" s="233" t="s">
        <v>433</v>
      </c>
      <c r="P320" s="232"/>
      <c r="Q320" s="232"/>
      <c r="R320" s="232"/>
      <c r="S320" s="232"/>
      <c r="T320" s="228"/>
    </row>
    <row r="321" customFormat="false" ht="15.75" hidden="false" customHeight="false" outlineLevel="0" collapsed="false">
      <c r="I321" s="221"/>
      <c r="J321" s="222" t="s">
        <v>431</v>
      </c>
      <c r="K321" s="223"/>
      <c r="L321" s="224"/>
      <c r="M321" s="225" t="str">
        <f aca="false">IF(X184="","",X184)</f>
        <v/>
      </c>
      <c r="N321" s="226"/>
      <c r="O321" s="226"/>
      <c r="P321" s="227"/>
      <c r="Q321" s="215"/>
      <c r="R321" s="226"/>
      <c r="S321" s="226"/>
      <c r="T321" s="228"/>
    </row>
    <row r="322" customFormat="false" ht="15.75" hidden="false" customHeight="false" outlineLevel="0" collapsed="false">
      <c r="I322" s="221"/>
      <c r="J322" s="229" t="s">
        <v>239</v>
      </c>
      <c r="K322" s="230"/>
      <c r="L322" s="231" t="n">
        <f aca="false">LEN(K321)</f>
        <v>0</v>
      </c>
      <c r="M322" s="232"/>
      <c r="N322" s="232"/>
      <c r="O322" s="233" t="s">
        <v>434</v>
      </c>
      <c r="P322" s="232"/>
      <c r="Q322" s="232"/>
      <c r="R322" s="232"/>
      <c r="S322" s="232"/>
      <c r="T322" s="228"/>
    </row>
    <row r="323" customFormat="false" ht="15.75" hidden="false" customHeight="false" outlineLevel="0" collapsed="false">
      <c r="I323" s="221"/>
      <c r="J323" s="222" t="s">
        <v>431</v>
      </c>
      <c r="K323" s="223"/>
      <c r="L323" s="224"/>
      <c r="M323" s="225" t="str">
        <f aca="false">IF(X186="","",X186)</f>
        <v/>
      </c>
      <c r="N323" s="226"/>
      <c r="O323" s="226"/>
      <c r="P323" s="227"/>
      <c r="Q323" s="215"/>
      <c r="R323" s="226"/>
      <c r="S323" s="226"/>
      <c r="T323" s="228"/>
    </row>
    <row r="324" customFormat="false" ht="15.75" hidden="false" customHeight="false" outlineLevel="0" collapsed="false">
      <c r="I324" s="221"/>
      <c r="J324" s="229" t="s">
        <v>239</v>
      </c>
      <c r="K324" s="230"/>
      <c r="L324" s="231" t="n">
        <f aca="false">LEN(K323)</f>
        <v>0</v>
      </c>
      <c r="M324" s="232"/>
      <c r="N324" s="232"/>
      <c r="O324" s="233" t="s">
        <v>435</v>
      </c>
      <c r="P324" s="232"/>
      <c r="Q324" s="232"/>
      <c r="R324" s="232"/>
      <c r="S324" s="232"/>
      <c r="T324" s="228"/>
    </row>
    <row r="325" customFormat="false" ht="15.75" hidden="false" customHeight="false" outlineLevel="0" collapsed="false">
      <c r="I325" s="221"/>
      <c r="J325" s="222" t="s">
        <v>431</v>
      </c>
      <c r="K325" s="223"/>
      <c r="L325" s="224"/>
      <c r="M325" s="225" t="str">
        <f aca="false">IF(X188="","",X188)</f>
        <v/>
      </c>
      <c r="N325" s="226"/>
      <c r="O325" s="226"/>
      <c r="P325" s="227"/>
      <c r="Q325" s="215"/>
      <c r="R325" s="226"/>
      <c r="S325" s="226"/>
      <c r="T325" s="228"/>
    </row>
    <row r="326" customFormat="false" ht="15.75" hidden="false" customHeight="false" outlineLevel="0" collapsed="false">
      <c r="I326" s="221"/>
      <c r="J326" s="229" t="s">
        <v>239</v>
      </c>
      <c r="K326" s="230"/>
      <c r="L326" s="231" t="n">
        <f aca="false">LEN(K325)</f>
        <v>0</v>
      </c>
      <c r="M326" s="232"/>
      <c r="N326" s="232"/>
      <c r="O326" s="232"/>
      <c r="P326" s="232"/>
      <c r="Q326" s="232"/>
      <c r="R326" s="232"/>
      <c r="S326" s="232"/>
      <c r="T326" s="228"/>
    </row>
    <row r="327" customFormat="false" ht="15.75" hidden="false" customHeight="false" outlineLevel="0" collapsed="false">
      <c r="I327" s="221"/>
      <c r="J327" s="222" t="s">
        <v>431</v>
      </c>
      <c r="K327" s="223"/>
      <c r="L327" s="224"/>
      <c r="M327" s="225" t="str">
        <f aca="false">IF(X190="","",X190)</f>
        <v/>
      </c>
      <c r="N327" s="226"/>
      <c r="O327" s="226"/>
      <c r="P327" s="227"/>
      <c r="Q327" s="215"/>
      <c r="R327" s="226"/>
      <c r="S327" s="226"/>
      <c r="T327" s="228"/>
    </row>
    <row r="328" customFormat="false" ht="15.75" hidden="false" customHeight="false" outlineLevel="0" collapsed="false">
      <c r="I328" s="221"/>
      <c r="J328" s="229" t="s">
        <v>239</v>
      </c>
      <c r="K328" s="230"/>
      <c r="L328" s="231" t="n">
        <f aca="false">LEN(K327)</f>
        <v>0</v>
      </c>
      <c r="M328" s="232"/>
      <c r="N328" s="232"/>
      <c r="O328" s="232"/>
      <c r="P328" s="232"/>
      <c r="Q328" s="232"/>
      <c r="R328" s="232"/>
      <c r="S328" s="232"/>
      <c r="T328" s="228"/>
    </row>
    <row r="329" customFormat="false" ht="15.75" hidden="false" customHeight="false" outlineLevel="0" collapsed="false">
      <c r="I329" s="221"/>
      <c r="J329" s="222" t="s">
        <v>431</v>
      </c>
      <c r="K329" s="223"/>
      <c r="L329" s="224"/>
      <c r="M329" s="225" t="str">
        <f aca="false">IF(X192="","",X192)</f>
        <v/>
      </c>
      <c r="N329" s="226"/>
      <c r="O329" s="226"/>
      <c r="P329" s="227"/>
      <c r="Q329" s="215"/>
      <c r="R329" s="226"/>
      <c r="S329" s="226"/>
      <c r="T329" s="228"/>
    </row>
    <row r="330" customFormat="false" ht="15.75" hidden="false" customHeight="false" outlineLevel="0" collapsed="false">
      <c r="I330" s="221"/>
      <c r="J330" s="229" t="s">
        <v>239</v>
      </c>
      <c r="K330" s="230"/>
      <c r="L330" s="231" t="n">
        <f aca="false">LEN(K329)</f>
        <v>0</v>
      </c>
      <c r="M330" s="232"/>
      <c r="N330" s="232"/>
      <c r="O330" s="232"/>
      <c r="P330" s="232"/>
      <c r="Q330" s="232"/>
      <c r="R330" s="232"/>
      <c r="S330" s="232"/>
      <c r="T330" s="228"/>
    </row>
    <row r="331" customFormat="false" ht="15.75" hidden="false" customHeight="false" outlineLevel="0" collapsed="false">
      <c r="I331" s="221"/>
      <c r="J331" s="222" t="s">
        <v>431</v>
      </c>
      <c r="K331" s="223"/>
      <c r="L331" s="224"/>
      <c r="M331" s="225" t="str">
        <f aca="false">IF(X194="","",X194)</f>
        <v/>
      </c>
      <c r="N331" s="226"/>
      <c r="O331" s="226"/>
      <c r="P331" s="227"/>
      <c r="Q331" s="215"/>
      <c r="R331" s="226"/>
      <c r="S331" s="226"/>
      <c r="T331" s="228"/>
    </row>
    <row r="332" customFormat="false" ht="15.75" hidden="false" customHeight="false" outlineLevel="0" collapsed="false">
      <c r="I332" s="221"/>
      <c r="J332" s="229" t="s">
        <v>239</v>
      </c>
      <c r="K332" s="230"/>
      <c r="L332" s="231" t="n">
        <f aca="false">LEN(K331)</f>
        <v>0</v>
      </c>
      <c r="M332" s="232"/>
      <c r="N332" s="232"/>
      <c r="O332" s="232"/>
      <c r="P332" s="232"/>
      <c r="Q332" s="232"/>
      <c r="R332" s="232"/>
      <c r="S332" s="232"/>
      <c r="T332" s="228"/>
    </row>
    <row r="333" customFormat="false" ht="15.75" hidden="false" customHeight="false" outlineLevel="0" collapsed="false">
      <c r="I333" s="221"/>
      <c r="J333" s="222" t="s">
        <v>431</v>
      </c>
      <c r="K333" s="223"/>
      <c r="L333" s="224"/>
      <c r="M333" s="225" t="str">
        <f aca="false">IF(X196="","",X196)</f>
        <v/>
      </c>
      <c r="N333" s="226"/>
      <c r="O333" s="226"/>
      <c r="P333" s="227"/>
      <c r="Q333" s="215"/>
      <c r="R333" s="226"/>
      <c r="S333" s="226"/>
      <c r="T333" s="228"/>
    </row>
    <row r="334" customFormat="false" ht="15.75" hidden="false" customHeight="false" outlineLevel="0" collapsed="false">
      <c r="I334" s="221"/>
      <c r="J334" s="229" t="s">
        <v>239</v>
      </c>
      <c r="K334" s="230"/>
      <c r="L334" s="231" t="n">
        <f aca="false">LEN(K333)</f>
        <v>0</v>
      </c>
      <c r="M334" s="232"/>
      <c r="N334" s="232"/>
      <c r="O334" s="232"/>
      <c r="P334" s="232"/>
      <c r="Q334" s="232"/>
      <c r="R334" s="232"/>
      <c r="S334" s="232"/>
      <c r="T334" s="228"/>
    </row>
    <row r="335" customFormat="false" ht="15.75" hidden="false" customHeight="false" outlineLevel="0" collapsed="false">
      <c r="I335" s="221"/>
      <c r="J335" s="222" t="s">
        <v>431</v>
      </c>
      <c r="K335" s="223"/>
      <c r="L335" s="224"/>
      <c r="M335" s="225" t="str">
        <f aca="false">IF(X198="","",X198)</f>
        <v/>
      </c>
      <c r="N335" s="226"/>
      <c r="O335" s="226"/>
      <c r="P335" s="227"/>
      <c r="Q335" s="215"/>
      <c r="R335" s="226"/>
      <c r="S335" s="226"/>
      <c r="T335" s="228"/>
    </row>
    <row r="336" customFormat="false" ht="15.75" hidden="false" customHeight="false" outlineLevel="0" collapsed="false">
      <c r="I336" s="221"/>
      <c r="J336" s="229" t="s">
        <v>239</v>
      </c>
      <c r="K336" s="230"/>
      <c r="L336" s="231" t="n">
        <f aca="false">LEN(K335)</f>
        <v>0</v>
      </c>
      <c r="M336" s="232"/>
      <c r="N336" s="232"/>
      <c r="O336" s="232"/>
      <c r="P336" s="232"/>
      <c r="Q336" s="232"/>
      <c r="R336" s="232"/>
      <c r="S336" s="232"/>
      <c r="T336" s="228"/>
    </row>
    <row r="337" customFormat="false" ht="15.75" hidden="false" customHeight="false" outlineLevel="0" collapsed="false">
      <c r="I337" s="221"/>
      <c r="J337" s="222" t="s">
        <v>431</v>
      </c>
      <c r="K337" s="223"/>
      <c r="L337" s="224"/>
      <c r="M337" s="225" t="str">
        <f aca="false">IF(X200="","",X200)</f>
        <v/>
      </c>
      <c r="N337" s="226"/>
      <c r="O337" s="226"/>
      <c r="P337" s="227"/>
      <c r="Q337" s="215"/>
      <c r="R337" s="226"/>
      <c r="S337" s="226"/>
      <c r="T337" s="228"/>
    </row>
    <row r="338" customFormat="false" ht="15.75" hidden="false" customHeight="false" outlineLevel="0" collapsed="false">
      <c r="I338" s="221"/>
      <c r="J338" s="229" t="s">
        <v>239</v>
      </c>
      <c r="K338" s="230"/>
      <c r="L338" s="231" t="n">
        <f aca="false">LEN(K337)</f>
        <v>0</v>
      </c>
      <c r="M338" s="232"/>
      <c r="N338" s="232"/>
      <c r="O338" s="232"/>
      <c r="P338" s="232"/>
      <c r="Q338" s="232"/>
      <c r="R338" s="232"/>
      <c r="S338" s="232"/>
      <c r="T338" s="228"/>
    </row>
    <row r="339" customFormat="false" ht="15.75" hidden="false" customHeight="false" outlineLevel="0" collapsed="false">
      <c r="I339" s="221"/>
      <c r="J339" s="222" t="s">
        <v>431</v>
      </c>
      <c r="K339" s="223"/>
      <c r="L339" s="224"/>
      <c r="M339" s="225" t="str">
        <f aca="false">IF(X202="","",X202)</f>
        <v/>
      </c>
      <c r="N339" s="226"/>
      <c r="O339" s="226"/>
      <c r="P339" s="227"/>
      <c r="Q339" s="215"/>
      <c r="R339" s="226"/>
      <c r="S339" s="226"/>
      <c r="T339" s="228"/>
    </row>
    <row r="340" customFormat="false" ht="15.75" hidden="false" customHeight="false" outlineLevel="0" collapsed="false">
      <c r="I340" s="221"/>
      <c r="J340" s="229" t="s">
        <v>239</v>
      </c>
      <c r="K340" s="230"/>
      <c r="L340" s="231" t="n">
        <f aca="false">LEN(K339)</f>
        <v>0</v>
      </c>
      <c r="M340" s="232"/>
      <c r="N340" s="232"/>
      <c r="O340" s="232"/>
      <c r="P340" s="232"/>
      <c r="Q340" s="232"/>
      <c r="R340" s="232"/>
      <c r="S340" s="232"/>
      <c r="T340" s="228"/>
    </row>
    <row r="341" customFormat="false" ht="15.75" hidden="false" customHeight="false" outlineLevel="0" collapsed="false">
      <c r="I341" s="221"/>
      <c r="J341" s="222" t="s">
        <v>431</v>
      </c>
      <c r="K341" s="223"/>
      <c r="L341" s="224"/>
      <c r="M341" s="225" t="str">
        <f aca="false">IF(X204="","",X204)</f>
        <v/>
      </c>
      <c r="N341" s="226"/>
      <c r="O341" s="226"/>
      <c r="P341" s="227"/>
      <c r="Q341" s="215"/>
      <c r="R341" s="226"/>
      <c r="S341" s="226"/>
      <c r="T341" s="228"/>
    </row>
    <row r="342" customFormat="false" ht="15.75" hidden="false" customHeight="false" outlineLevel="0" collapsed="false">
      <c r="I342" s="221"/>
      <c r="J342" s="229" t="s">
        <v>239</v>
      </c>
      <c r="K342" s="230"/>
      <c r="L342" s="231" t="n">
        <f aca="false">LEN(K341)</f>
        <v>0</v>
      </c>
      <c r="M342" s="232"/>
      <c r="N342" s="232"/>
      <c r="O342" s="232"/>
      <c r="P342" s="232"/>
      <c r="Q342" s="232"/>
      <c r="R342" s="232"/>
      <c r="S342" s="232"/>
      <c r="T342" s="228"/>
    </row>
    <row r="343" customFormat="false" ht="15.75" hidden="false" customHeight="false" outlineLevel="0" collapsed="false">
      <c r="I343" s="221"/>
      <c r="J343" s="222" t="s">
        <v>431</v>
      </c>
      <c r="K343" s="223"/>
      <c r="L343" s="224"/>
      <c r="M343" s="225" t="str">
        <f aca="false">IF(X206="","",X206)</f>
        <v/>
      </c>
      <c r="N343" s="226"/>
      <c r="O343" s="226"/>
      <c r="P343" s="227"/>
      <c r="Q343" s="215"/>
      <c r="R343" s="226"/>
      <c r="S343" s="226"/>
      <c r="T343" s="228"/>
    </row>
    <row r="344" customFormat="false" ht="15.75" hidden="false" customHeight="false" outlineLevel="0" collapsed="false">
      <c r="I344" s="221"/>
      <c r="J344" s="229" t="s">
        <v>239</v>
      </c>
      <c r="K344" s="230"/>
      <c r="L344" s="231" t="n">
        <f aca="false">LEN(K343)</f>
        <v>0</v>
      </c>
      <c r="M344" s="232"/>
      <c r="N344" s="232"/>
      <c r="O344" s="232"/>
      <c r="P344" s="232"/>
      <c r="Q344" s="232"/>
      <c r="R344" s="232"/>
      <c r="S344" s="232"/>
      <c r="T344" s="228"/>
    </row>
    <row r="345" customFormat="false" ht="15.75" hidden="false" customHeight="false" outlineLevel="0" collapsed="false">
      <c r="I345" s="221"/>
      <c r="J345" s="222" t="s">
        <v>431</v>
      </c>
      <c r="K345" s="223"/>
      <c r="L345" s="224"/>
      <c r="M345" s="225" t="str">
        <f aca="false">IF(X208="","",X208)</f>
        <v/>
      </c>
      <c r="N345" s="226"/>
      <c r="O345" s="226"/>
      <c r="P345" s="227"/>
      <c r="Q345" s="215"/>
      <c r="R345" s="226"/>
      <c r="S345" s="226"/>
      <c r="T345" s="228"/>
    </row>
    <row r="346" customFormat="false" ht="15.75" hidden="false" customHeight="false" outlineLevel="0" collapsed="false">
      <c r="I346" s="221"/>
      <c r="J346" s="229" t="s">
        <v>239</v>
      </c>
      <c r="K346" s="230"/>
      <c r="L346" s="231" t="n">
        <f aca="false">LEN(K345)</f>
        <v>0</v>
      </c>
      <c r="M346" s="232"/>
      <c r="N346" s="232"/>
      <c r="O346" s="232"/>
      <c r="P346" s="232"/>
      <c r="Q346" s="232"/>
      <c r="R346" s="232"/>
      <c r="S346" s="232"/>
      <c r="T346" s="228"/>
    </row>
    <row r="347" customFormat="false" ht="15.75" hidden="false" customHeight="false" outlineLevel="0" collapsed="false">
      <c r="I347" s="221"/>
      <c r="J347" s="222" t="s">
        <v>431</v>
      </c>
      <c r="K347" s="223"/>
      <c r="L347" s="224"/>
      <c r="M347" s="225" t="str">
        <f aca="false">IF(X210="","",X210)</f>
        <v/>
      </c>
      <c r="N347" s="226"/>
      <c r="O347" s="226"/>
      <c r="P347" s="227"/>
      <c r="Q347" s="215"/>
      <c r="R347" s="226"/>
      <c r="S347" s="226"/>
      <c r="T347" s="228"/>
    </row>
    <row r="348" customFormat="false" ht="15.75" hidden="false" customHeight="false" outlineLevel="0" collapsed="false">
      <c r="I348" s="221"/>
      <c r="J348" s="229" t="s">
        <v>239</v>
      </c>
      <c r="K348" s="230"/>
      <c r="L348" s="231" t="n">
        <f aca="false">LEN(K347)</f>
        <v>0</v>
      </c>
      <c r="M348" s="232"/>
      <c r="N348" s="232"/>
      <c r="O348" s="232"/>
      <c r="P348" s="232"/>
      <c r="Q348" s="232"/>
      <c r="R348" s="232"/>
      <c r="S348" s="232"/>
      <c r="T348" s="228"/>
    </row>
    <row r="349" customFormat="false" ht="15.75" hidden="false" customHeight="false" outlineLevel="0" collapsed="false">
      <c r="I349" s="221"/>
      <c r="J349" s="222" t="s">
        <v>431</v>
      </c>
      <c r="K349" s="223"/>
      <c r="L349" s="224"/>
      <c r="M349" s="225" t="str">
        <f aca="false">IF(X212="","",X212)</f>
        <v/>
      </c>
      <c r="N349" s="226"/>
      <c r="O349" s="226"/>
      <c r="P349" s="227"/>
      <c r="Q349" s="215"/>
      <c r="R349" s="226"/>
      <c r="S349" s="226"/>
      <c r="T349" s="228"/>
    </row>
    <row r="350" customFormat="false" ht="15.75" hidden="false" customHeight="false" outlineLevel="0" collapsed="false">
      <c r="I350" s="221"/>
      <c r="J350" s="229" t="s">
        <v>239</v>
      </c>
      <c r="K350" s="230"/>
      <c r="L350" s="231" t="n">
        <f aca="false">LEN(K349)</f>
        <v>0</v>
      </c>
      <c r="M350" s="232"/>
      <c r="N350" s="232"/>
      <c r="O350" s="232"/>
      <c r="P350" s="232"/>
      <c r="Q350" s="232"/>
      <c r="R350" s="232"/>
      <c r="S350" s="232"/>
      <c r="T350" s="228"/>
    </row>
    <row r="351" customFormat="false" ht="15.75" hidden="false" customHeight="false" outlineLevel="0" collapsed="false">
      <c r="I351" s="221"/>
      <c r="J351" s="222" t="s">
        <v>431</v>
      </c>
      <c r="K351" s="223"/>
      <c r="L351" s="224"/>
      <c r="M351" s="225" t="str">
        <f aca="false">IF(X214="","",X214)</f>
        <v/>
      </c>
      <c r="N351" s="226"/>
      <c r="O351" s="226"/>
      <c r="P351" s="227"/>
      <c r="Q351" s="215"/>
      <c r="R351" s="226"/>
      <c r="S351" s="226"/>
      <c r="T351" s="228"/>
    </row>
    <row r="352" customFormat="false" ht="15.75" hidden="false" customHeight="false" outlineLevel="0" collapsed="false">
      <c r="I352" s="221"/>
      <c r="J352" s="229" t="s">
        <v>239</v>
      </c>
      <c r="K352" s="232"/>
      <c r="L352" s="231" t="n">
        <f aca="false">LEN(K351)</f>
        <v>0</v>
      </c>
      <c r="M352" s="232"/>
      <c r="N352" s="232"/>
      <c r="O352" s="232"/>
      <c r="P352" s="232"/>
      <c r="Q352" s="232"/>
      <c r="R352" s="232"/>
      <c r="S352" s="232"/>
      <c r="T352" s="228"/>
    </row>
    <row r="353" customFormat="false" ht="15.75" hidden="false" customHeight="false" outlineLevel="0" collapsed="false">
      <c r="I353" s="234"/>
      <c r="J353" s="235"/>
      <c r="K353" s="235"/>
      <c r="L353" s="235"/>
      <c r="M353" s="235"/>
      <c r="N353" s="235"/>
      <c r="O353" s="235"/>
      <c r="P353" s="235"/>
      <c r="Q353" s="235"/>
      <c r="R353" s="235"/>
      <c r="S353" s="235"/>
      <c r="T353" s="236"/>
    </row>
  </sheetData>
  <mergeCells count="22">
    <mergeCell ref="C91:E91"/>
    <mergeCell ref="A93:A95"/>
    <mergeCell ref="A96:A98"/>
    <mergeCell ref="A99:A101"/>
    <mergeCell ref="K99:M99"/>
    <mergeCell ref="N99:P99"/>
    <mergeCell ref="Q99:S99"/>
    <mergeCell ref="N133:O133"/>
    <mergeCell ref="K145:L145"/>
    <mergeCell ref="K152:L152"/>
    <mergeCell ref="I174:I175"/>
    <mergeCell ref="I186:I188"/>
    <mergeCell ref="I189:I191"/>
    <mergeCell ref="I192:I194"/>
    <mergeCell ref="K201:L201"/>
    <mergeCell ref="O201:P201"/>
    <mergeCell ref="K202:L202"/>
    <mergeCell ref="O202:P202"/>
    <mergeCell ref="P228:Q228"/>
    <mergeCell ref="K259:K260"/>
    <mergeCell ref="L259:L262"/>
    <mergeCell ref="K261:K262"/>
  </mergeCells>
  <conditionalFormatting sqref="R135">
    <cfRule type="cellIs" priority="2" operator="equal" aboveAverage="0" equalAverage="0" bottom="0" percent="0" rank="0" text="" dxfId="0">
      <formula>"NO"</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92"/>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I77" activeCellId="0" sqref="I77"/>
    </sheetView>
  </sheetViews>
  <sheetFormatPr defaultColWidth="9.00390625" defaultRowHeight="15.75" zeroHeight="false" outlineLevelRow="0" outlineLevelCol="0"/>
  <cols>
    <col collapsed="false" customWidth="false" hidden="false" outlineLevel="0" max="16384" min="1" style="1" width="9"/>
  </cols>
  <sheetData>
    <row r="1" customFormat="false" ht="15.75" hidden="false" customHeight="false" outlineLevel="0" collapsed="false">
      <c r="A1" s="1" t="s">
        <v>436</v>
      </c>
    </row>
    <row r="2" customFormat="false" ht="15.75" hidden="false" customHeight="false" outlineLevel="0" collapsed="false">
      <c r="A2" s="1" t="n">
        <v>1</v>
      </c>
      <c r="B2" s="1" t="s">
        <v>365</v>
      </c>
    </row>
    <row r="3" customFormat="false" ht="15.75" hidden="false" customHeight="false" outlineLevel="0" collapsed="false">
      <c r="A3" s="1" t="n">
        <v>2</v>
      </c>
      <c r="B3" s="1" t="s">
        <v>367</v>
      </c>
    </row>
    <row r="4" customFormat="false" ht="15.75" hidden="false" customHeight="false" outlineLevel="0" collapsed="false">
      <c r="A4" s="1" t="n">
        <v>3</v>
      </c>
      <c r="B4" s="1" t="s">
        <v>368</v>
      </c>
    </row>
    <row r="5" customFormat="false" ht="15.75" hidden="false" customHeight="false" outlineLevel="0" collapsed="false">
      <c r="A5" s="1" t="n">
        <v>4</v>
      </c>
      <c r="B5" s="1" t="s">
        <v>369</v>
      </c>
    </row>
    <row r="7" customFormat="false" ht="15.75" hidden="false" customHeight="false" outlineLevel="0" collapsed="false">
      <c r="A7" s="1" t="s">
        <v>437</v>
      </c>
      <c r="D7" s="1" t="s">
        <v>438</v>
      </c>
      <c r="F7" s="1" t="n">
        <v>65</v>
      </c>
      <c r="G7" s="1" t="n">
        <v>70</v>
      </c>
      <c r="H7" s="1" t="n">
        <v>75</v>
      </c>
      <c r="I7" s="1" t="n">
        <v>80</v>
      </c>
      <c r="J7" s="1" t="s">
        <v>439</v>
      </c>
    </row>
    <row r="8" customFormat="false" ht="15.75" hidden="false" customHeight="false" outlineLevel="0" collapsed="false">
      <c r="A8" s="1" t="n">
        <v>1.1</v>
      </c>
      <c r="B8" s="1" t="n">
        <v>0.5</v>
      </c>
      <c r="D8" s="1" t="n">
        <v>1</v>
      </c>
      <c r="E8" s="1" t="n">
        <f aca="false">HLOOKUP(LEEDS_KV,$F$7:$I$26,D8+1)</f>
        <v>0.167</v>
      </c>
      <c r="F8" s="1" t="n">
        <v>0.188</v>
      </c>
      <c r="G8" s="1" t="n">
        <v>0.167</v>
      </c>
      <c r="H8" s="1" t="n">
        <v>0.149</v>
      </c>
      <c r="I8" s="1" t="n">
        <v>0.135</v>
      </c>
      <c r="J8" s="1" t="n">
        <v>0.16</v>
      </c>
    </row>
    <row r="9" customFormat="false" ht="15.75" hidden="false" customHeight="false" outlineLevel="0" collapsed="false">
      <c r="A9" s="1" t="n">
        <v>1.2</v>
      </c>
      <c r="B9" s="1" t="n">
        <v>0.56</v>
      </c>
      <c r="D9" s="1" t="n">
        <v>2</v>
      </c>
      <c r="E9" s="1" t="n">
        <f aca="false">HLOOKUP(LEEDS_KV,$F$7:$I$26,D9+1)</f>
        <v>0.148</v>
      </c>
      <c r="F9" s="1" t="n">
        <v>0.167</v>
      </c>
      <c r="G9" s="1" t="n">
        <v>0.148</v>
      </c>
      <c r="H9" s="1" t="n">
        <v>0.132</v>
      </c>
      <c r="I9" s="1" t="n">
        <v>0.12</v>
      </c>
      <c r="J9" s="1" t="n">
        <v>0.145</v>
      </c>
    </row>
    <row r="10" customFormat="false" ht="15.75" hidden="false" customHeight="false" outlineLevel="0" collapsed="false">
      <c r="A10" s="1" t="n">
        <v>1.3</v>
      </c>
      <c r="B10" s="1" t="n">
        <v>0.63</v>
      </c>
      <c r="D10" s="1" t="n">
        <v>3</v>
      </c>
      <c r="E10" s="1" t="n">
        <f aca="false">HLOOKUP(LEEDS_KV,$F$7:$I$26,D10+1)</f>
        <v>0.128</v>
      </c>
      <c r="F10" s="1" t="n">
        <v>0.145</v>
      </c>
      <c r="G10" s="1" t="n">
        <v>0.128</v>
      </c>
      <c r="H10" s="1" t="n">
        <v>0.114</v>
      </c>
      <c r="I10" s="1" t="n">
        <v>0.104</v>
      </c>
      <c r="J10" s="1" t="n">
        <v>0.123</v>
      </c>
    </row>
    <row r="11" customFormat="false" ht="15.75" hidden="false" customHeight="false" outlineLevel="0" collapsed="false">
      <c r="A11" s="1" t="n">
        <v>2.1</v>
      </c>
      <c r="B11" s="1" t="n">
        <v>0.71</v>
      </c>
      <c r="D11" s="1" t="n">
        <v>4</v>
      </c>
      <c r="E11" s="1" t="n">
        <f aca="false">HLOOKUP(LEEDS_KV,$F$7:$I$26,D11+1)</f>
        <v>0.109</v>
      </c>
      <c r="F11" s="1" t="n">
        <v>0.124</v>
      </c>
      <c r="G11" s="1" t="n">
        <v>0.109</v>
      </c>
      <c r="H11" s="1" t="n">
        <v>0.097</v>
      </c>
      <c r="I11" s="1" t="n">
        <v>0.088</v>
      </c>
      <c r="J11" s="1" t="n">
        <v>0.108</v>
      </c>
    </row>
    <row r="12" customFormat="false" ht="15.75" hidden="false" customHeight="false" outlineLevel="0" collapsed="false">
      <c r="A12" s="1" t="n">
        <v>2.2</v>
      </c>
      <c r="B12" s="1" t="n">
        <v>0.8</v>
      </c>
      <c r="D12" s="1" t="n">
        <v>5</v>
      </c>
      <c r="E12" s="1" t="n">
        <f aca="false">HLOOKUP(LEEDS_KV,$F$7:$I$26,D12+1)</f>
        <v>0.0876</v>
      </c>
      <c r="F12" s="1" t="n">
        <v>0.0993</v>
      </c>
      <c r="G12" s="1" t="n">
        <v>0.0876</v>
      </c>
      <c r="H12" s="1" t="n">
        <v>0.078</v>
      </c>
      <c r="I12" s="1" t="n">
        <v>0.0705</v>
      </c>
      <c r="J12" s="1" t="n">
        <v>0.086</v>
      </c>
    </row>
    <row r="13" customFormat="false" ht="15.75" hidden="false" customHeight="false" outlineLevel="0" collapsed="false">
      <c r="A13" s="1" t="n">
        <v>2.3</v>
      </c>
      <c r="B13" s="1" t="n">
        <v>0.9</v>
      </c>
      <c r="D13" s="1" t="n">
        <v>6</v>
      </c>
      <c r="E13" s="1" t="n">
        <f aca="false">HLOOKUP(LEEDS_KV,$F$7:$I$26,D13+1)</f>
        <v>0.0749</v>
      </c>
      <c r="F13" s="1" t="n">
        <v>0.0847</v>
      </c>
      <c r="G13" s="1" t="n">
        <v>0.0749</v>
      </c>
      <c r="H13" s="1" t="n">
        <v>0.067</v>
      </c>
      <c r="I13" s="1" t="n">
        <v>0.0609</v>
      </c>
      <c r="J13" s="1" t="n">
        <v>0.076</v>
      </c>
    </row>
    <row r="14" customFormat="false" ht="15.75" hidden="false" customHeight="false" outlineLevel="0" collapsed="false">
      <c r="A14" s="1" t="n">
        <v>3.1</v>
      </c>
      <c r="B14" s="1" t="n">
        <v>1</v>
      </c>
      <c r="D14" s="1" t="n">
        <v>7</v>
      </c>
      <c r="E14" s="1" t="n">
        <f aca="false">HLOOKUP(LEEDS_KV,$F$7:$I$26,D14+1)</f>
        <v>0.0674</v>
      </c>
      <c r="F14" s="1" t="n">
        <v>0.0766</v>
      </c>
      <c r="G14" s="1" t="n">
        <v>0.0674</v>
      </c>
      <c r="H14" s="1" t="n">
        <v>0.0599</v>
      </c>
      <c r="I14" s="1" t="n">
        <v>0.0542</v>
      </c>
      <c r="J14" s="1" t="n">
        <v>0.066</v>
      </c>
    </row>
    <row r="15" customFormat="false" ht="15.75" hidden="false" customHeight="false" outlineLevel="0" collapsed="false">
      <c r="A15" s="1" t="n">
        <v>3.2</v>
      </c>
      <c r="B15" s="1" t="n">
        <v>1.12</v>
      </c>
      <c r="D15" s="1" t="n">
        <v>8</v>
      </c>
      <c r="E15" s="1" t="n">
        <f aca="false">HLOOKUP(LEEDS_KV,$F$7:$I$26,D15+1)</f>
        <v>0.0525</v>
      </c>
      <c r="F15" s="1" t="n">
        <v>0.0593</v>
      </c>
      <c r="G15" s="1" t="n">
        <v>0.0525</v>
      </c>
      <c r="H15" s="1" t="n">
        <v>0.047</v>
      </c>
      <c r="I15" s="1" t="n">
        <v>0.0427</v>
      </c>
      <c r="J15" s="1" t="n">
        <v>0.055</v>
      </c>
    </row>
    <row r="16" customFormat="false" ht="15.75" hidden="false" customHeight="false" outlineLevel="0" collapsed="false">
      <c r="A16" s="1" t="n">
        <v>3.3</v>
      </c>
      <c r="B16" s="1" t="n">
        <v>1.25</v>
      </c>
      <c r="D16" s="1" t="n">
        <v>9</v>
      </c>
      <c r="E16" s="1" t="n">
        <f aca="false">HLOOKUP(LEEDS_KV,$F$7:$I$26,D16+1)</f>
        <v>0.045</v>
      </c>
      <c r="F16" s="1" t="n">
        <v>0.0512</v>
      </c>
      <c r="G16" s="1" t="n">
        <v>0.045</v>
      </c>
      <c r="H16" s="1" t="n">
        <v>0.0399</v>
      </c>
      <c r="I16" s="1" t="n">
        <v>0.036</v>
      </c>
      <c r="J16" s="1" t="n">
        <v>0.045</v>
      </c>
    </row>
    <row r="17" customFormat="false" ht="15.75" hidden="false" customHeight="false" outlineLevel="0" collapsed="false">
      <c r="A17" s="1" t="n">
        <v>4.1</v>
      </c>
      <c r="B17" s="1" t="n">
        <v>1.4</v>
      </c>
      <c r="D17" s="1" t="n">
        <v>10</v>
      </c>
      <c r="E17" s="1" t="n">
        <f aca="false">HLOOKUP(LEEDS_KV,$F$7:$I$26,D17+1)</f>
        <v>0.0371</v>
      </c>
      <c r="F17" s="1" t="n">
        <v>0.04</v>
      </c>
      <c r="G17" s="1" t="n">
        <v>0.0371</v>
      </c>
      <c r="H17" s="1" t="n">
        <v>0.0347</v>
      </c>
      <c r="I17" s="1" t="n">
        <v>0.0329</v>
      </c>
      <c r="J17" s="1" t="n">
        <v>0.039</v>
      </c>
    </row>
    <row r="18" customFormat="false" ht="15.75" hidden="false" customHeight="false" outlineLevel="0" collapsed="false">
      <c r="A18" s="1" t="n">
        <v>4.2</v>
      </c>
      <c r="B18" s="1" t="n">
        <v>1.6</v>
      </c>
      <c r="D18" s="1" t="n">
        <v>11</v>
      </c>
      <c r="E18" s="1" t="n">
        <f aca="false">HLOOKUP(LEEDS_KV,$F$7:$I$26,D18+1)</f>
        <v>0.0322</v>
      </c>
      <c r="F18" s="1" t="n">
        <v>0.0347</v>
      </c>
      <c r="G18" s="1" t="n">
        <v>0.0322</v>
      </c>
      <c r="H18" s="1" t="n">
        <v>0.0301</v>
      </c>
      <c r="I18" s="1" t="n">
        <v>0.0285</v>
      </c>
      <c r="J18" s="1" t="n">
        <v>0.033</v>
      </c>
    </row>
    <row r="19" customFormat="false" ht="15.75" hidden="false" customHeight="false" outlineLevel="0" collapsed="false">
      <c r="A19" s="1" t="n">
        <v>4.3</v>
      </c>
      <c r="B19" s="1" t="n">
        <v>1.8</v>
      </c>
      <c r="D19" s="1" t="n">
        <v>12</v>
      </c>
      <c r="E19" s="1" t="n">
        <f aca="false">HLOOKUP(LEEDS_KV,$F$7:$I$26,D19+1)</f>
        <v>0.0246</v>
      </c>
      <c r="F19" s="1" t="n">
        <v>0.0269</v>
      </c>
      <c r="G19" s="1" t="n">
        <v>0.0246</v>
      </c>
      <c r="H19" s="1" t="n">
        <v>0.0233</v>
      </c>
      <c r="I19" s="1" t="n">
        <v>0.022</v>
      </c>
      <c r="J19" s="1" t="n">
        <v>0.027</v>
      </c>
    </row>
    <row r="20" customFormat="false" ht="15.75" hidden="false" customHeight="false" outlineLevel="0" collapsed="false">
      <c r="A20" s="1" t="n">
        <v>5.1</v>
      </c>
      <c r="B20" s="1" t="n">
        <v>2</v>
      </c>
      <c r="D20" s="1" t="n">
        <v>13</v>
      </c>
      <c r="E20" s="1" t="n">
        <f aca="false">HLOOKUP(LEEDS_KV,$F$7:$I$26,D20+1)</f>
        <v>0.0215</v>
      </c>
      <c r="F20" s="1" t="n">
        <v>0.0232</v>
      </c>
      <c r="G20" s="1" t="n">
        <v>0.0215</v>
      </c>
      <c r="H20" s="1" t="n">
        <v>0.0201</v>
      </c>
      <c r="I20" s="1" t="n">
        <v>0.019</v>
      </c>
      <c r="J20" s="1" t="n">
        <v>0.023</v>
      </c>
    </row>
    <row r="21" customFormat="false" ht="15.75" hidden="false" customHeight="false" outlineLevel="0" collapsed="false">
      <c r="A21" s="1" t="n">
        <v>5.2</v>
      </c>
      <c r="B21" s="1" t="n">
        <v>2.24</v>
      </c>
      <c r="D21" s="1" t="n">
        <v>14</v>
      </c>
      <c r="E21" s="1" t="n">
        <f aca="false">HLOOKUP(LEEDS_KV,$F$7:$I$26,D21+1)</f>
        <v>0.0172</v>
      </c>
      <c r="F21" s="1" t="n">
        <v>0.0186</v>
      </c>
      <c r="G21" s="1" t="n">
        <v>0.0172</v>
      </c>
      <c r="H21" s="1" t="n">
        <v>0.0161</v>
      </c>
      <c r="I21" s="1" t="n">
        <v>0.0153</v>
      </c>
      <c r="J21" s="1" t="n">
        <v>0.018</v>
      </c>
    </row>
    <row r="22" customFormat="false" ht="15.75" hidden="false" customHeight="false" outlineLevel="0" collapsed="false">
      <c r="A22" s="1" t="n">
        <v>5.3</v>
      </c>
      <c r="B22" s="1" t="n">
        <v>2.5</v>
      </c>
      <c r="D22" s="1" t="n">
        <v>15</v>
      </c>
      <c r="E22" s="1" t="n">
        <f aca="false">HLOOKUP(LEEDS_KV,$F$7:$I$26,D22+1)</f>
        <v>0.0155</v>
      </c>
      <c r="F22" s="1" t="n">
        <v>0.0168</v>
      </c>
      <c r="G22" s="1" t="n">
        <v>0.0155</v>
      </c>
      <c r="H22" s="1" t="n">
        <v>0.0145</v>
      </c>
      <c r="I22" s="1" t="n">
        <v>0.0138</v>
      </c>
      <c r="J22" s="1" t="n">
        <v>0.016</v>
      </c>
    </row>
    <row r="23" customFormat="false" ht="15.75" hidden="false" customHeight="false" outlineLevel="0" collapsed="false">
      <c r="A23" s="1" t="n">
        <v>6.1</v>
      </c>
      <c r="B23" s="1" t="n">
        <v>2.8</v>
      </c>
      <c r="D23" s="1" t="n">
        <v>16</v>
      </c>
      <c r="E23" s="1" t="n">
        <f aca="false">HLOOKUP(LEEDS_KV,$F$7:$I$26,D23+1)</f>
        <v>0.013</v>
      </c>
      <c r="F23" s="1" t="n">
        <v>0.014</v>
      </c>
      <c r="G23" s="1" t="n">
        <v>0.013</v>
      </c>
      <c r="H23" s="1" t="n">
        <v>0.0122</v>
      </c>
      <c r="I23" s="1" t="n">
        <v>0.0115</v>
      </c>
      <c r="J23" s="1" t="n">
        <v>0.013</v>
      </c>
    </row>
    <row r="24" customFormat="false" ht="15.75" hidden="false" customHeight="false" outlineLevel="0" collapsed="false">
      <c r="A24" s="1" t="n">
        <v>6.2</v>
      </c>
      <c r="B24" s="1" t="n">
        <v>3.15</v>
      </c>
      <c r="D24" s="1" t="n">
        <v>17</v>
      </c>
      <c r="E24" s="1" t="n">
        <f aca="false">HLOOKUP(LEEDS_KV,$F$7:$I$26,D24+1)</f>
        <v>0.011</v>
      </c>
      <c r="F24" s="1" t="n">
        <v>0.0119</v>
      </c>
      <c r="G24" s="1" t="n">
        <v>0.011</v>
      </c>
      <c r="H24" s="1" t="n">
        <v>0.0103</v>
      </c>
      <c r="I24" s="1" t="n">
        <v>0.0097</v>
      </c>
      <c r="J24" s="1" t="n">
        <v>0.011</v>
      </c>
    </row>
    <row r="25" customFormat="false" ht="15.75" hidden="false" customHeight="false" outlineLevel="0" collapsed="false">
      <c r="A25" s="1" t="n">
        <v>6.3</v>
      </c>
      <c r="B25" s="1" t="n">
        <v>3.55</v>
      </c>
      <c r="D25" s="1" t="n">
        <v>18</v>
      </c>
      <c r="E25" s="1" t="n">
        <f aca="false">HLOOKUP(LEEDS_KV,$F$7:$I$26,D25+1)</f>
        <v>0.0086</v>
      </c>
      <c r="F25" s="1" t="n">
        <v>0.0093</v>
      </c>
      <c r="G25" s="1" t="n">
        <v>0.0086</v>
      </c>
      <c r="H25" s="1" t="n">
        <v>0.0081</v>
      </c>
      <c r="I25" s="1" t="n">
        <v>0.0077</v>
      </c>
      <c r="J25" s="1" t="n">
        <v>0.009</v>
      </c>
    </row>
    <row r="26" customFormat="false" ht="15.75" hidden="false" customHeight="false" outlineLevel="0" collapsed="false">
      <c r="A26" s="1" t="n">
        <v>7.1</v>
      </c>
      <c r="B26" s="1" t="n">
        <v>4</v>
      </c>
      <c r="D26" s="1" t="n">
        <v>19</v>
      </c>
      <c r="E26" s="1" t="n">
        <f aca="false">HLOOKUP(LEEDS_KV,$F$7:$I$26,D26+1)</f>
        <v>0.0066</v>
      </c>
      <c r="F26" s="1" t="n">
        <v>0.0071</v>
      </c>
      <c r="G26" s="1" t="n">
        <v>0.0066</v>
      </c>
      <c r="H26" s="1" t="n">
        <v>0.0062</v>
      </c>
      <c r="I26" s="1" t="n">
        <v>0.0059</v>
      </c>
      <c r="J26" s="1" t="n">
        <v>0.007</v>
      </c>
    </row>
    <row r="27" customFormat="false" ht="15.75" hidden="false" customHeight="false" outlineLevel="0" collapsed="false">
      <c r="A27" s="1" t="n">
        <v>7.2</v>
      </c>
      <c r="B27" s="1" t="n">
        <v>4.5</v>
      </c>
    </row>
    <row r="28" customFormat="false" ht="15.75" hidden="false" customHeight="false" outlineLevel="0" collapsed="false">
      <c r="A28" s="1" t="n">
        <v>7.3</v>
      </c>
      <c r="B28" s="1" t="n">
        <v>5</v>
      </c>
    </row>
    <row r="30" customFormat="false" ht="15.75" hidden="false" customHeight="false" outlineLevel="0" collapsed="false">
      <c r="A30" s="1" t="s">
        <v>440</v>
      </c>
      <c r="B30" s="1" t="n">
        <v>65</v>
      </c>
      <c r="C30" s="1" t="n">
        <v>70</v>
      </c>
      <c r="D30" s="1" t="n">
        <v>75</v>
      </c>
      <c r="E30" s="1" t="n">
        <v>80</v>
      </c>
    </row>
    <row r="31" customFormat="false" ht="15.75" hidden="false" customHeight="false" outlineLevel="0" collapsed="false">
      <c r="A31" s="1" t="n">
        <v>0.012</v>
      </c>
      <c r="B31" s="1" t="n">
        <v>0.0119</v>
      </c>
      <c r="C31" s="1" t="n">
        <v>0.011</v>
      </c>
      <c r="D31" s="1" t="n">
        <v>0.0103</v>
      </c>
      <c r="E31" s="1" t="n">
        <v>0.0097</v>
      </c>
      <c r="J31" s="1" t="s">
        <v>441</v>
      </c>
    </row>
    <row r="32" customFormat="false" ht="15.75" hidden="false" customHeight="false" outlineLevel="0" collapsed="false">
      <c r="A32" s="1" t="n">
        <v>0.016</v>
      </c>
      <c r="B32" s="1" t="n">
        <v>0.0168</v>
      </c>
      <c r="C32" s="1" t="n">
        <v>0.0155</v>
      </c>
      <c r="D32" s="1" t="n">
        <v>0.0145</v>
      </c>
      <c r="E32" s="1" t="n">
        <v>0.0138</v>
      </c>
    </row>
    <row r="33" customFormat="false" ht="15.75" hidden="false" customHeight="false" outlineLevel="0" collapsed="false">
      <c r="A33" s="1" t="n">
        <v>0.023</v>
      </c>
      <c r="B33" s="1" t="n">
        <v>0.0232</v>
      </c>
      <c r="C33" s="1" t="n">
        <v>0.0215</v>
      </c>
      <c r="D33" s="1" t="n">
        <v>0.0201</v>
      </c>
      <c r="E33" s="1" t="n">
        <v>0.019</v>
      </c>
    </row>
    <row r="34" customFormat="false" ht="15.75" hidden="false" customHeight="false" outlineLevel="0" collapsed="false">
      <c r="A34" s="1" t="n">
        <v>0.032</v>
      </c>
      <c r="B34" s="1" t="n">
        <v>0.0347</v>
      </c>
      <c r="C34" s="1" t="n">
        <v>0.0322</v>
      </c>
      <c r="D34" s="1" t="n">
        <v>0.0301</v>
      </c>
      <c r="E34" s="1" t="n">
        <v>0.0285</v>
      </c>
    </row>
    <row r="35" customFormat="false" ht="15.75" hidden="false" customHeight="false" outlineLevel="0" collapsed="false">
      <c r="A35" s="1" t="n">
        <v>0.045</v>
      </c>
      <c r="B35" s="1" t="n">
        <v>0.0512</v>
      </c>
      <c r="C35" s="1" t="n">
        <v>0.045</v>
      </c>
      <c r="D35" s="1" t="n">
        <v>0.0399</v>
      </c>
      <c r="E35" s="1" t="n">
        <v>0.036</v>
      </c>
    </row>
    <row r="36" customFormat="false" ht="15.75" hidden="false" customHeight="false" outlineLevel="0" collapsed="false">
      <c r="A36" s="1" t="n">
        <v>0.066</v>
      </c>
      <c r="B36" s="1" t="n">
        <v>0.0766</v>
      </c>
      <c r="C36" s="1" t="n">
        <v>0.0674</v>
      </c>
      <c r="D36" s="1" t="n">
        <v>0.0599</v>
      </c>
      <c r="E36" s="1" t="n">
        <v>0.0542</v>
      </c>
    </row>
    <row r="37" customFormat="false" ht="15.75" hidden="false" customHeight="false" outlineLevel="0" collapsed="false">
      <c r="A37" s="1" t="n">
        <v>0.086</v>
      </c>
      <c r="B37" s="1" t="n">
        <v>0.0993</v>
      </c>
      <c r="C37" s="1" t="n">
        <v>0.0876</v>
      </c>
      <c r="D37" s="1" t="n">
        <v>0.078</v>
      </c>
      <c r="E37" s="1" t="n">
        <v>0.0705</v>
      </c>
    </row>
    <row r="38" customFormat="false" ht="15.75" hidden="false" customHeight="false" outlineLevel="0" collapsed="false">
      <c r="A38" s="1" t="n">
        <v>0.123</v>
      </c>
      <c r="B38" s="1" t="n">
        <v>0.145</v>
      </c>
      <c r="C38" s="1" t="n">
        <v>0.128</v>
      </c>
      <c r="D38" s="1" t="n">
        <v>0.114</v>
      </c>
      <c r="E38" s="1" t="n">
        <v>0.104</v>
      </c>
    </row>
    <row r="39" customFormat="false" ht="15.75" hidden="false" customHeight="false" outlineLevel="0" collapsed="false">
      <c r="A39" s="1" t="n">
        <v>0.16</v>
      </c>
      <c r="B39" s="1" t="n">
        <v>0.188</v>
      </c>
      <c r="C39" s="1" t="n">
        <v>0.167</v>
      </c>
      <c r="D39" s="1" t="n">
        <v>0.149</v>
      </c>
      <c r="E39" s="1" t="n">
        <v>0.135</v>
      </c>
    </row>
    <row r="40" customFormat="false" ht="15.75" hidden="false" customHeight="false" outlineLevel="0" collapsed="false">
      <c r="A40" s="1" t="n">
        <v>0.23</v>
      </c>
      <c r="B40" s="1" t="n">
        <v>0.267</v>
      </c>
      <c r="C40" s="1" t="n">
        <v>0.238</v>
      </c>
      <c r="D40" s="1" t="n">
        <v>0.214</v>
      </c>
      <c r="E40" s="1" t="n">
        <v>0.194</v>
      </c>
    </row>
    <row r="41" customFormat="false" ht="15.75" hidden="false" customHeight="false" outlineLevel="0" collapsed="false">
      <c r="A41" s="1" t="n">
        <v>0.35</v>
      </c>
      <c r="B41" s="1" t="n">
        <v>0.399</v>
      </c>
      <c r="C41" s="1" t="n">
        <v>0.36</v>
      </c>
      <c r="D41" s="1" t="n">
        <v>0.327</v>
      </c>
      <c r="E41" s="1" t="n">
        <v>0.299</v>
      </c>
    </row>
    <row r="42" customFormat="false" ht="15.75" hidden="false" customHeight="false" outlineLevel="0" collapsed="false">
      <c r="A42" s="1" t="n">
        <v>0.5</v>
      </c>
      <c r="B42" s="1" t="n">
        <v>0.618</v>
      </c>
      <c r="C42" s="1" t="n">
        <v>0.573</v>
      </c>
      <c r="D42" s="1" t="n">
        <v>0.533</v>
      </c>
      <c r="E42" s="1" t="n">
        <v>0.497</v>
      </c>
    </row>
    <row r="43" customFormat="false" ht="15.75" hidden="false" customHeight="false" outlineLevel="0" collapsed="false">
      <c r="A43" s="1" t="n">
        <v>0.66</v>
      </c>
      <c r="B43" s="1" t="n">
        <v>0.769</v>
      </c>
      <c r="C43" s="1" t="n">
        <v>0.726</v>
      </c>
      <c r="D43" s="1" t="n">
        <v>0.686</v>
      </c>
      <c r="E43" s="1" t="n">
        <v>0.649</v>
      </c>
    </row>
    <row r="44" customFormat="false" ht="15.75" hidden="false" customHeight="false" outlineLevel="0" collapsed="false">
      <c r="A44" s="1" t="n">
        <v>0.93</v>
      </c>
      <c r="B44" s="1" t="n">
        <v>0.969</v>
      </c>
      <c r="C44" s="1" t="n">
        <v>0.954</v>
      </c>
      <c r="D44" s="1" t="n">
        <v>0.936</v>
      </c>
      <c r="E44" s="1" t="n">
        <v>0.915</v>
      </c>
    </row>
    <row r="46" customFormat="false" ht="15.75" hidden="false" customHeight="false" outlineLevel="0" collapsed="false">
      <c r="A46" s="1" t="s">
        <v>370</v>
      </c>
      <c r="B46" s="2" t="s">
        <v>442</v>
      </c>
      <c r="C46" s="2" t="s">
        <v>443</v>
      </c>
      <c r="D46" s="2" t="n">
        <v>1</v>
      </c>
      <c r="E46" s="2" t="n">
        <v>2</v>
      </c>
      <c r="F46" s="2" t="n">
        <v>3</v>
      </c>
      <c r="G46" s="2" t="n">
        <v>4</v>
      </c>
      <c r="H46" s="2" t="n">
        <v>5</v>
      </c>
      <c r="I46" s="2" t="n">
        <v>6</v>
      </c>
      <c r="J46" s="2" t="n">
        <v>7</v>
      </c>
      <c r="K46" s="2" t="n">
        <v>8</v>
      </c>
      <c r="L46" s="2" t="n">
        <v>9</v>
      </c>
    </row>
    <row r="47" customFormat="false" ht="15.75" hidden="false" customHeight="false" outlineLevel="0" collapsed="false">
      <c r="A47" s="2" t="s">
        <v>374</v>
      </c>
      <c r="B47" s="2" t="n">
        <v>11.1</v>
      </c>
      <c r="C47" s="2" t="n">
        <f aca="false">SQRT(PI()*(B47/2)^2)</f>
        <v>9.83711887252561</v>
      </c>
      <c r="D47" s="2" t="n">
        <v>0.16</v>
      </c>
      <c r="E47" s="2" t="n">
        <v>0.123</v>
      </c>
      <c r="F47" s="2" t="n">
        <v>0.086</v>
      </c>
      <c r="G47" s="2" t="n">
        <v>0.066</v>
      </c>
      <c r="H47" s="2" t="n">
        <v>0.045</v>
      </c>
      <c r="I47" s="2" t="n">
        <v>0.032</v>
      </c>
      <c r="J47" s="2" t="n">
        <v>0.023</v>
      </c>
      <c r="K47" s="2" t="n">
        <v>0.016</v>
      </c>
      <c r="L47" s="2" t="n">
        <v>0.012</v>
      </c>
    </row>
    <row r="48" customFormat="false" ht="15.75" hidden="false" customHeight="false" outlineLevel="0" collapsed="false">
      <c r="A48" s="2" t="s">
        <v>375</v>
      </c>
      <c r="B48" s="2" t="n">
        <v>7.9</v>
      </c>
      <c r="C48" s="2" t="n">
        <f aca="false">SQRT(PI()*(B48/2)^2)</f>
        <v>7.00119271107679</v>
      </c>
      <c r="D48" s="2" t="n">
        <v>0.16</v>
      </c>
      <c r="E48" s="2" t="n">
        <v>0.123</v>
      </c>
      <c r="F48" s="2" t="n">
        <v>0.086</v>
      </c>
      <c r="G48" s="2" t="n">
        <v>0.066</v>
      </c>
      <c r="H48" s="2" t="n">
        <v>0.045</v>
      </c>
      <c r="I48" s="2" t="n">
        <v>0.032</v>
      </c>
      <c r="J48" s="2" t="n">
        <v>0.023</v>
      </c>
      <c r="K48" s="2" t="n">
        <v>0.016</v>
      </c>
      <c r="L48" s="2" t="n">
        <v>0.012</v>
      </c>
    </row>
    <row r="49" customFormat="false" ht="15.75" hidden="false" customHeight="false" outlineLevel="0" collapsed="false">
      <c r="A49" s="2" t="s">
        <v>376</v>
      </c>
      <c r="B49" s="2" t="n">
        <v>5.6</v>
      </c>
      <c r="C49" s="2" t="n">
        <f aca="false">SQRT(PI()*(B49/2)^2)</f>
        <v>4.96287078253544</v>
      </c>
      <c r="D49" s="2" t="n">
        <v>0.16</v>
      </c>
      <c r="E49" s="2" t="n">
        <v>0.123</v>
      </c>
      <c r="F49" s="2" t="n">
        <v>0.086</v>
      </c>
      <c r="G49" s="2" t="n">
        <v>0.066</v>
      </c>
      <c r="H49" s="2" t="n">
        <v>0.045</v>
      </c>
      <c r="I49" s="2" t="n">
        <v>0.032</v>
      </c>
      <c r="J49" s="2" t="n">
        <v>0.023</v>
      </c>
      <c r="K49" s="2" t="n">
        <v>0.016</v>
      </c>
      <c r="L49" s="2" t="n">
        <v>0.012</v>
      </c>
    </row>
    <row r="50" customFormat="false" ht="15.75" hidden="false" customHeight="false" outlineLevel="0" collapsed="false">
      <c r="A50" s="2" t="s">
        <v>378</v>
      </c>
      <c r="B50" s="2" t="n">
        <v>4</v>
      </c>
      <c r="C50" s="2" t="n">
        <f aca="false">SQRT(PI()*(B50/2)^2)</f>
        <v>3.54490770181103</v>
      </c>
      <c r="D50" s="2" t="n">
        <v>0.23</v>
      </c>
      <c r="E50" s="2" t="n">
        <v>0.16</v>
      </c>
      <c r="F50" s="2" t="n">
        <v>0.123</v>
      </c>
      <c r="G50" s="2" t="n">
        <v>0.086</v>
      </c>
      <c r="H50" s="2" t="n">
        <v>0.066</v>
      </c>
      <c r="I50" s="2" t="n">
        <v>0.045</v>
      </c>
      <c r="J50" s="2" t="n">
        <v>0.032</v>
      </c>
      <c r="K50" s="2" t="n">
        <v>0.023</v>
      </c>
      <c r="L50" s="2" t="n">
        <v>0.016</v>
      </c>
    </row>
    <row r="51" customFormat="false" ht="15.75" hidden="false" customHeight="false" outlineLevel="0" collapsed="false">
      <c r="A51" s="2" t="s">
        <v>380</v>
      </c>
      <c r="B51" s="2" t="n">
        <v>2.8</v>
      </c>
      <c r="C51" s="2" t="n">
        <f aca="false">SQRT(PI()*(B51/2)^2)</f>
        <v>2.48143539126772</v>
      </c>
      <c r="D51" s="2" t="n">
        <v>0.23</v>
      </c>
      <c r="E51" s="2" t="n">
        <v>0.16</v>
      </c>
      <c r="F51" s="2" t="n">
        <v>0.123</v>
      </c>
      <c r="G51" s="2" t="n">
        <v>0.086</v>
      </c>
      <c r="H51" s="2" t="n">
        <v>0.066</v>
      </c>
      <c r="I51" s="2" t="n">
        <v>0.045</v>
      </c>
      <c r="J51" s="2" t="n">
        <v>0.032</v>
      </c>
      <c r="K51" s="2" t="n">
        <v>0.023</v>
      </c>
      <c r="L51" s="2" t="n">
        <v>0.016</v>
      </c>
    </row>
    <row r="52" customFormat="false" ht="15.75" hidden="false" customHeight="false" outlineLevel="0" collapsed="false">
      <c r="A52" s="2" t="s">
        <v>382</v>
      </c>
      <c r="B52" s="2" t="n">
        <v>2</v>
      </c>
      <c r="C52" s="2" t="n">
        <f aca="false">SQRT(PI()*(B52/2)^2)</f>
        <v>1.77245385090552</v>
      </c>
      <c r="D52" s="2" t="n">
        <v>0.23</v>
      </c>
      <c r="E52" s="2" t="n">
        <v>0.16</v>
      </c>
      <c r="F52" s="2" t="n">
        <v>0.123</v>
      </c>
      <c r="G52" s="2" t="n">
        <v>0.086</v>
      </c>
      <c r="H52" s="2" t="n">
        <v>0.066</v>
      </c>
      <c r="I52" s="2" t="n">
        <v>0.045</v>
      </c>
      <c r="J52" s="2" t="n">
        <v>0.032</v>
      </c>
      <c r="K52" s="2" t="n">
        <v>0.023</v>
      </c>
      <c r="L52" s="2" t="n">
        <v>0.016</v>
      </c>
    </row>
    <row r="53" customFormat="false" ht="15.75" hidden="false" customHeight="false" outlineLevel="0" collapsed="false">
      <c r="A53" s="2" t="s">
        <v>383</v>
      </c>
      <c r="B53" s="2" t="n">
        <v>1.4</v>
      </c>
      <c r="C53" s="2" t="n">
        <f aca="false">SQRT(PI()*(B53/2)^2)</f>
        <v>1.24071769563386</v>
      </c>
      <c r="D53" s="2" t="n">
        <v>0.5</v>
      </c>
      <c r="E53" s="2" t="n">
        <v>0.35</v>
      </c>
      <c r="F53" s="2" t="n">
        <v>0.23</v>
      </c>
      <c r="G53" s="2" t="n">
        <v>0.16</v>
      </c>
      <c r="H53" s="2" t="n">
        <v>0.123</v>
      </c>
      <c r="I53" s="2" t="n">
        <v>0.086</v>
      </c>
      <c r="J53" s="2" t="n">
        <v>0.066</v>
      </c>
      <c r="K53" s="2" t="n">
        <v>0.045</v>
      </c>
      <c r="L53" s="2" t="n">
        <v>0.032</v>
      </c>
    </row>
    <row r="54" customFormat="false" ht="15.75" hidden="false" customHeight="false" outlineLevel="0" collapsed="false">
      <c r="A54" s="2" t="s">
        <v>386</v>
      </c>
      <c r="B54" s="2" t="n">
        <v>1</v>
      </c>
      <c r="C54" s="2" t="n">
        <f aca="false">SQRT(PI()*(B54/2)^2)</f>
        <v>0.886226925452758</v>
      </c>
      <c r="D54" s="2" t="n">
        <v>0.5</v>
      </c>
      <c r="E54" s="2" t="n">
        <v>0.35</v>
      </c>
      <c r="F54" s="2" t="n">
        <v>0.23</v>
      </c>
      <c r="G54" s="2" t="n">
        <v>0.16</v>
      </c>
      <c r="H54" s="2" t="n">
        <v>0.123</v>
      </c>
      <c r="I54" s="2" t="n">
        <v>0.086</v>
      </c>
      <c r="J54" s="2" t="n">
        <v>0.066</v>
      </c>
      <c r="K54" s="2" t="n">
        <v>0.045</v>
      </c>
      <c r="L54" s="2" t="n">
        <v>0.032</v>
      </c>
    </row>
    <row r="55" customFormat="false" ht="15.75" hidden="false" customHeight="false" outlineLevel="0" collapsed="false">
      <c r="A55" s="2" t="s">
        <v>387</v>
      </c>
      <c r="B55" s="2" t="n">
        <v>0.7</v>
      </c>
      <c r="C55" s="2" t="n">
        <f aca="false">SQRT(PI()*(B55/2)^2)</f>
        <v>0.620358847816931</v>
      </c>
      <c r="D55" s="2" t="n">
        <v>0.5</v>
      </c>
      <c r="E55" s="2" t="n">
        <v>0.35</v>
      </c>
      <c r="F55" s="2" t="n">
        <v>0.23</v>
      </c>
      <c r="G55" s="2" t="n">
        <v>0.16</v>
      </c>
      <c r="H55" s="2" t="n">
        <v>0.123</v>
      </c>
      <c r="I55" s="2" t="n">
        <v>0.086</v>
      </c>
      <c r="J55" s="2" t="n">
        <v>0.066</v>
      </c>
      <c r="K55" s="2" t="n">
        <v>0.045</v>
      </c>
      <c r="L55" s="2" t="n">
        <v>0.032</v>
      </c>
    </row>
    <row r="56" customFormat="false" ht="15.75" hidden="false" customHeight="false" outlineLevel="0" collapsed="false">
      <c r="A56" s="2" t="s">
        <v>388</v>
      </c>
      <c r="B56" s="2" t="n">
        <v>0.5</v>
      </c>
      <c r="C56" s="2" t="n">
        <f aca="false">SQRT(PI()*(B56/2)^2)</f>
        <v>0.443113462726379</v>
      </c>
      <c r="D56" s="2" t="n">
        <v>0.93</v>
      </c>
      <c r="E56" s="2" t="n">
        <v>0.66</v>
      </c>
      <c r="F56" s="2" t="n">
        <v>0.5</v>
      </c>
      <c r="G56" s="2" t="n">
        <v>0.35</v>
      </c>
      <c r="H56" s="2" t="n">
        <v>0.23</v>
      </c>
      <c r="I56" s="2" t="n">
        <v>0.16</v>
      </c>
      <c r="J56" s="2" t="n">
        <v>0.123</v>
      </c>
      <c r="K56" s="2" t="n">
        <v>0.086</v>
      </c>
      <c r="L56" s="2" t="n">
        <v>0.066</v>
      </c>
    </row>
    <row r="57" customFormat="false" ht="15.75" hidden="false" customHeight="false" outlineLevel="0" collapsed="false">
      <c r="A57" s="2" t="s">
        <v>389</v>
      </c>
      <c r="B57" s="2" t="n">
        <v>0.35</v>
      </c>
      <c r="C57" s="2" t="n">
        <f aca="false">SQRT(PI()*(B57/2)^2)</f>
        <v>0.310179423908465</v>
      </c>
      <c r="D57" s="2" t="n">
        <v>0.93</v>
      </c>
      <c r="E57" s="2" t="n">
        <v>0.66</v>
      </c>
      <c r="F57" s="2" t="n">
        <v>0.5</v>
      </c>
      <c r="G57" s="2" t="n">
        <v>0.35</v>
      </c>
      <c r="H57" s="2" t="n">
        <v>0.23</v>
      </c>
      <c r="I57" s="2" t="n">
        <v>0.16</v>
      </c>
      <c r="J57" s="2" t="n">
        <v>0.123</v>
      </c>
      <c r="K57" s="2" t="n">
        <v>0.086</v>
      </c>
      <c r="L57" s="2" t="n">
        <v>0.066</v>
      </c>
    </row>
    <row r="58" customFormat="false" ht="15.75" hidden="false" customHeight="false" outlineLevel="0" collapsed="false">
      <c r="A58" s="2" t="s">
        <v>390</v>
      </c>
      <c r="B58" s="2" t="n">
        <v>0.25</v>
      </c>
      <c r="C58" s="2" t="n">
        <f aca="false">SQRT(PI()*(B58/2)^2)</f>
        <v>0.221556731363189</v>
      </c>
      <c r="D58" s="2" t="n">
        <v>0.93</v>
      </c>
      <c r="E58" s="2" t="n">
        <v>0.66</v>
      </c>
      <c r="F58" s="2" t="n">
        <v>0.5</v>
      </c>
      <c r="G58" s="2" t="n">
        <v>0.35</v>
      </c>
      <c r="H58" s="2" t="n">
        <v>0.23</v>
      </c>
      <c r="I58" s="2" t="n">
        <v>0.16</v>
      </c>
      <c r="J58" s="2" t="n">
        <v>0.123</v>
      </c>
      <c r="K58" s="2" t="n">
        <v>0.086</v>
      </c>
      <c r="L58" s="2" t="n">
        <v>0.066</v>
      </c>
    </row>
    <row r="60" customFormat="false" ht="15.75" hidden="false" customHeight="false" outlineLevel="0" collapsed="false">
      <c r="A60" s="1" t="s">
        <v>444</v>
      </c>
      <c r="B60" s="1" t="n">
        <v>0</v>
      </c>
      <c r="C60" s="1" t="n">
        <v>1</v>
      </c>
      <c r="D60" s="1" t="n">
        <v>1.5</v>
      </c>
      <c r="E60" s="1" t="n">
        <v>2</v>
      </c>
      <c r="F60" s="1" t="n">
        <v>2.5</v>
      </c>
      <c r="G60" s="1" t="n">
        <v>3</v>
      </c>
      <c r="H60" s="1" t="n">
        <v>3.5</v>
      </c>
      <c r="I60" s="1" t="n">
        <v>4</v>
      </c>
      <c r="J60" s="1" t="n">
        <v>4.5</v>
      </c>
      <c r="K60" s="1" t="n">
        <v>5</v>
      </c>
      <c r="L60" s="1" t="n">
        <v>5.5</v>
      </c>
      <c r="M60" s="1" t="n">
        <v>6</v>
      </c>
      <c r="N60" s="1" t="n">
        <v>6.5</v>
      </c>
      <c r="O60" s="1" t="n">
        <v>7</v>
      </c>
      <c r="P60" s="1" t="n">
        <v>7.5</v>
      </c>
      <c r="Q60" s="1" t="n">
        <v>8</v>
      </c>
      <c r="R60" s="1" t="n">
        <v>8.5</v>
      </c>
      <c r="S60" s="1" t="n">
        <v>9</v>
      </c>
    </row>
    <row r="61" customFormat="false" ht="15.75" hidden="false" customHeight="false" outlineLevel="0" collapsed="false">
      <c r="A61" s="1" t="s">
        <v>374</v>
      </c>
      <c r="B61" s="1" t="e">
        <f aca="false">#N/A</f>
        <v>#N/A</v>
      </c>
      <c r="C61" s="1" t="n">
        <f aca="false">VLOOKUP(D47,TO10kVAdj,MATCH(LEEDS_KV,$B$30:$E$30,0)+1)</f>
        <v>0.167</v>
      </c>
      <c r="D61" s="1" t="n">
        <f aca="false">(C61+E61)/2</f>
        <v>0.1475</v>
      </c>
      <c r="E61" s="1" t="n">
        <f aca="false">VLOOKUP(E47,TO10kVAdj,MATCH(LEEDS_KV,$B$30:$E$30,0)+1)</f>
        <v>0.128</v>
      </c>
      <c r="F61" s="1" t="n">
        <f aca="false">(E61+G61)/2</f>
        <v>0.1078</v>
      </c>
      <c r="G61" s="1" t="n">
        <f aca="false">VLOOKUP(F47,TO10kVAdj,MATCH(LEEDS_KV,$B$30:$E$30,0)+1)</f>
        <v>0.0876</v>
      </c>
      <c r="H61" s="1" t="n">
        <f aca="false">(G61+I61)/2</f>
        <v>0.0775</v>
      </c>
      <c r="I61" s="1" t="n">
        <f aca="false">VLOOKUP(G47,TO10kVAdj,MATCH(LEEDS_KV,$B$30:$E$30,0)+1)</f>
        <v>0.0674</v>
      </c>
      <c r="J61" s="1" t="n">
        <f aca="false">(I61+K61)/2</f>
        <v>0.0562</v>
      </c>
      <c r="K61" s="1" t="n">
        <f aca="false">VLOOKUP(H47,TO10kVAdj,MATCH(LEEDS_KV,$B$30:$E$30,0)+1)</f>
        <v>0.045</v>
      </c>
      <c r="L61" s="1" t="n">
        <f aca="false">(K61+M61)/2</f>
        <v>0.0386</v>
      </c>
      <c r="M61" s="1" t="n">
        <f aca="false">VLOOKUP(I47,TO10kVAdj,MATCH(LEEDS_KV,$B$30:$E$30,0)+1)</f>
        <v>0.0322</v>
      </c>
      <c r="N61" s="1" t="n">
        <f aca="false">(M61+O61)/2</f>
        <v>0.02685</v>
      </c>
      <c r="O61" s="1" t="n">
        <f aca="false">VLOOKUP(J47,TO10kVAdj,MATCH(LEEDS_KV,$B$30:$E$30,0)+1)</f>
        <v>0.0215</v>
      </c>
      <c r="P61" s="1" t="n">
        <f aca="false">(O61+Q61)/2</f>
        <v>0.0185</v>
      </c>
      <c r="Q61" s="1" t="n">
        <f aca="false">VLOOKUP(K47,TO10kVAdj,MATCH(LEEDS_KV,$B$30:$E$30,0)+1)</f>
        <v>0.0155</v>
      </c>
      <c r="R61" s="1" t="n">
        <f aca="false">(Q61+S61)/2</f>
        <v>0.01325</v>
      </c>
      <c r="S61" s="1" t="n">
        <f aca="false">VLOOKUP(L47,TO10kVAdj,MATCH(LEEDS_KV,$B$30:$E$30,0)+1)</f>
        <v>0.011</v>
      </c>
    </row>
    <row r="62" customFormat="false" ht="15.75" hidden="false" customHeight="false" outlineLevel="0" collapsed="false">
      <c r="A62" s="1" t="s">
        <v>375</v>
      </c>
      <c r="B62" s="1" t="e">
        <f aca="false">#N/A</f>
        <v>#N/A</v>
      </c>
      <c r="C62" s="1" t="n">
        <f aca="false">VLOOKUP(D48,TO10kVAdj,MATCH(LEEDS_KV,$B$30:$E$30,0)+1)</f>
        <v>0.167</v>
      </c>
      <c r="D62" s="1" t="n">
        <f aca="false">(C62+E62)/2</f>
        <v>0.1475</v>
      </c>
      <c r="E62" s="1" t="n">
        <f aca="false">VLOOKUP(E48,TO10kVAdj,MATCH(LEEDS_KV,$B$30:$E$30,0)+1)</f>
        <v>0.128</v>
      </c>
      <c r="F62" s="1" t="n">
        <f aca="false">(E62+G62)/2</f>
        <v>0.1078</v>
      </c>
      <c r="G62" s="1" t="n">
        <f aca="false">VLOOKUP(F48,TO10kVAdj,MATCH(LEEDS_KV,$B$30:$E$30,0)+1)</f>
        <v>0.0876</v>
      </c>
      <c r="H62" s="1" t="n">
        <f aca="false">(G62+I62)/2</f>
        <v>0.0775</v>
      </c>
      <c r="I62" s="1" t="n">
        <f aca="false">VLOOKUP(G48,TO10kVAdj,MATCH(LEEDS_KV,$B$30:$E$30,0)+1)</f>
        <v>0.0674</v>
      </c>
      <c r="J62" s="1" t="n">
        <f aca="false">(I62+K62)/2</f>
        <v>0.0562</v>
      </c>
      <c r="K62" s="1" t="n">
        <f aca="false">VLOOKUP(H48,TO10kVAdj,MATCH(LEEDS_KV,$B$30:$E$30,0)+1)</f>
        <v>0.045</v>
      </c>
      <c r="L62" s="1" t="n">
        <f aca="false">(K62+M62)/2</f>
        <v>0.0386</v>
      </c>
      <c r="M62" s="1" t="n">
        <f aca="false">VLOOKUP(I48,TO10kVAdj,MATCH(LEEDS_KV,$B$30:$E$30,0)+1)</f>
        <v>0.0322</v>
      </c>
      <c r="N62" s="1" t="n">
        <f aca="false">(M62+O62)/2</f>
        <v>0.02685</v>
      </c>
      <c r="O62" s="1" t="n">
        <f aca="false">VLOOKUP(J48,TO10kVAdj,MATCH(LEEDS_KV,$B$30:$E$30,0)+1)</f>
        <v>0.0215</v>
      </c>
      <c r="P62" s="1" t="n">
        <f aca="false">(O62+Q62)/2</f>
        <v>0.0185</v>
      </c>
      <c r="Q62" s="1" t="n">
        <f aca="false">VLOOKUP(K48,TO10kVAdj,MATCH(LEEDS_KV,$B$30:$E$30,0)+1)</f>
        <v>0.0155</v>
      </c>
      <c r="R62" s="1" t="n">
        <f aca="false">(Q62+S62)/2</f>
        <v>0.01325</v>
      </c>
      <c r="S62" s="1" t="n">
        <f aca="false">VLOOKUP(L48,TO10kVAdj,MATCH(LEEDS_KV,$B$30:$E$30,0)+1)</f>
        <v>0.011</v>
      </c>
    </row>
    <row r="63" customFormat="false" ht="15.75" hidden="false" customHeight="false" outlineLevel="0" collapsed="false">
      <c r="A63" s="1" t="s">
        <v>376</v>
      </c>
      <c r="B63" s="1" t="e">
        <f aca="false">#N/A</f>
        <v>#N/A</v>
      </c>
      <c r="C63" s="1" t="n">
        <f aca="false">VLOOKUP(D49,TO10kVAdj,MATCH(LEEDS_KV,$B$30:$E$30,0)+1)</f>
        <v>0.167</v>
      </c>
      <c r="D63" s="1" t="n">
        <f aca="false">(C63+E63)/2</f>
        <v>0.1475</v>
      </c>
      <c r="E63" s="1" t="n">
        <f aca="false">VLOOKUP(E49,TO10kVAdj,MATCH(LEEDS_KV,$B$30:$E$30,0)+1)</f>
        <v>0.128</v>
      </c>
      <c r="F63" s="1" t="n">
        <f aca="false">(E63+G63)/2</f>
        <v>0.1078</v>
      </c>
      <c r="G63" s="1" t="n">
        <f aca="false">VLOOKUP(F49,TO10kVAdj,MATCH(LEEDS_KV,$B$30:$E$30,0)+1)</f>
        <v>0.0876</v>
      </c>
      <c r="H63" s="1" t="n">
        <f aca="false">(G63+I63)/2</f>
        <v>0.0775</v>
      </c>
      <c r="I63" s="1" t="n">
        <f aca="false">VLOOKUP(G49,TO10kVAdj,MATCH(LEEDS_KV,$B$30:$E$30,0)+1)</f>
        <v>0.0674</v>
      </c>
      <c r="J63" s="1" t="n">
        <f aca="false">(I63+K63)/2</f>
        <v>0.0562</v>
      </c>
      <c r="K63" s="1" t="n">
        <f aca="false">VLOOKUP(H49,TO10kVAdj,MATCH(LEEDS_KV,$B$30:$E$30,0)+1)</f>
        <v>0.045</v>
      </c>
      <c r="L63" s="1" t="n">
        <f aca="false">(K63+M63)/2</f>
        <v>0.0386</v>
      </c>
      <c r="M63" s="1" t="n">
        <f aca="false">VLOOKUP(I49,TO10kVAdj,MATCH(LEEDS_KV,$B$30:$E$30,0)+1)</f>
        <v>0.0322</v>
      </c>
      <c r="N63" s="1" t="n">
        <f aca="false">(M63+O63)/2</f>
        <v>0.02685</v>
      </c>
      <c r="O63" s="1" t="n">
        <f aca="false">VLOOKUP(J49,TO10kVAdj,MATCH(LEEDS_KV,$B$30:$E$30,0)+1)</f>
        <v>0.0215</v>
      </c>
      <c r="P63" s="1" t="n">
        <f aca="false">(O63+Q63)/2</f>
        <v>0.0185</v>
      </c>
      <c r="Q63" s="1" t="n">
        <f aca="false">VLOOKUP(K49,TO10kVAdj,MATCH(LEEDS_KV,$B$30:$E$30,0)+1)</f>
        <v>0.0155</v>
      </c>
      <c r="R63" s="1" t="n">
        <f aca="false">(Q63+S63)/2</f>
        <v>0.01325</v>
      </c>
      <c r="S63" s="1" t="n">
        <f aca="false">VLOOKUP(L49,TO10kVAdj,MATCH(LEEDS_KV,$B$30:$E$30,0)+1)</f>
        <v>0.011</v>
      </c>
    </row>
    <row r="64" customFormat="false" ht="15.75" hidden="false" customHeight="false" outlineLevel="0" collapsed="false">
      <c r="A64" s="1" t="s">
        <v>378</v>
      </c>
      <c r="B64" s="1" t="e">
        <f aca="false">#N/A</f>
        <v>#N/A</v>
      </c>
      <c r="C64" s="1" t="n">
        <f aca="false">VLOOKUP(D50,TO10kVAdj,MATCH(LEEDS_KV,$B$30:$E$30,0)+1)</f>
        <v>0.238</v>
      </c>
      <c r="D64" s="1" t="n">
        <f aca="false">(C64+E64)/2</f>
        <v>0.2025</v>
      </c>
      <c r="E64" s="1" t="n">
        <f aca="false">VLOOKUP(E50,TO10kVAdj,MATCH(LEEDS_KV,$B$30:$E$30,0)+1)</f>
        <v>0.167</v>
      </c>
      <c r="F64" s="1" t="n">
        <f aca="false">(E64+G64)/2</f>
        <v>0.1475</v>
      </c>
      <c r="G64" s="1" t="n">
        <f aca="false">VLOOKUP(F50,TO10kVAdj,MATCH(LEEDS_KV,$B$30:$E$30,0)+1)</f>
        <v>0.128</v>
      </c>
      <c r="H64" s="1" t="n">
        <f aca="false">(G64+I64)/2</f>
        <v>0.1078</v>
      </c>
      <c r="I64" s="1" t="n">
        <f aca="false">VLOOKUP(G50,TO10kVAdj,MATCH(LEEDS_KV,$B$30:$E$30,0)+1)</f>
        <v>0.0876</v>
      </c>
      <c r="J64" s="1" t="n">
        <f aca="false">(I64+K64)/2</f>
        <v>0.0775</v>
      </c>
      <c r="K64" s="1" t="n">
        <f aca="false">VLOOKUP(H50,TO10kVAdj,MATCH(LEEDS_KV,$B$30:$E$30,0)+1)</f>
        <v>0.0674</v>
      </c>
      <c r="L64" s="1" t="n">
        <f aca="false">(K64+M64)/2</f>
        <v>0.0562</v>
      </c>
      <c r="M64" s="1" t="n">
        <f aca="false">VLOOKUP(I50,TO10kVAdj,MATCH(LEEDS_KV,$B$30:$E$30,0)+1)</f>
        <v>0.045</v>
      </c>
      <c r="N64" s="1" t="n">
        <f aca="false">(M64+O64)/2</f>
        <v>0.0386</v>
      </c>
      <c r="O64" s="1" t="n">
        <f aca="false">VLOOKUP(J50,TO10kVAdj,MATCH(LEEDS_KV,$B$30:$E$30,0)+1)</f>
        <v>0.0322</v>
      </c>
      <c r="P64" s="1" t="n">
        <f aca="false">(O64+Q64)/2</f>
        <v>0.02685</v>
      </c>
      <c r="Q64" s="1" t="n">
        <f aca="false">VLOOKUP(K50,TO10kVAdj,MATCH(LEEDS_KV,$B$30:$E$30,0)+1)</f>
        <v>0.0215</v>
      </c>
      <c r="R64" s="1" t="n">
        <f aca="false">(Q64+S64)/2</f>
        <v>0.0185</v>
      </c>
      <c r="S64" s="1" t="n">
        <f aca="false">VLOOKUP(L50,TO10kVAdj,MATCH(LEEDS_KV,$B$30:$E$30,0)+1)</f>
        <v>0.0155</v>
      </c>
    </row>
    <row r="65" customFormat="false" ht="15.75" hidden="false" customHeight="false" outlineLevel="0" collapsed="false">
      <c r="A65" s="1" t="s">
        <v>380</v>
      </c>
      <c r="B65" s="1" t="e">
        <f aca="false">#N/A</f>
        <v>#N/A</v>
      </c>
      <c r="C65" s="1" t="n">
        <f aca="false">VLOOKUP(D51,TO10kVAdj,MATCH(LEEDS_KV,$B$30:$E$30,0)+1)</f>
        <v>0.238</v>
      </c>
      <c r="D65" s="1" t="n">
        <f aca="false">(C65+E65)/2</f>
        <v>0.2025</v>
      </c>
      <c r="E65" s="1" t="n">
        <f aca="false">VLOOKUP(E51,TO10kVAdj,MATCH(LEEDS_KV,$B$30:$E$30,0)+1)</f>
        <v>0.167</v>
      </c>
      <c r="F65" s="1" t="n">
        <f aca="false">(E65+G65)/2</f>
        <v>0.1475</v>
      </c>
      <c r="G65" s="1" t="n">
        <f aca="false">VLOOKUP(F51,TO10kVAdj,MATCH(LEEDS_KV,$B$30:$E$30,0)+1)</f>
        <v>0.128</v>
      </c>
      <c r="H65" s="1" t="n">
        <f aca="false">(G65+I65)/2</f>
        <v>0.1078</v>
      </c>
      <c r="I65" s="1" t="n">
        <f aca="false">VLOOKUP(G51,TO10kVAdj,MATCH(LEEDS_KV,$B$30:$E$30,0)+1)</f>
        <v>0.0876</v>
      </c>
      <c r="J65" s="1" t="n">
        <f aca="false">(I65+K65)/2</f>
        <v>0.0775</v>
      </c>
      <c r="K65" s="1" t="n">
        <f aca="false">VLOOKUP(H51,TO10kVAdj,MATCH(LEEDS_KV,$B$30:$E$30,0)+1)</f>
        <v>0.0674</v>
      </c>
      <c r="L65" s="1" t="n">
        <f aca="false">(K65+M65)/2</f>
        <v>0.0562</v>
      </c>
      <c r="M65" s="1" t="n">
        <f aca="false">VLOOKUP(I51,TO10kVAdj,MATCH(LEEDS_KV,$B$30:$E$30,0)+1)</f>
        <v>0.045</v>
      </c>
      <c r="N65" s="1" t="n">
        <f aca="false">(M65+O65)/2</f>
        <v>0.0386</v>
      </c>
      <c r="O65" s="1" t="n">
        <f aca="false">VLOOKUP(J51,TO10kVAdj,MATCH(LEEDS_KV,$B$30:$E$30,0)+1)</f>
        <v>0.0322</v>
      </c>
      <c r="P65" s="1" t="n">
        <f aca="false">(O65+Q65)/2</f>
        <v>0.02685</v>
      </c>
      <c r="Q65" s="1" t="n">
        <f aca="false">VLOOKUP(K51,TO10kVAdj,MATCH(LEEDS_KV,$B$30:$E$30,0)+1)</f>
        <v>0.0215</v>
      </c>
      <c r="R65" s="1" t="n">
        <f aca="false">(Q65+S65)/2</f>
        <v>0.0185</v>
      </c>
      <c r="S65" s="1" t="n">
        <f aca="false">VLOOKUP(L51,TO10kVAdj,MATCH(LEEDS_KV,$B$30:$E$30,0)+1)</f>
        <v>0.0155</v>
      </c>
    </row>
    <row r="66" customFormat="false" ht="15.75" hidden="false" customHeight="false" outlineLevel="0" collapsed="false">
      <c r="A66" s="1" t="s">
        <v>382</v>
      </c>
      <c r="B66" s="1" t="e">
        <f aca="false">#N/A</f>
        <v>#N/A</v>
      </c>
      <c r="C66" s="1" t="n">
        <f aca="false">VLOOKUP(D52,TO10kVAdj,MATCH(LEEDS_KV,$B$30:$E$30,0)+1)</f>
        <v>0.238</v>
      </c>
      <c r="D66" s="1" t="n">
        <f aca="false">(C66+E66)/2</f>
        <v>0.2025</v>
      </c>
      <c r="E66" s="1" t="n">
        <f aca="false">VLOOKUP(E52,TO10kVAdj,MATCH(LEEDS_KV,$B$30:$E$30,0)+1)</f>
        <v>0.167</v>
      </c>
      <c r="F66" s="1" t="n">
        <f aca="false">(E66+G66)/2</f>
        <v>0.1475</v>
      </c>
      <c r="G66" s="1" t="n">
        <f aca="false">VLOOKUP(F52,TO10kVAdj,MATCH(LEEDS_KV,$B$30:$E$30,0)+1)</f>
        <v>0.128</v>
      </c>
      <c r="H66" s="1" t="n">
        <f aca="false">(G66+I66)/2</f>
        <v>0.1078</v>
      </c>
      <c r="I66" s="1" t="n">
        <f aca="false">VLOOKUP(G52,TO10kVAdj,MATCH(LEEDS_KV,$B$30:$E$30,0)+1)</f>
        <v>0.0876</v>
      </c>
      <c r="J66" s="1" t="n">
        <f aca="false">(I66+K66)/2</f>
        <v>0.0775</v>
      </c>
      <c r="K66" s="1" t="n">
        <f aca="false">VLOOKUP(H52,TO10kVAdj,MATCH(LEEDS_KV,$B$30:$E$30,0)+1)</f>
        <v>0.0674</v>
      </c>
      <c r="L66" s="1" t="n">
        <f aca="false">(K66+M66)/2</f>
        <v>0.0562</v>
      </c>
      <c r="M66" s="1" t="n">
        <f aca="false">VLOOKUP(I52,TO10kVAdj,MATCH(LEEDS_KV,$B$30:$E$30,0)+1)</f>
        <v>0.045</v>
      </c>
      <c r="N66" s="1" t="n">
        <f aca="false">(M66+O66)/2</f>
        <v>0.0386</v>
      </c>
      <c r="O66" s="1" t="n">
        <f aca="false">VLOOKUP(J52,TO10kVAdj,MATCH(LEEDS_KV,$B$30:$E$30,0)+1)</f>
        <v>0.0322</v>
      </c>
      <c r="P66" s="1" t="n">
        <f aca="false">(O66+Q66)/2</f>
        <v>0.02685</v>
      </c>
      <c r="Q66" s="1" t="n">
        <f aca="false">VLOOKUP(K52,TO10kVAdj,MATCH(LEEDS_KV,$B$30:$E$30,0)+1)</f>
        <v>0.0215</v>
      </c>
      <c r="R66" s="1" t="n">
        <f aca="false">(Q66+S66)/2</f>
        <v>0.0185</v>
      </c>
      <c r="S66" s="1" t="n">
        <f aca="false">VLOOKUP(L52,TO10kVAdj,MATCH(LEEDS_KV,$B$30:$E$30,0)+1)</f>
        <v>0.0155</v>
      </c>
    </row>
    <row r="67" customFormat="false" ht="15.75" hidden="false" customHeight="false" outlineLevel="0" collapsed="false">
      <c r="A67" s="1" t="s">
        <v>383</v>
      </c>
      <c r="B67" s="1" t="e">
        <f aca="false">#N/A</f>
        <v>#N/A</v>
      </c>
      <c r="C67" s="1" t="n">
        <f aca="false">VLOOKUP(D53,TO10kVAdj,MATCH(LEEDS_KV,$B$30:$E$30,0)+1)</f>
        <v>0.573</v>
      </c>
      <c r="D67" s="1" t="n">
        <f aca="false">(C67+E67)/2</f>
        <v>0.4665</v>
      </c>
      <c r="E67" s="1" t="n">
        <f aca="false">VLOOKUP(E53,TO10kVAdj,MATCH(LEEDS_KV,$B$30:$E$30,0)+1)</f>
        <v>0.36</v>
      </c>
      <c r="F67" s="1" t="n">
        <f aca="false">(E67+G67)/2</f>
        <v>0.299</v>
      </c>
      <c r="G67" s="1" t="n">
        <f aca="false">VLOOKUP(F53,TO10kVAdj,MATCH(LEEDS_KV,$B$30:$E$30,0)+1)</f>
        <v>0.238</v>
      </c>
      <c r="H67" s="1" t="n">
        <f aca="false">(G67+I67)/2</f>
        <v>0.2025</v>
      </c>
      <c r="I67" s="1" t="n">
        <f aca="false">VLOOKUP(G53,TO10kVAdj,MATCH(LEEDS_KV,$B$30:$E$30,0)+1)</f>
        <v>0.167</v>
      </c>
      <c r="J67" s="1" t="n">
        <f aca="false">(I67+K67)/2</f>
        <v>0.1475</v>
      </c>
      <c r="K67" s="1" t="n">
        <f aca="false">VLOOKUP(H53,TO10kVAdj,MATCH(LEEDS_KV,$B$30:$E$30,0)+1)</f>
        <v>0.128</v>
      </c>
      <c r="L67" s="1" t="n">
        <f aca="false">(K67+M67)/2</f>
        <v>0.1078</v>
      </c>
      <c r="M67" s="1" t="n">
        <f aca="false">VLOOKUP(I53,TO10kVAdj,MATCH(LEEDS_KV,$B$30:$E$30,0)+1)</f>
        <v>0.0876</v>
      </c>
      <c r="N67" s="1" t="n">
        <f aca="false">(M67+O67)/2</f>
        <v>0.0775</v>
      </c>
      <c r="O67" s="1" t="n">
        <f aca="false">VLOOKUP(J53,TO10kVAdj,MATCH(LEEDS_KV,$B$30:$E$30,0)+1)</f>
        <v>0.0674</v>
      </c>
      <c r="P67" s="1" t="n">
        <f aca="false">(O67+Q67)/2</f>
        <v>0.0562</v>
      </c>
      <c r="Q67" s="1" t="n">
        <f aca="false">VLOOKUP(K53,TO10kVAdj,MATCH(LEEDS_KV,$B$30:$E$30,0)+1)</f>
        <v>0.045</v>
      </c>
      <c r="R67" s="1" t="n">
        <f aca="false">(Q67+S67)/2</f>
        <v>0.0386</v>
      </c>
      <c r="S67" s="1" t="n">
        <f aca="false">VLOOKUP(L53,TO10kVAdj,MATCH(LEEDS_KV,$B$30:$E$30,0)+1)</f>
        <v>0.0322</v>
      </c>
    </row>
    <row r="68" customFormat="false" ht="15.75" hidden="false" customHeight="false" outlineLevel="0" collapsed="false">
      <c r="A68" s="1" t="s">
        <v>386</v>
      </c>
      <c r="B68" s="1" t="e">
        <f aca="false">#N/A</f>
        <v>#N/A</v>
      </c>
      <c r="C68" s="1" t="n">
        <f aca="false">VLOOKUP(D54,TO10kVAdj,MATCH(LEEDS_KV,$B$30:$E$30,0)+1)</f>
        <v>0.573</v>
      </c>
      <c r="D68" s="1" t="n">
        <f aca="false">(C68+E68)/2</f>
        <v>0.4665</v>
      </c>
      <c r="E68" s="1" t="n">
        <f aca="false">VLOOKUP(E54,TO10kVAdj,MATCH(LEEDS_KV,$B$30:$E$30,0)+1)</f>
        <v>0.36</v>
      </c>
      <c r="F68" s="1" t="n">
        <f aca="false">(E68+G68)/2</f>
        <v>0.299</v>
      </c>
      <c r="G68" s="1" t="n">
        <f aca="false">VLOOKUP(F54,TO10kVAdj,MATCH(LEEDS_KV,$B$30:$E$30,0)+1)</f>
        <v>0.238</v>
      </c>
      <c r="H68" s="1" t="n">
        <f aca="false">(G68+I68)/2</f>
        <v>0.2025</v>
      </c>
      <c r="I68" s="1" t="n">
        <f aca="false">VLOOKUP(G54,TO10kVAdj,MATCH(LEEDS_KV,$B$30:$E$30,0)+1)</f>
        <v>0.167</v>
      </c>
      <c r="J68" s="1" t="n">
        <f aca="false">(I68+K68)/2</f>
        <v>0.1475</v>
      </c>
      <c r="K68" s="1" t="n">
        <f aca="false">VLOOKUP(H54,TO10kVAdj,MATCH(LEEDS_KV,$B$30:$E$30,0)+1)</f>
        <v>0.128</v>
      </c>
      <c r="L68" s="1" t="n">
        <f aca="false">(K68+M68)/2</f>
        <v>0.1078</v>
      </c>
      <c r="M68" s="1" t="n">
        <f aca="false">VLOOKUP(I54,TO10kVAdj,MATCH(LEEDS_KV,$B$30:$E$30,0)+1)</f>
        <v>0.0876</v>
      </c>
      <c r="N68" s="1" t="n">
        <f aca="false">(M68+O68)/2</f>
        <v>0.0775</v>
      </c>
      <c r="O68" s="1" t="n">
        <f aca="false">VLOOKUP(J54,TO10kVAdj,MATCH(LEEDS_KV,$B$30:$E$30,0)+1)</f>
        <v>0.0674</v>
      </c>
      <c r="P68" s="1" t="n">
        <f aca="false">(O68+Q68)/2</f>
        <v>0.0562</v>
      </c>
      <c r="Q68" s="1" t="n">
        <f aca="false">VLOOKUP(K54,TO10kVAdj,MATCH(LEEDS_KV,$B$30:$E$30,0)+1)</f>
        <v>0.045</v>
      </c>
      <c r="R68" s="1" t="n">
        <f aca="false">(Q68+S68)/2</f>
        <v>0.0386</v>
      </c>
      <c r="S68" s="1" t="n">
        <f aca="false">VLOOKUP(L54,TO10kVAdj,MATCH(LEEDS_KV,$B$30:$E$30,0)+1)</f>
        <v>0.0322</v>
      </c>
    </row>
    <row r="69" customFormat="false" ht="15.75" hidden="false" customHeight="false" outlineLevel="0" collapsed="false">
      <c r="A69" s="1" t="s">
        <v>387</v>
      </c>
      <c r="B69" s="1" t="e">
        <f aca="false">#N/A</f>
        <v>#N/A</v>
      </c>
      <c r="C69" s="1" t="n">
        <f aca="false">VLOOKUP(D55,TO10kVAdj,MATCH(LEEDS_KV,$B$30:$E$30,0)+1)</f>
        <v>0.573</v>
      </c>
      <c r="D69" s="1" t="n">
        <f aca="false">(C69+E69)/2</f>
        <v>0.4665</v>
      </c>
      <c r="E69" s="1" t="n">
        <f aca="false">VLOOKUP(E55,TO10kVAdj,MATCH(LEEDS_KV,$B$30:$E$30,0)+1)</f>
        <v>0.36</v>
      </c>
      <c r="F69" s="1" t="n">
        <f aca="false">(E69+G69)/2</f>
        <v>0.299</v>
      </c>
      <c r="G69" s="1" t="n">
        <f aca="false">VLOOKUP(F55,TO10kVAdj,MATCH(LEEDS_KV,$B$30:$E$30,0)+1)</f>
        <v>0.238</v>
      </c>
      <c r="H69" s="1" t="n">
        <f aca="false">(G69+I69)/2</f>
        <v>0.2025</v>
      </c>
      <c r="I69" s="1" t="n">
        <f aca="false">VLOOKUP(G55,TO10kVAdj,MATCH(LEEDS_KV,$B$30:$E$30,0)+1)</f>
        <v>0.167</v>
      </c>
      <c r="J69" s="1" t="n">
        <f aca="false">(I69+K69)/2</f>
        <v>0.1475</v>
      </c>
      <c r="K69" s="1" t="n">
        <f aca="false">VLOOKUP(H55,TO10kVAdj,MATCH(LEEDS_KV,$B$30:$E$30,0)+1)</f>
        <v>0.128</v>
      </c>
      <c r="L69" s="1" t="n">
        <f aca="false">(K69+M69)/2</f>
        <v>0.1078</v>
      </c>
      <c r="M69" s="1" t="n">
        <f aca="false">VLOOKUP(I55,TO10kVAdj,MATCH(LEEDS_KV,$B$30:$E$30,0)+1)</f>
        <v>0.0876</v>
      </c>
      <c r="N69" s="1" t="n">
        <f aca="false">(M69+O69)/2</f>
        <v>0.0775</v>
      </c>
      <c r="O69" s="1" t="n">
        <f aca="false">VLOOKUP(J55,TO10kVAdj,MATCH(LEEDS_KV,$B$30:$E$30,0)+1)</f>
        <v>0.0674</v>
      </c>
      <c r="P69" s="1" t="n">
        <f aca="false">(O69+Q69)/2</f>
        <v>0.0562</v>
      </c>
      <c r="Q69" s="1" t="n">
        <f aca="false">VLOOKUP(K55,TO10kVAdj,MATCH(LEEDS_KV,$B$30:$E$30,0)+1)</f>
        <v>0.045</v>
      </c>
      <c r="R69" s="1" t="n">
        <f aca="false">(Q69+S69)/2</f>
        <v>0.0386</v>
      </c>
      <c r="S69" s="1" t="n">
        <f aca="false">VLOOKUP(L55,TO10kVAdj,MATCH(LEEDS_KV,$B$30:$E$30,0)+1)</f>
        <v>0.0322</v>
      </c>
    </row>
    <row r="70" customFormat="false" ht="15.75" hidden="false" customHeight="false" outlineLevel="0" collapsed="false">
      <c r="A70" s="1" t="s">
        <v>388</v>
      </c>
      <c r="B70" s="1" t="e">
        <f aca="false">#N/A</f>
        <v>#N/A</v>
      </c>
      <c r="C70" s="1" t="n">
        <f aca="false">VLOOKUP(D56,TO10kVAdj,MATCH(LEEDS_KV,$B$30:$E$30,0)+1)</f>
        <v>0.954</v>
      </c>
      <c r="D70" s="1" t="n">
        <f aca="false">(C70+E70)/2</f>
        <v>0.84</v>
      </c>
      <c r="E70" s="1" t="n">
        <f aca="false">VLOOKUP(E56,TO10kVAdj,MATCH(LEEDS_KV,$B$30:$E$30,0)+1)</f>
        <v>0.726</v>
      </c>
      <c r="F70" s="1" t="n">
        <f aca="false">(E70+G70)/2</f>
        <v>0.6495</v>
      </c>
      <c r="G70" s="1" t="n">
        <f aca="false">VLOOKUP(F56,TO10kVAdj,MATCH(LEEDS_KV,$B$30:$E$30,0)+1)</f>
        <v>0.573</v>
      </c>
      <c r="H70" s="1" t="n">
        <f aca="false">(G70+I70)/2</f>
        <v>0.4665</v>
      </c>
      <c r="I70" s="1" t="n">
        <f aca="false">VLOOKUP(G56,TO10kVAdj,MATCH(LEEDS_KV,$B$30:$E$30,0)+1)</f>
        <v>0.36</v>
      </c>
      <c r="J70" s="1" t="n">
        <f aca="false">(I70+K70)/2</f>
        <v>0.299</v>
      </c>
      <c r="K70" s="1" t="n">
        <f aca="false">VLOOKUP(H56,TO10kVAdj,MATCH(LEEDS_KV,$B$30:$E$30,0)+1)</f>
        <v>0.238</v>
      </c>
      <c r="L70" s="1" t="n">
        <f aca="false">(K70+M70)/2</f>
        <v>0.2025</v>
      </c>
      <c r="M70" s="1" t="n">
        <f aca="false">VLOOKUP(I56,TO10kVAdj,MATCH(LEEDS_KV,$B$30:$E$30,0)+1)</f>
        <v>0.167</v>
      </c>
      <c r="N70" s="1" t="n">
        <f aca="false">(M70+O70)/2</f>
        <v>0.1475</v>
      </c>
      <c r="O70" s="1" t="n">
        <f aca="false">VLOOKUP(J56,TO10kVAdj,MATCH(LEEDS_KV,$B$30:$E$30,0)+1)</f>
        <v>0.128</v>
      </c>
      <c r="P70" s="1" t="n">
        <f aca="false">(O70+Q70)/2</f>
        <v>0.1078</v>
      </c>
      <c r="Q70" s="1" t="n">
        <f aca="false">VLOOKUP(K56,TO10kVAdj,MATCH(LEEDS_KV,$B$30:$E$30,0)+1)</f>
        <v>0.0876</v>
      </c>
      <c r="R70" s="1" t="n">
        <f aca="false">(Q70+S70)/2</f>
        <v>0.0775</v>
      </c>
      <c r="S70" s="1" t="n">
        <f aca="false">VLOOKUP(L56,TO10kVAdj,MATCH(LEEDS_KV,$B$30:$E$30,0)+1)</f>
        <v>0.0674</v>
      </c>
    </row>
    <row r="71" customFormat="false" ht="15.75" hidden="false" customHeight="false" outlineLevel="0" collapsed="false">
      <c r="A71" s="1" t="s">
        <v>389</v>
      </c>
      <c r="B71" s="1" t="e">
        <f aca="false">#N/A</f>
        <v>#N/A</v>
      </c>
      <c r="C71" s="1" t="n">
        <f aca="false">VLOOKUP(D57,TO10kVAdj,MATCH(LEEDS_KV,$B$30:$E$30,0)+1)</f>
        <v>0.954</v>
      </c>
      <c r="D71" s="1" t="n">
        <f aca="false">(C71+E71)/2</f>
        <v>0.84</v>
      </c>
      <c r="E71" s="1" t="n">
        <f aca="false">VLOOKUP(E57,TO10kVAdj,MATCH(LEEDS_KV,$B$30:$E$30,0)+1)</f>
        <v>0.726</v>
      </c>
      <c r="F71" s="1" t="n">
        <f aca="false">(E71+G71)/2</f>
        <v>0.6495</v>
      </c>
      <c r="G71" s="1" t="n">
        <f aca="false">VLOOKUP(F57,TO10kVAdj,MATCH(LEEDS_KV,$B$30:$E$30,0)+1)</f>
        <v>0.573</v>
      </c>
      <c r="H71" s="1" t="n">
        <f aca="false">(G71+I71)/2</f>
        <v>0.4665</v>
      </c>
      <c r="I71" s="1" t="n">
        <f aca="false">VLOOKUP(G57,TO10kVAdj,MATCH(LEEDS_KV,$B$30:$E$30,0)+1)</f>
        <v>0.36</v>
      </c>
      <c r="J71" s="1" t="n">
        <f aca="false">(I71+K71)/2</f>
        <v>0.299</v>
      </c>
      <c r="K71" s="1" t="n">
        <f aca="false">VLOOKUP(H57,TO10kVAdj,MATCH(LEEDS_KV,$B$30:$E$30,0)+1)</f>
        <v>0.238</v>
      </c>
      <c r="L71" s="1" t="n">
        <f aca="false">(K71+M71)/2</f>
        <v>0.2025</v>
      </c>
      <c r="M71" s="1" t="n">
        <f aca="false">VLOOKUP(I57,TO10kVAdj,MATCH(LEEDS_KV,$B$30:$E$30,0)+1)</f>
        <v>0.167</v>
      </c>
      <c r="N71" s="1" t="n">
        <f aca="false">(M71+O71)/2</f>
        <v>0.1475</v>
      </c>
      <c r="O71" s="1" t="n">
        <f aca="false">VLOOKUP(J57,TO10kVAdj,MATCH(LEEDS_KV,$B$30:$E$30,0)+1)</f>
        <v>0.128</v>
      </c>
      <c r="P71" s="1" t="n">
        <f aca="false">(O71+Q71)/2</f>
        <v>0.1078</v>
      </c>
      <c r="Q71" s="1" t="n">
        <f aca="false">VLOOKUP(K57,TO10kVAdj,MATCH(LEEDS_KV,$B$30:$E$30,0)+1)</f>
        <v>0.0876</v>
      </c>
      <c r="R71" s="1" t="n">
        <f aca="false">(Q71+S71)/2</f>
        <v>0.0775</v>
      </c>
      <c r="S71" s="1" t="n">
        <f aca="false">VLOOKUP(L57,TO10kVAdj,MATCH(LEEDS_KV,$B$30:$E$30,0)+1)</f>
        <v>0.0674</v>
      </c>
    </row>
    <row r="72" customFormat="false" ht="15.75" hidden="false" customHeight="false" outlineLevel="0" collapsed="false">
      <c r="A72" s="1" t="s">
        <v>390</v>
      </c>
      <c r="B72" s="1" t="e">
        <f aca="false">#N/A</f>
        <v>#N/A</v>
      </c>
      <c r="C72" s="1" t="n">
        <f aca="false">VLOOKUP(D58,TO10kVAdj,MATCH(LEEDS_KV,$B$30:$E$30,0)+1)</f>
        <v>0.954</v>
      </c>
      <c r="D72" s="1" t="n">
        <f aca="false">(C72+E72)/2</f>
        <v>0.84</v>
      </c>
      <c r="E72" s="1" t="n">
        <f aca="false">VLOOKUP(E58,TO10kVAdj,MATCH(LEEDS_KV,$B$30:$E$30,0)+1)</f>
        <v>0.726</v>
      </c>
      <c r="F72" s="1" t="n">
        <f aca="false">(E72+G72)/2</f>
        <v>0.6495</v>
      </c>
      <c r="G72" s="1" t="n">
        <f aca="false">VLOOKUP(F58,TO10kVAdj,MATCH(LEEDS_KV,$B$30:$E$30,0)+1)</f>
        <v>0.573</v>
      </c>
      <c r="H72" s="1" t="n">
        <f aca="false">(G72+I72)/2</f>
        <v>0.4665</v>
      </c>
      <c r="I72" s="1" t="n">
        <f aca="false">VLOOKUP(G58,TO10kVAdj,MATCH(LEEDS_KV,$B$30:$E$30,0)+1)</f>
        <v>0.36</v>
      </c>
      <c r="J72" s="1" t="n">
        <f aca="false">(I72+K72)/2</f>
        <v>0.299</v>
      </c>
      <c r="K72" s="1" t="n">
        <f aca="false">VLOOKUP(H58,TO10kVAdj,MATCH(LEEDS_KV,$B$30:$E$30,0)+1)</f>
        <v>0.238</v>
      </c>
      <c r="L72" s="1" t="n">
        <f aca="false">(K72+M72)/2</f>
        <v>0.2025</v>
      </c>
      <c r="M72" s="1" t="n">
        <f aca="false">VLOOKUP(I58,TO10kVAdj,MATCH(LEEDS_KV,$B$30:$E$30,0)+1)</f>
        <v>0.167</v>
      </c>
      <c r="N72" s="1" t="n">
        <f aca="false">(M72+O72)/2</f>
        <v>0.1475</v>
      </c>
      <c r="O72" s="1" t="n">
        <f aca="false">VLOOKUP(J58,TO10kVAdj,MATCH(LEEDS_KV,$B$30:$E$30,0)+1)</f>
        <v>0.128</v>
      </c>
      <c r="P72" s="1" t="n">
        <f aca="false">(O72+Q72)/2</f>
        <v>0.1078</v>
      </c>
      <c r="Q72" s="1" t="n">
        <f aca="false">VLOOKUP(K58,TO10kVAdj,MATCH(LEEDS_KV,$B$30:$E$30,0)+1)</f>
        <v>0.0876</v>
      </c>
      <c r="R72" s="1" t="n">
        <f aca="false">(Q72+S72)/2</f>
        <v>0.0775</v>
      </c>
      <c r="S72" s="1" t="n">
        <f aca="false">VLOOKUP(L58,TO10kVAdj,MATCH(LEEDS_KV,$B$30:$E$30,0)+1)</f>
        <v>0.0674</v>
      </c>
    </row>
    <row r="74" customFormat="false" ht="15.75" hidden="false" customHeight="false" outlineLevel="0" collapsed="false">
      <c r="A74" s="1" t="s">
        <v>244</v>
      </c>
    </row>
    <row r="75" customFormat="false" ht="15.75" hidden="false" customHeight="false" outlineLevel="0" collapsed="false">
      <c r="B75" s="1" t="s">
        <v>445</v>
      </c>
      <c r="E75" s="1" t="s">
        <v>446</v>
      </c>
      <c r="I75" s="1" t="s">
        <v>447</v>
      </c>
    </row>
    <row r="76" customFormat="false" ht="15.75" hidden="false" customHeight="false" outlineLevel="0" collapsed="false">
      <c r="B76" s="1" t="s">
        <v>448</v>
      </c>
      <c r="E76" s="1" t="s">
        <v>166</v>
      </c>
      <c r="F76" s="1" t="s">
        <v>448</v>
      </c>
      <c r="G76" s="1" t="s">
        <v>449</v>
      </c>
      <c r="I76" s="1" t="s">
        <v>247</v>
      </c>
      <c r="J76" s="1" t="s">
        <v>249</v>
      </c>
    </row>
    <row r="77" customFormat="false" ht="15.75" hidden="false" customHeight="false" outlineLevel="0" collapsed="false">
      <c r="A77" s="1" t="s">
        <v>191</v>
      </c>
      <c r="B77" s="1" t="s">
        <v>450</v>
      </c>
      <c r="D77" s="1" t="s">
        <v>191</v>
      </c>
      <c r="E77" s="1" t="s">
        <v>450</v>
      </c>
      <c r="F77" s="1" t="s">
        <v>450</v>
      </c>
      <c r="G77" s="1" t="s">
        <v>450</v>
      </c>
    </row>
    <row r="78" customFormat="false" ht="15.75" hidden="false" customHeight="false" outlineLevel="0" collapsed="false">
      <c r="A78" s="1" t="n">
        <v>30</v>
      </c>
      <c r="B78" s="1" t="n">
        <v>0.3</v>
      </c>
      <c r="D78" s="1" t="n">
        <v>60</v>
      </c>
      <c r="E78" s="1" t="n">
        <v>2.2</v>
      </c>
      <c r="F78" s="1" t="n">
        <v>1.8</v>
      </c>
      <c r="G78" s="1" t="n">
        <v>2.4</v>
      </c>
    </row>
    <row r="79" customFormat="false" ht="15.75" hidden="false" customHeight="false" outlineLevel="0" collapsed="false">
      <c r="A79" s="1" t="n">
        <v>40</v>
      </c>
      <c r="B79" s="1" t="n">
        <v>0.4</v>
      </c>
      <c r="D79" s="1" t="n">
        <v>70</v>
      </c>
      <c r="E79" s="1" t="n">
        <v>2.6</v>
      </c>
      <c r="F79" s="1" t="n">
        <v>2.2</v>
      </c>
      <c r="G79" s="1" t="n">
        <v>2.9</v>
      </c>
    </row>
    <row r="80" customFormat="false" ht="15.75" hidden="false" customHeight="false" outlineLevel="0" collapsed="false">
      <c r="A80" s="1" t="n">
        <v>50</v>
      </c>
      <c r="B80" s="1" t="n">
        <v>0.5</v>
      </c>
      <c r="D80" s="1" t="n">
        <v>80</v>
      </c>
      <c r="E80" s="1" t="n">
        <v>3</v>
      </c>
      <c r="F80" s="1" t="n">
        <v>2.6</v>
      </c>
      <c r="G80" s="1" t="n">
        <v>3.5</v>
      </c>
    </row>
    <row r="81" customFormat="false" ht="15.75" hidden="false" customHeight="false" outlineLevel="0" collapsed="false">
      <c r="A81" s="1" t="n">
        <v>51</v>
      </c>
      <c r="B81" s="1" t="n">
        <v>1.2</v>
      </c>
      <c r="D81" s="1" t="n">
        <v>90</v>
      </c>
      <c r="E81" s="1" t="n">
        <v>3.5</v>
      </c>
      <c r="F81" s="1" t="n">
        <v>3.1</v>
      </c>
      <c r="G81" s="1" t="n">
        <v>4</v>
      </c>
    </row>
    <row r="82" customFormat="false" ht="15.75" hidden="false" customHeight="false" outlineLevel="0" collapsed="false">
      <c r="A82" s="1" t="n">
        <v>60</v>
      </c>
      <c r="B82" s="1" t="n">
        <v>1.3</v>
      </c>
      <c r="D82" s="1" t="n">
        <v>100</v>
      </c>
      <c r="E82" s="1" t="n">
        <v>3.9</v>
      </c>
      <c r="F82" s="1" t="n">
        <v>3.5</v>
      </c>
      <c r="G82" s="1" t="n">
        <v>4.5</v>
      </c>
    </row>
    <row r="83" customFormat="false" ht="15.75" hidden="false" customHeight="false" outlineLevel="0" collapsed="false">
      <c r="A83" s="1" t="n">
        <v>70</v>
      </c>
      <c r="B83" s="1" t="n">
        <v>1.5</v>
      </c>
      <c r="D83" s="1" t="n">
        <v>110</v>
      </c>
      <c r="E83" s="1" t="n">
        <v>4.3</v>
      </c>
      <c r="F83" s="1" t="n">
        <v>3.9</v>
      </c>
      <c r="G83" s="1" t="n">
        <v>5.1</v>
      </c>
    </row>
    <row r="84" customFormat="false" ht="15.75" hidden="false" customHeight="false" outlineLevel="0" collapsed="false">
      <c r="A84" s="1" t="n">
        <v>71</v>
      </c>
      <c r="B84" s="1" t="n">
        <v>2.1</v>
      </c>
      <c r="D84" s="1" t="n">
        <v>120</v>
      </c>
      <c r="E84" s="1" t="n">
        <v>5.7</v>
      </c>
      <c r="F84" s="1" t="n">
        <v>4.4</v>
      </c>
      <c r="G84" s="1" t="n">
        <v>5.6</v>
      </c>
    </row>
    <row r="85" customFormat="false" ht="15.75" hidden="false" customHeight="false" outlineLevel="0" collapsed="false">
      <c r="A85" s="1" t="n">
        <v>80</v>
      </c>
      <c r="B85" s="1" t="n">
        <v>2.3</v>
      </c>
      <c r="D85" s="1" t="n">
        <v>130</v>
      </c>
      <c r="E85" s="1" t="n">
        <v>5.2</v>
      </c>
      <c r="F85" s="1" t="n">
        <v>4.8</v>
      </c>
      <c r="G85" s="1" t="n">
        <v>6.1</v>
      </c>
    </row>
    <row r="86" customFormat="false" ht="15.75" hidden="false" customHeight="false" outlineLevel="0" collapsed="false">
      <c r="A86" s="1" t="n">
        <v>90</v>
      </c>
      <c r="B86" s="1" t="n">
        <v>2.5</v>
      </c>
    </row>
    <row r="87" customFormat="false" ht="15.75" hidden="false" customHeight="false" outlineLevel="0" collapsed="false">
      <c r="A87" s="1" t="n">
        <v>100</v>
      </c>
      <c r="B87" s="1" t="n">
        <v>2.7</v>
      </c>
    </row>
    <row r="88" customFormat="false" ht="15.75" hidden="false" customHeight="false" outlineLevel="0" collapsed="false">
      <c r="A88" s="1" t="n">
        <v>110</v>
      </c>
      <c r="B88" s="1" t="n">
        <v>3</v>
      </c>
    </row>
    <row r="89" customFormat="false" ht="15.75" hidden="false" customHeight="false" outlineLevel="0" collapsed="false">
      <c r="A89" s="1" t="n">
        <v>120</v>
      </c>
      <c r="B89" s="1" t="n">
        <v>3.2</v>
      </c>
    </row>
    <row r="90" customFormat="false" ht="15.75" hidden="false" customHeight="false" outlineLevel="0" collapsed="false">
      <c r="A90" s="1" t="n">
        <v>130</v>
      </c>
      <c r="B90" s="1" t="n">
        <v>3.5</v>
      </c>
    </row>
    <row r="91" customFormat="false" ht="15.75" hidden="false" customHeight="false" outlineLevel="0" collapsed="false">
      <c r="A91" s="1" t="n">
        <v>140</v>
      </c>
      <c r="B91" s="1" t="n">
        <v>3.8</v>
      </c>
    </row>
    <row r="92" customFormat="false" ht="15.75" hidden="false" customHeight="false" outlineLevel="0" collapsed="false">
      <c r="A92" s="1" t="n">
        <v>150</v>
      </c>
      <c r="B92" s="1" t="n">
        <v>4.1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 activeCellId="0" sqref="M1"/>
    </sheetView>
  </sheetViews>
  <sheetFormatPr defaultColWidth="8.6171875" defaultRowHeight="15.75" zeroHeight="false" outlineLevelRow="0" outlineLevelCol="0"/>
  <sheetData>
    <row r="1" customFormat="false" ht="15.75" hidden="false" customHeight="false" outlineLevel="0" collapsed="false">
      <c r="A1" s="58" t="s">
        <v>451</v>
      </c>
      <c r="B1" s="10"/>
      <c r="C1" s="10"/>
      <c r="D1" s="10"/>
      <c r="E1" s="10"/>
      <c r="F1" s="10"/>
      <c r="G1" s="10"/>
      <c r="H1" s="10"/>
      <c r="I1" s="10"/>
      <c r="J1" s="10"/>
      <c r="K1" s="10"/>
      <c r="M1" s="237" t="s">
        <v>452</v>
      </c>
      <c r="N1" s="238"/>
      <c r="O1" s="238"/>
      <c r="P1" s="238"/>
      <c r="Q1" s="238"/>
      <c r="R1" s="238"/>
      <c r="S1" s="238"/>
      <c r="T1" s="238"/>
      <c r="U1" s="237" t="s">
        <v>452</v>
      </c>
      <c r="V1" s="238"/>
      <c r="W1" s="238"/>
      <c r="X1" s="238"/>
      <c r="Y1" s="238"/>
      <c r="Z1" s="238"/>
      <c r="AA1" s="238"/>
      <c r="AB1" s="238"/>
      <c r="AC1" s="238"/>
      <c r="AD1" s="238"/>
      <c r="AE1" s="238"/>
      <c r="AF1" s="238"/>
    </row>
    <row r="2" customFormat="false" ht="15.75" hidden="false" customHeight="false" outlineLevel="0" collapsed="false">
      <c r="A2" s="59" t="s">
        <v>183</v>
      </c>
      <c r="B2" s="60" t="s">
        <v>184</v>
      </c>
      <c r="C2" s="72"/>
      <c r="D2" s="11"/>
      <c r="E2" s="73"/>
      <c r="F2" s="72"/>
      <c r="G2" s="11"/>
      <c r="H2" s="73"/>
      <c r="I2" s="12"/>
      <c r="J2" s="11"/>
      <c r="K2" s="73"/>
      <c r="M2" s="238"/>
      <c r="N2" s="238"/>
      <c r="O2" s="238"/>
      <c r="P2" s="238"/>
      <c r="Q2" s="238"/>
      <c r="R2" s="238"/>
      <c r="S2" s="238"/>
      <c r="T2" s="238"/>
      <c r="U2" s="238"/>
      <c r="V2" s="238"/>
      <c r="W2" s="238"/>
      <c r="X2" s="238"/>
      <c r="Y2" s="238"/>
      <c r="Z2" s="238"/>
      <c r="AA2" s="238"/>
      <c r="AB2" s="238"/>
      <c r="AC2" s="238"/>
      <c r="AD2" s="238"/>
      <c r="AE2" s="238"/>
      <c r="AF2" s="238"/>
    </row>
    <row r="3" customFormat="false" ht="15.75" hidden="false" customHeight="false" outlineLevel="0" collapsed="false">
      <c r="A3" s="59" t="s">
        <v>186</v>
      </c>
      <c r="B3" s="60" t="s">
        <v>187</v>
      </c>
      <c r="C3" s="74"/>
      <c r="D3" s="74"/>
      <c r="E3" s="74"/>
      <c r="F3" s="74"/>
      <c r="G3" s="74"/>
      <c r="H3" s="74"/>
      <c r="I3" s="75"/>
      <c r="J3" s="75"/>
      <c r="K3" s="75"/>
      <c r="M3" s="239" t="s">
        <v>453</v>
      </c>
      <c r="N3" s="239" t="s">
        <v>454</v>
      </c>
      <c r="O3" s="239" t="s">
        <v>455</v>
      </c>
      <c r="P3" s="239" t="s">
        <v>456</v>
      </c>
      <c r="Q3" s="239" t="s">
        <v>457</v>
      </c>
      <c r="R3" s="239" t="s">
        <v>458</v>
      </c>
      <c r="S3" s="239" t="s">
        <v>459</v>
      </c>
      <c r="T3" s="238"/>
      <c r="U3" s="239" t="s">
        <v>453</v>
      </c>
      <c r="V3" s="239" t="s">
        <v>454</v>
      </c>
      <c r="W3" s="239" t="s">
        <v>455</v>
      </c>
      <c r="X3" s="239" t="s">
        <v>456</v>
      </c>
      <c r="Y3" s="239" t="s">
        <v>457</v>
      </c>
      <c r="Z3" s="239" t="s">
        <v>458</v>
      </c>
      <c r="AA3" s="239" t="s">
        <v>459</v>
      </c>
      <c r="AB3" s="239" t="s">
        <v>460</v>
      </c>
      <c r="AC3" s="239" t="s">
        <v>461</v>
      </c>
      <c r="AD3" s="239" t="s">
        <v>462</v>
      </c>
      <c r="AE3" s="239" t="s">
        <v>463</v>
      </c>
      <c r="AF3" s="239" t="s">
        <v>464</v>
      </c>
    </row>
    <row r="4" customFormat="false" ht="15.75" hidden="false" customHeight="false" outlineLevel="0" collapsed="false">
      <c r="A4" s="59" t="s">
        <v>190</v>
      </c>
      <c r="B4" s="60" t="s">
        <v>190</v>
      </c>
      <c r="C4" s="62" t="s">
        <v>191</v>
      </c>
      <c r="D4" s="13" t="s">
        <v>192</v>
      </c>
      <c r="E4" s="63" t="s">
        <v>193</v>
      </c>
      <c r="F4" s="62" t="s">
        <v>191</v>
      </c>
      <c r="G4" s="13" t="s">
        <v>192</v>
      </c>
      <c r="H4" s="63" t="s">
        <v>193</v>
      </c>
      <c r="I4" s="13" t="s">
        <v>191</v>
      </c>
      <c r="J4" s="13" t="s">
        <v>192</v>
      </c>
      <c r="K4" s="63" t="s">
        <v>193</v>
      </c>
      <c r="M4" s="238" t="n">
        <v>60</v>
      </c>
      <c r="N4" s="238" t="n">
        <v>5</v>
      </c>
      <c r="O4" s="238"/>
      <c r="P4" s="238"/>
      <c r="Q4" s="238"/>
      <c r="R4" s="238"/>
      <c r="S4" s="238"/>
      <c r="T4" s="238"/>
      <c r="U4" s="238" t="n">
        <v>60</v>
      </c>
      <c r="V4" s="238" t="n">
        <v>5</v>
      </c>
      <c r="W4" s="238"/>
      <c r="X4" s="238"/>
      <c r="Y4" s="238"/>
      <c r="Z4" s="238"/>
      <c r="AA4" s="238"/>
      <c r="AB4" s="238"/>
      <c r="AC4" s="238"/>
      <c r="AD4" s="238"/>
      <c r="AE4" s="238"/>
      <c r="AF4" s="238"/>
    </row>
    <row r="5" customFormat="false" ht="15.75" hidden="false" customHeight="false" outlineLevel="0" collapsed="false">
      <c r="A5" s="76" t="s">
        <v>206</v>
      </c>
      <c r="B5" s="65" t="n">
        <v>10</v>
      </c>
      <c r="C5" s="77"/>
      <c r="D5" s="78"/>
      <c r="E5" s="79"/>
      <c r="F5" s="77"/>
      <c r="G5" s="78"/>
      <c r="H5" s="80"/>
      <c r="I5" s="81"/>
      <c r="J5" s="78"/>
      <c r="K5" s="80"/>
      <c r="M5" s="238" t="n">
        <v>80</v>
      </c>
      <c r="N5" s="238" t="n">
        <v>5</v>
      </c>
      <c r="O5" s="238"/>
      <c r="P5" s="238"/>
      <c r="Q5" s="238"/>
      <c r="R5" s="238"/>
      <c r="S5" s="238"/>
      <c r="T5" s="238"/>
      <c r="U5" s="238" t="n">
        <v>80</v>
      </c>
      <c r="V5" s="238" t="n">
        <v>5</v>
      </c>
      <c r="W5" s="238"/>
      <c r="X5" s="238"/>
      <c r="Y5" s="238"/>
      <c r="Z5" s="238"/>
      <c r="AA5" s="238"/>
      <c r="AB5" s="238"/>
      <c r="AC5" s="238"/>
      <c r="AD5" s="238"/>
      <c r="AE5" s="238"/>
      <c r="AF5" s="238"/>
    </row>
    <row r="6" customFormat="false" ht="15.75" hidden="false" customHeight="false" outlineLevel="0" collapsed="false">
      <c r="A6" s="82"/>
      <c r="B6" s="69" t="n">
        <v>20</v>
      </c>
      <c r="C6" s="83"/>
      <c r="D6" s="84"/>
      <c r="E6" s="85"/>
      <c r="F6" s="83"/>
      <c r="G6" s="84"/>
      <c r="H6" s="86"/>
      <c r="I6" s="87"/>
      <c r="J6" s="84"/>
      <c r="K6" s="86"/>
      <c r="M6" s="238" t="n">
        <v>80</v>
      </c>
      <c r="N6" s="238" t="n">
        <v>5</v>
      </c>
      <c r="O6" s="238"/>
      <c r="P6" s="238"/>
      <c r="Q6" s="238"/>
      <c r="R6" s="238"/>
      <c r="S6" s="238"/>
      <c r="T6" s="238"/>
      <c r="U6" s="238" t="n">
        <v>80</v>
      </c>
      <c r="V6" s="238" t="n">
        <v>5</v>
      </c>
      <c r="W6" s="238"/>
      <c r="X6" s="238"/>
      <c r="Y6" s="238"/>
      <c r="Z6" s="238"/>
      <c r="AA6" s="238"/>
      <c r="AB6" s="238"/>
      <c r="AC6" s="238"/>
      <c r="AD6" s="238"/>
      <c r="AE6" s="238"/>
      <c r="AF6" s="238"/>
    </row>
    <row r="7" customFormat="false" ht="15.75" hidden="false" customHeight="false" outlineLevel="0" collapsed="false">
      <c r="A7" s="88"/>
      <c r="B7" s="70" t="n">
        <v>30</v>
      </c>
      <c r="C7" s="89"/>
      <c r="D7" s="90"/>
      <c r="E7" s="91"/>
      <c r="F7" s="89"/>
      <c r="G7" s="90"/>
      <c r="H7" s="92"/>
      <c r="I7" s="93"/>
      <c r="J7" s="90"/>
      <c r="K7" s="92"/>
      <c r="M7" s="238" t="n">
        <v>80</v>
      </c>
      <c r="N7" s="238" t="n">
        <v>5</v>
      </c>
      <c r="O7" s="238"/>
      <c r="P7" s="238"/>
      <c r="Q7" s="238"/>
      <c r="R7" s="238"/>
      <c r="S7" s="238"/>
      <c r="T7" s="238"/>
      <c r="U7" s="238" t="n">
        <v>80</v>
      </c>
      <c r="V7" s="238" t="n">
        <v>5</v>
      </c>
      <c r="W7" s="238"/>
      <c r="X7" s="238"/>
      <c r="Y7" s="238"/>
      <c r="Z7" s="238"/>
      <c r="AA7" s="238"/>
      <c r="AB7" s="238"/>
      <c r="AC7" s="238"/>
      <c r="AD7" s="238"/>
      <c r="AE7" s="238"/>
      <c r="AF7" s="238"/>
    </row>
    <row r="8" customFormat="false" ht="15.75" hidden="false" customHeight="false" outlineLevel="0" collapsed="false">
      <c r="A8" s="76" t="s">
        <v>211</v>
      </c>
      <c r="B8" s="65" t="n">
        <v>10</v>
      </c>
      <c r="C8" s="77"/>
      <c r="D8" s="78"/>
      <c r="E8" s="79"/>
      <c r="F8" s="77"/>
      <c r="G8" s="78"/>
      <c r="H8" s="80"/>
      <c r="I8" s="81"/>
      <c r="J8" s="78"/>
      <c r="K8" s="80"/>
      <c r="M8" s="238" t="n">
        <v>80</v>
      </c>
      <c r="N8" s="238" t="n">
        <v>5</v>
      </c>
      <c r="O8" s="238"/>
      <c r="P8" s="238"/>
      <c r="Q8" s="238"/>
      <c r="R8" s="238"/>
      <c r="S8" s="238"/>
      <c r="T8" s="238"/>
      <c r="U8" s="238" t="n">
        <v>80</v>
      </c>
      <c r="V8" s="238" t="n">
        <v>5</v>
      </c>
      <c r="W8" s="238"/>
      <c r="X8" s="238"/>
      <c r="Y8" s="238"/>
      <c r="Z8" s="238"/>
      <c r="AA8" s="238"/>
      <c r="AB8" s="238"/>
      <c r="AC8" s="238"/>
      <c r="AD8" s="238"/>
      <c r="AE8" s="238"/>
      <c r="AF8" s="238"/>
    </row>
    <row r="9" customFormat="false" ht="15.75" hidden="false" customHeight="false" outlineLevel="0" collapsed="false">
      <c r="A9" s="82"/>
      <c r="B9" s="69" t="n">
        <v>20</v>
      </c>
      <c r="C9" s="83"/>
      <c r="D9" s="84"/>
      <c r="E9" s="85"/>
      <c r="F9" s="83"/>
      <c r="G9" s="84"/>
      <c r="H9" s="86"/>
      <c r="I9" s="87"/>
      <c r="J9" s="84"/>
      <c r="K9" s="86"/>
      <c r="M9" s="238" t="n">
        <v>80</v>
      </c>
      <c r="N9" s="238" t="n">
        <v>5</v>
      </c>
      <c r="O9" s="238"/>
      <c r="P9" s="238"/>
      <c r="Q9" s="238"/>
      <c r="R9" s="238"/>
      <c r="S9" s="238"/>
      <c r="T9" s="238"/>
      <c r="U9" s="238" t="n">
        <v>80</v>
      </c>
      <c r="V9" s="238" t="n">
        <v>5</v>
      </c>
      <c r="W9" s="238"/>
      <c r="X9" s="238"/>
      <c r="Y9" s="238"/>
      <c r="Z9" s="238"/>
      <c r="AA9" s="238"/>
      <c r="AB9" s="238"/>
      <c r="AC9" s="238"/>
      <c r="AD9" s="238"/>
      <c r="AE9" s="238"/>
      <c r="AF9" s="238"/>
    </row>
    <row r="10" customFormat="false" ht="15.75" hidden="false" customHeight="false" outlineLevel="0" collapsed="false">
      <c r="A10" s="88"/>
      <c r="B10" s="70" t="n">
        <v>30</v>
      </c>
      <c r="C10" s="94"/>
      <c r="D10" s="95"/>
      <c r="E10" s="96"/>
      <c r="F10" s="94"/>
      <c r="G10" s="95"/>
      <c r="H10" s="97"/>
      <c r="I10" s="98"/>
      <c r="J10" s="95"/>
      <c r="K10" s="97"/>
      <c r="M10" s="238" t="n">
        <v>100</v>
      </c>
      <c r="N10" s="238" t="n">
        <v>5</v>
      </c>
      <c r="O10" s="238"/>
      <c r="P10" s="238"/>
      <c r="Q10" s="238"/>
      <c r="R10" s="238"/>
      <c r="S10" s="238"/>
      <c r="T10" s="238"/>
      <c r="U10" s="238" t="n">
        <v>100</v>
      </c>
      <c r="V10" s="238" t="n">
        <v>5</v>
      </c>
      <c r="W10" s="238"/>
      <c r="X10" s="238"/>
      <c r="Y10" s="238"/>
      <c r="Z10" s="238"/>
      <c r="AA10" s="238"/>
      <c r="AB10" s="238"/>
      <c r="AC10" s="238"/>
      <c r="AD10" s="238"/>
      <c r="AE10" s="238"/>
      <c r="AF10" s="238"/>
    </row>
    <row r="11" customFormat="false" ht="15.75" hidden="false" customHeight="false" outlineLevel="0" collapsed="false">
      <c r="A11" s="59" t="s">
        <v>215</v>
      </c>
      <c r="B11" s="65" t="n">
        <v>10</v>
      </c>
      <c r="C11" s="99"/>
      <c r="D11" s="100"/>
      <c r="E11" s="101"/>
      <c r="F11" s="99"/>
      <c r="G11" s="100"/>
      <c r="H11" s="102"/>
      <c r="I11" s="103"/>
      <c r="J11" s="100"/>
      <c r="K11" s="102"/>
      <c r="M11" s="238" t="n">
        <v>120</v>
      </c>
      <c r="N11" s="238" t="n">
        <v>5</v>
      </c>
      <c r="O11" s="238"/>
      <c r="P11" s="238"/>
      <c r="Q11" s="238"/>
      <c r="R11" s="238"/>
      <c r="S11" s="238"/>
      <c r="T11" s="238"/>
      <c r="U11" s="238" t="n">
        <v>120</v>
      </c>
      <c r="V11" s="238" t="n">
        <v>5</v>
      </c>
      <c r="W11" s="238"/>
      <c r="X11" s="238"/>
      <c r="Y11" s="238"/>
      <c r="Z11" s="238"/>
      <c r="AA11" s="238"/>
      <c r="AB11" s="238"/>
      <c r="AC11" s="238"/>
      <c r="AD11" s="238"/>
      <c r="AE11" s="238"/>
      <c r="AF11" s="238"/>
    </row>
    <row r="12" customFormat="false" ht="15.75" hidden="false" customHeight="false" outlineLevel="0" collapsed="false">
      <c r="A12" s="82"/>
      <c r="B12" s="69" t="n">
        <v>20</v>
      </c>
      <c r="C12" s="83"/>
      <c r="D12" s="84"/>
      <c r="E12" s="85"/>
      <c r="F12" s="83"/>
      <c r="G12" s="84"/>
      <c r="H12" s="86"/>
      <c r="I12" s="87"/>
      <c r="J12" s="84"/>
      <c r="K12" s="86"/>
      <c r="M12" s="238" t="n">
        <v>80</v>
      </c>
      <c r="N12" s="238" t="n">
        <v>1</v>
      </c>
      <c r="O12" s="238"/>
      <c r="P12" s="238"/>
      <c r="Q12" s="238"/>
      <c r="R12" s="238"/>
      <c r="S12" s="238"/>
      <c r="T12" s="238"/>
      <c r="U12" s="238" t="n">
        <v>80</v>
      </c>
      <c r="V12" s="238" t="n">
        <v>5</v>
      </c>
      <c r="W12" s="238"/>
      <c r="X12" s="238"/>
      <c r="Y12" s="238"/>
      <c r="Z12" s="238"/>
      <c r="AA12" s="238"/>
      <c r="AB12" s="238"/>
      <c r="AC12" s="238"/>
      <c r="AD12" s="238"/>
      <c r="AE12" s="238"/>
      <c r="AF12" s="238"/>
    </row>
    <row r="13" customFormat="false" ht="15.75" hidden="false" customHeight="false" outlineLevel="0" collapsed="false">
      <c r="A13" s="88"/>
      <c r="B13" s="70" t="n">
        <v>30</v>
      </c>
      <c r="C13" s="94"/>
      <c r="D13" s="95"/>
      <c r="E13" s="96"/>
      <c r="F13" s="94"/>
      <c r="G13" s="95"/>
      <c r="H13" s="97"/>
      <c r="I13" s="98"/>
      <c r="J13" s="95"/>
      <c r="K13" s="97"/>
      <c r="M13" s="238" t="n">
        <v>80</v>
      </c>
      <c r="N13" s="238" t="n">
        <v>10</v>
      </c>
      <c r="O13" s="238"/>
      <c r="P13" s="238"/>
      <c r="Q13" s="238"/>
      <c r="R13" s="238"/>
      <c r="S13" s="238"/>
      <c r="T13" s="238"/>
      <c r="U13" s="238" t="n">
        <v>80</v>
      </c>
      <c r="V13" s="238" t="n">
        <v>5</v>
      </c>
      <c r="W13" s="238"/>
      <c r="X13" s="238"/>
      <c r="Y13" s="238"/>
      <c r="Z13" s="238"/>
      <c r="AA13" s="238"/>
      <c r="AB13" s="238"/>
      <c r="AC13" s="238"/>
      <c r="AD13" s="238"/>
      <c r="AE13" s="238"/>
      <c r="AF13" s="238"/>
    </row>
    <row r="14" customFormat="false" ht="15.75" hidden="false" customHeight="false" outlineLevel="0" collapsed="false">
      <c r="A14" s="7"/>
      <c r="B14" s="104" t="s">
        <v>208</v>
      </c>
      <c r="C14" s="94"/>
      <c r="D14" s="95"/>
      <c r="E14" s="96"/>
      <c r="F14" s="94"/>
      <c r="G14" s="95"/>
      <c r="H14" s="97"/>
      <c r="I14" s="98"/>
      <c r="J14" s="95"/>
      <c r="K14" s="97"/>
      <c r="M14" s="238" t="n">
        <v>80</v>
      </c>
      <c r="N14" s="238" t="n">
        <v>7.5</v>
      </c>
      <c r="O14" s="238"/>
      <c r="P14" s="238"/>
      <c r="Q14" s="238"/>
      <c r="R14" s="238"/>
      <c r="S14" s="238"/>
      <c r="T14" s="238"/>
      <c r="U14" s="238" t="n">
        <v>80</v>
      </c>
      <c r="V14" s="238" t="n">
        <v>5</v>
      </c>
      <c r="W14" s="238"/>
      <c r="X14" s="238"/>
      <c r="Y14" s="238"/>
      <c r="Z14" s="238"/>
      <c r="AA14" s="238"/>
      <c r="AB14" s="238"/>
      <c r="AC14" s="238"/>
      <c r="AD14" s="238"/>
      <c r="AE14" s="238"/>
      <c r="AF14" s="238"/>
    </row>
  </sheetData>
  <mergeCells count="3">
    <mergeCell ref="C3:E3"/>
    <mergeCell ref="F3:H3"/>
    <mergeCell ref="I3:K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166</TotalTime>
  <Application>LibreOffice/24.8.1.2$Linux_X86_64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2023-04-26T15:01:43Z</dcterms:created>
  <dc:creator>Eugene Mah</dc:creator>
  <dc:description/>
  <dc:language>en-US</dc:language>
  <cp:lastModifiedBy/>
  <cp:lastPrinted>2023-05-17T13:04:29Z</cp:lastPrinted>
  <dcterms:modified xsi:type="dcterms:W3CDTF">2024-09-27T13:58:14Z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