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X175" i="1" l="1"/>
  <c r="H444" i="1"/>
  <c r="G444" i="1"/>
  <c r="F444" i="1"/>
  <c r="E444" i="1"/>
  <c r="H443" i="1"/>
  <c r="G443" i="1"/>
  <c r="F443" i="1"/>
  <c r="E443" i="1"/>
  <c r="H442" i="1"/>
  <c r="G442" i="1"/>
  <c r="F442" i="1"/>
  <c r="E442" i="1"/>
  <c r="D442" i="1"/>
  <c r="H441" i="1"/>
  <c r="G441" i="1"/>
  <c r="F441" i="1"/>
  <c r="E441" i="1"/>
  <c r="D441" i="1"/>
  <c r="H440" i="1"/>
  <c r="G440" i="1"/>
  <c r="F440" i="1"/>
  <c r="E440" i="1"/>
  <c r="D440" i="1"/>
  <c r="H438" i="1"/>
  <c r="G438" i="1"/>
  <c r="F438" i="1"/>
  <c r="E438" i="1"/>
  <c r="H437" i="1"/>
  <c r="G437" i="1"/>
  <c r="F437" i="1"/>
  <c r="E437" i="1"/>
  <c r="D438" i="1"/>
  <c r="D437" i="1"/>
  <c r="S475" i="1"/>
  <c r="R475" i="1"/>
  <c r="Q475" i="1"/>
  <c r="T474" i="1"/>
  <c r="S474" i="1"/>
  <c r="R474" i="1"/>
  <c r="Q474" i="1"/>
  <c r="P474" i="1"/>
  <c r="P475" i="1" s="1"/>
  <c r="D444" i="1" s="1"/>
  <c r="D443" i="1" l="1"/>
  <c r="Q263" i="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H79" i="4"/>
  <c r="I78" i="4"/>
  <c r="H78" i="4"/>
  <c r="I77" i="4"/>
  <c r="H77" i="4"/>
  <c r="I76" i="4"/>
  <c r="F84" i="4" s="1"/>
  <c r="H76" i="4"/>
  <c r="F79" i="4"/>
  <c r="E79" i="4"/>
  <c r="F78" i="4"/>
  <c r="E78" i="4"/>
  <c r="F77" i="4"/>
  <c r="E77" i="4"/>
  <c r="F76" i="4"/>
  <c r="E84" i="4" s="1"/>
  <c r="E76" i="4"/>
  <c r="C82" i="4"/>
  <c r="B82" i="4"/>
  <c r="C81" i="4"/>
  <c r="B81" i="4"/>
  <c r="C80" i="4"/>
  <c r="B80" i="4"/>
  <c r="C79" i="4"/>
  <c r="B79" i="4"/>
  <c r="C78" i="4"/>
  <c r="C77" i="4"/>
  <c r="C76" i="4"/>
  <c r="B78" i="4"/>
  <c r="B77" i="4"/>
  <c r="B76" i="4"/>
  <c r="S423" i="1"/>
  <c r="R423" i="1"/>
  <c r="Q423" i="1"/>
  <c r="D85" i="4" l="1"/>
  <c r="D84"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27" i="11" l="1"/>
  <c r="U19" i="11"/>
  <c r="U11" i="11"/>
  <c r="U3" i="11"/>
  <c r="U175" i="1" l="1"/>
  <c r="X296" i="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E27" i="11"/>
  <c r="E19" i="11"/>
  <c r="E11" i="11"/>
  <c r="E3" i="11"/>
  <c r="S393" i="1"/>
  <c r="Q3" i="11"/>
  <c r="U35" i="11" l="1"/>
  <c r="M27" i="11"/>
  <c r="M19" i="11"/>
  <c r="M11" i="1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B38" i="11"/>
  <c r="C38" i="11" s="1"/>
  <c r="A38" i="11"/>
  <c r="B37" i="11"/>
  <c r="A37" i="11"/>
  <c r="B36" i="11"/>
  <c r="A36" i="11"/>
  <c r="E35" i="11"/>
  <c r="B35" i="11"/>
  <c r="A30" i="11"/>
  <c r="A29" i="11"/>
  <c r="A28" i="11"/>
  <c r="C37" i="11" l="1"/>
  <c r="U344" i="1"/>
  <c r="C35" i="11"/>
  <c r="C36" i="11"/>
  <c r="D36" i="11" l="1"/>
  <c r="D40" i="11" s="1"/>
  <c r="E40" i="11" s="1"/>
  <c r="D35" i="11"/>
  <c r="D39" i="11" s="1"/>
  <c r="E39" i="11" s="1"/>
  <c r="G35" i="11" l="1"/>
  <c r="B30" i="11"/>
  <c r="C30" i="11" s="1"/>
  <c r="B29" i="11"/>
  <c r="B28" i="11"/>
  <c r="B27" i="11"/>
  <c r="C28" i="11" l="1"/>
  <c r="C29" i="11"/>
  <c r="A39" i="11"/>
  <c r="B39" i="11" s="1"/>
  <c r="D27" i="11"/>
  <c r="D31" i="11" s="1"/>
  <c r="E31" i="11" s="1"/>
  <c r="C27" i="11"/>
  <c r="D28" i="11" s="1"/>
  <c r="D32" i="11" s="1"/>
  <c r="E32" i="11" s="1"/>
  <c r="G27" i="11" l="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C11" i="11"/>
  <c r="G10" i="11"/>
  <c r="W35" i="11"/>
  <c r="Q39" i="11" s="1"/>
  <c r="O27" i="11"/>
  <c r="O3" i="11"/>
  <c r="R425" i="1" s="1"/>
  <c r="C19" i="11"/>
  <c r="V400" i="1"/>
  <c r="W399" i="1"/>
  <c r="V399" i="1"/>
  <c r="U399" i="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W11" i="11"/>
  <c r="W19" i="11"/>
  <c r="O19" i="11"/>
  <c r="X399" i="1"/>
  <c r="D20" i="11"/>
  <c r="D24" i="11" s="1"/>
  <c r="E24" i="11" s="1"/>
  <c r="D19" i="11"/>
  <c r="D23" i="11" s="1"/>
  <c r="E23" i="11" s="1"/>
  <c r="T400" i="1"/>
  <c r="O11" i="11"/>
  <c r="W3" i="11"/>
  <c r="Q7" i="11" s="1"/>
  <c r="D11" i="11"/>
  <c r="D15" i="11" s="1"/>
  <c r="E15" i="11" s="1"/>
  <c r="D12" i="11"/>
  <c r="D16" i="11" s="1"/>
  <c r="E16" i="11" s="1"/>
  <c r="W401" i="1"/>
  <c r="T399" i="1"/>
  <c r="P401" i="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I23" i="11" l="1"/>
  <c r="J23" i="11" s="1"/>
  <c r="S401" i="1"/>
  <c r="Q23" i="11"/>
  <c r="R23" i="11" s="1"/>
  <c r="Q15" i="11"/>
  <c r="R15" i="11" s="1"/>
  <c r="E86" i="4"/>
  <c r="E85" i="4"/>
  <c r="G19" i="11"/>
  <c r="Q425" i="1" s="1"/>
  <c r="D378" i="1" s="1"/>
  <c r="I15" i="11"/>
  <c r="J15" i="11" s="1"/>
  <c r="T401" i="1"/>
  <c r="S425" i="1"/>
  <c r="F378" i="1" s="1"/>
  <c r="G11" i="11"/>
  <c r="R7" i="11"/>
  <c r="Y401" i="1"/>
  <c r="A7" i="11"/>
  <c r="B7" i="11" s="1"/>
  <c r="E378" i="1"/>
  <c r="E376" i="1"/>
  <c r="S446" i="1"/>
  <c r="F376" i="1" l="1"/>
  <c r="A23" i="11"/>
  <c r="B23" i="11" s="1"/>
  <c r="D376" i="1"/>
  <c r="F85" i="4"/>
  <c r="F86" i="4"/>
  <c r="A15" i="11"/>
  <c r="B15" i="11" s="1"/>
  <c r="D471" i="1" l="1"/>
  <c r="D470" i="1"/>
  <c r="D469" i="1"/>
  <c r="D468" i="1"/>
  <c r="D467" i="1"/>
  <c r="D466" i="1"/>
  <c r="R506" i="1"/>
  <c r="S505" i="1"/>
  <c r="T506" i="1" s="1"/>
  <c r="R504" i="1"/>
  <c r="S503" i="1"/>
  <c r="T504" i="1" s="1"/>
  <c r="D463" i="1" l="1"/>
  <c r="D462" i="1"/>
  <c r="D461" i="1"/>
  <c r="D460" i="1"/>
  <c r="D459" i="1"/>
  <c r="D458" i="1"/>
  <c r="D457" i="1"/>
  <c r="D456" i="1"/>
  <c r="D455" i="1"/>
  <c r="D454" i="1"/>
  <c r="D453" i="1"/>
  <c r="D452" i="1"/>
  <c r="D451" i="1"/>
  <c r="D450" i="1"/>
  <c r="D449" i="1"/>
  <c r="D448" i="1"/>
  <c r="D464" i="1"/>
  <c r="D465"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29" i="14" l="1"/>
  <c r="V462" i="1"/>
  <c r="G29" i="14"/>
  <c r="V461" i="1"/>
  <c r="D504" i="1"/>
  <c r="K17" i="1"/>
  <c r="F16" i="1"/>
  <c r="AD24" i="1"/>
  <c r="AC24" i="1" s="1"/>
  <c r="K223" i="1"/>
  <c r="U218" i="1"/>
  <c r="AD119" i="1"/>
  <c r="K384"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70"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37"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E72" i="4"/>
  <c r="E71" i="4"/>
  <c r="E73" i="4"/>
  <c r="F73" i="4"/>
  <c r="F72" i="4"/>
  <c r="F71"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<sst xmlns="http://schemas.openxmlformats.org/spreadsheetml/2006/main" count="2036" uniqueCount="819">
  <si>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</si>
  <si>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</si>
  <si>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</si>
  <si>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</si>
  <si>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</si>
  <si>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</si>
  <si>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</si>
  <si>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</si>
  <si>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</si>
  <si>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</si>
  <si>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</si>
  <si>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</si>
  <si>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</si>
  <si>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</si>
  <si>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</si>
  <si>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</si>
  <si>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</si>
  <si>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</si>
  <si>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</si>
  <si>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</si>
  <si>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</si>
  <si>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</si>
  <si>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</si>
  <si>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</si>
  <si>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</si>
  <si>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</si>
  <si>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</si>
  <si>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</si>
  <si>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</si>
  <si>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</si>
  <si>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</si>
  <si>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</si>
  <si>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</si>
  <si>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</si>
  <si>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</si>
  <si>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</si>
  <si>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</si>
  <si>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</si>
  <si>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</si>
  <si>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</si>
  <si>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</si>
  <si>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</si>
  <si>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</si>
  <si>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</si>
  <si>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</si>
  <si>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</si>
  <si>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</si>
  <si>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</si>
  <si>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</si>
  <si>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</si>
  <si>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</si>
  <si>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</si>
  <si>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</si>
  <si>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</si>
  <si>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</si>
  <si>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</si>
  <si>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</si>
  <si>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</si>
  <si>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</si>
  <si>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</si>
  <si>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</si>
  <si>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</si>
  <si>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</si>
  <si>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</si>
  <si>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</si>
  <si>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</si>
  <si>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</si>
  <si>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</si>
  <si>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</si>
  <si>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</si>
  <si>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</si>
  <si>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</si>
  <si>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</si>
  <si>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</si>
  <si>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</si>
  <si>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</si>
  <si>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</si>
  <si>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</si>
  <si>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</si>
  <si>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</si>
  <si>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</si>
  <si>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</si>
  <si>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</si>
  <si>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</si>
  <si>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</si>
  <si>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</si>
  <si>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</si>
  <si>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</si>
  <si>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</si>
  <si>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</si>
  <si>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</si>
  <si>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</si>
  <si>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</si>
  <si>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</si>
  <si>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</si>
  <si>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</si>
  <si>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</si>
  <si>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</si>
  <si>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</si>
  <si>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</si>
  <si>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</si>
  <si>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</si>
  <si>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</si>
  <si>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</si>
  <si>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</si>
  <si>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</si>
  <si>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</si>
  <si>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</si>
  <si>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</si>
  <si>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</si>
  <si>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</si>
  <si>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</si>
  <si>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</si>
  <si>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</si>
  <si>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</si>
  <si>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</si>
  <si>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</si>
  <si>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</si>
  <si>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</si>
  <si>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</si>
  <si>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</si>
  <si>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</si>
  <si>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</si>
  <si>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</si>
  <si>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</si>
  <si>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</si>
  <si>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</si>
  <si>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</si>
  <si>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</si>
  <si>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</si>
  <si>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</si>
  <si>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</si>
  <si>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</si>
  <si>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</si>
  <si>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</si>
  <si>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</si>
  <si>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</si>
  <si>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</si>
  <si>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</si>
  <si>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</si>
  <si>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</si>
  <si>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</si>
  <si>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</si>
  <si>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</si>
  <si>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</si>
  <si>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</si>
  <si>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</si>
  <si>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</si>
  <si>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</si>
  <si>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</si>
  <si>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</si>
  <si>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</si>
  <si>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</si>
  <si>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</si>
  <si>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</si>
  <si>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</si>
  <si>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</si>
  <si>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</si>
  <si>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</si>
  <si>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</si>
  <si>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</si>
  <si>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</si>
  <si>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</si>
  <si>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</si>
  <si>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</si>
  <si>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</si>
  <si>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</si>
  <si>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</si>
  <si>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</si>
  <si>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</si>
  <si>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</si>
  <si>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</si>
  <si>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</si>
  <si>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</si>
  <si>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</si>
  <si>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</si>
  <si>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</si>
  <si>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</si>
  <si>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</si>
  <si>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</si>
  <si>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</si>
  <si>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</si>
  <si>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</si>
  <si>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</si>
  <si>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</si>
  <si>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</si>
  <si>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</si>
  <si>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</si>
  <si>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</si>
  <si>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</si>
  <si>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</si>
  <si>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</si>
  <si>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</si>
  <si>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</si>
  <si>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</si>
  <si>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</si>
  <si>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</si>
  <si>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</si>
  <si>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</si>
  <si>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</si>
  <si>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</si>
  <si>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</si>
  <si>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</si>
  <si>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</si>
  <si>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</si>
  <si>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</si>
  <si>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</si>
  <si>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</si>
  <si>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</si>
  <si>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</si>
  <si>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</si>
  <si>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</si>
  <si>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</si>
  <si>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</si>
  <si>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</si>
  <si>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</si>
  <si>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</si>
  <si>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</si>
  <si>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</si>
  <si>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</si>
  <si>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</si>
  <si>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</si>
  <si>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</si>
  <si>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</si>
  <si>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</si>
  <si>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</si>
  <si>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</si>
  <si>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</si>
  <si>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</si>
  <si>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</si>
  <si>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</si>
  <si>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</si>
  <si>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</si>
  <si>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</si>
  <si>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</si>
  <si>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</si>
  <si>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</si>
  <si>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</si>
  <si>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</si>
  <si>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</si>
  <si>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</si>
  <si>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</si>
  <si>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</si>
  <si>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</si>
  <si>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</si>
  <si>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</si>
  <si>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</si>
  <si>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</si>
  <si>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</si>
  <si>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</si>
  <si>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</si>
  <si>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</si>
  <si>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</si>
  <si>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</si>
  <si>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</si>
  <si>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</si>
  <si>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</si>
  <si>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</si>
  <si>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</si>
  <si>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</si>
  <si>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</si>
  <si>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</si>
  <si>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</si>
  <si>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</si>
  <si>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</si>
  <si>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</si>
  <si>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</si>
  <si>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</si>
  <si>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</si>
  <si>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</si>
  <si>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</si>
  <si>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</si>
  <si>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</si>
  <si>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</si>
  <si>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</si>
  <si>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</si>
  <si>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</si>
  <si>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</si>
  <si>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</si>
  <si>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</si>
  <si>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</si>
  <si>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</si>
  <si>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</si>
  <si>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</si>
  <si>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</si>
  <si>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</si>
  <si>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</si>
  <si>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</si>
  <si>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</si>
  <si>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</si>
  <si>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</si>
  <si>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</si>
  <si>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</si>
  <si>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</si>
  <si>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</si>
  <si>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</si>
  <si>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</si>
  <si>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</si>
  <si>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</si>
  <si>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</si>
  <si>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</si>
  <si>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</si>
  <si>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</si>
  <si>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</si>
  <si>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</si>
  <si>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</si>
  <si>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</si>
  <si>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</si>
  <si>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</si>
  <si>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</si>
  <si>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</si>
  <si>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</si>
  <si>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</si>
  <si>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</si>
  <si>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</si>
  <si>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</si>
  <si>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</si>
  <si>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</si>
  <si>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</si>
  <si>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</si>
  <si>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</si>
  <si>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</si>
  <si>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</si>
  <si>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</si>
  <si>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</si>
  <si>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</si>
  <si>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</si>
  <si>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</si>
  <si>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</si>
  <si>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</si>
  <si>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</si>
  <si>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</si>
  <si>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</si>
  <si>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</si>
  <si>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</si>
  <si>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</si>
  <si>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</si>
  <si>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</si>
  <si>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</si>
  <si>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</si>
  <si>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</si>
  <si>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</si>
  <si>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</si>
  <si>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</si>
  <si>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</si>
  <si>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</si>
  <si>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</si>
  <si>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</si>
  <si>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</si>
  <si>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</si>
  <si>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</si>
  <si>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</si>
  <si>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</si>
  <si>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</si>
  <si>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</si>
  <si>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</si>
  <si>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</si>
  <si>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</si>
  <si>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</si>
  <si>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</si>
  <si>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</si>
  <si>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</si>
  <si>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</si>
  <si>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</si>
  <si>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</si>
  <si>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</si>
  <si>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</si>
  <si>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</si>
  <si>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</si>
  <si>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</si>
  <si>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</si>
  <si>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</si>
  <si>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</si>
  <si>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</si>
  <si>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</si>
  <si>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</si>
  <si>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</si>
  <si>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</si>
  <si>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</si>
  <si>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</si>
  <si>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</si>
  <si>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</si>
  <si>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</si>
  <si>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</si>
  <si>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</si>
  <si>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</si>
  <si>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</si>
  <si>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</si>
  <si>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</si>
  <si>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</si>
  <si>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</si>
  <si>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</si>
  <si>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</si>
  <si>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</si>
  <si>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</si>
  <si>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</si>
  <si>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</si>
  <si>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</si>
  <si>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</si>
  <si>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</si>
  <si>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</si>
  <si>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</si>
  <si>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</si>
  <si>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</si>
  <si>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</si>
  <si>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</si>
  <si>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</si>
  <si>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</si>
  <si>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</si>
  <si>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</si>
  <si>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</si>
  <si>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</si>
  <si>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</si>
  <si>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</si>
  <si>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</si>
  <si>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</si>
  <si>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</si>
  <si>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</si>
  <si>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</si>
  <si>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</si>
  <si>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</si>
  <si>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</si>
  <si>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</si>
  <si>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</si>
  <si>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</si>
  <si>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</si>
  <si>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</si>
  <si>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</si>
  <si>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</si>
  <si>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</si>
  <si>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</si>
  <si>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</si>
  <si>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</si>
  <si>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</si>
  <si>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</si>
  <si>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</si>
  <si>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</si>
  <si>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</si>
  <si>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</si>
  <si>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</si>
  <si>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</si>
  <si>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</si>
  <si>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</si>
  <si>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</si>
  <si>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</si>
  <si>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</si>
  <si>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</si>
  <si>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</si>
  <si>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</si>
  <si>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</si>
  <si>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</si>
  <si>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</si>
  <si>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</si>
  <si>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</si>
  <si>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</si>
  <si>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</si>
  <si>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</si>
  <si>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</si>
  <si>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</si>
  <si>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</si>
  <si>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</si>
  <si>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</si>
  <si>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</si>
  <si>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</si>
  <si>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</si>
  <si>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</si>
  <si>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</si>
  <si>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</si>
  <si>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</si>
  <si>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</si>
  <si>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</si>
  <si>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</si>
  <si>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</si>
  <si>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</si>
  <si>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</si>
  <si>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</si>
  <si>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</si>
  <si>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</si>
  <si>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</si>
  <si>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</si>
  <si>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</si>
  <si>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</si>
  <si>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</si>
  <si>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</si>
  <si>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</si>
  <si>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</si>
  <si>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</si>
  <si>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</si>
  <si>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</si>
  <si>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</si>
  <si>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</si>
  <si>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</si>
  <si>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</si>
  <si>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</si>
  <si>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</si>
  <si>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</si>
  <si>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</si>
  <si>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</si>
  <si>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</si>
  <si>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</si>
  <si>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</si>
  <si>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</si>
  <si>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</si>
  <si>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</si>
  <si>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</si>
  <si>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</si>
  <si>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</si>
  <si>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</si>
  <si>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</si>
  <si>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</si>
  <si>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</si>
  <si>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</si>
  <si>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</si>
  <si>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</si>
  <si>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</si>
  <si>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</si>
  <si>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</si>
  <si>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</si>
  <si>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</si>
  <si>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</si>
  <si>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</si>
  <si>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</si>
  <si>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</si>
  <si>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</si>
  <si>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</si>
  <si>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</si>
  <si>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</si>
  <si>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</si>
  <si>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</si>
  <si>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</si>
  <si>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</si>
  <si>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</si>
  <si>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</si>
  <si>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</si>
  <si>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</si>
  <si>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</si>
  <si>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</si>
  <si>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</si>
  <si>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</si>
  <si>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</si>
  <si>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</si>
  <si>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</si>
  <si>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</si>
  <si>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</si>
  <si>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</si>
  <si>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</si>
  <si>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</si>
  <si>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</si>
  <si>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</si>
  <si>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</si>
  <si>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</si>
  <si>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</si>
  <si>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</si>
  <si>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</si>
  <si>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</si>
  <si>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</si>
  <si>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</si>
  <si>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</si>
  <si>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</si>
  <si>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</si>
  <si>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</si>
  <si>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</si>
  <si>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</si>
  <si>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</si>
  <si>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</si>
  <si>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</si>
  <si>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</si>
  <si>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</si>
  <si>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</si>
  <si>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</si>
  <si>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</si>
  <si>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</si>
  <si>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</si>
  <si>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</si>
  <si>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</si>
  <si>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</si>
  <si>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</si>
  <si>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</si>
  <si>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</si>
  <si>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</si>
  <si>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</si>
  <si>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</si>
  <si>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</si>
  <si>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</si>
  <si>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</si>
  <si>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</si>
  <si>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</si>
  <si>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</si>
  <si>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</si>
  <si>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</si>
  <si>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</si>
  <si>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</si>
  <si>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</si>
  <si>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</si>
  <si>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</si>
  <si>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</si>
  <si>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</si>
  <si>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</si>
  <si>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</si>
  <si>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</si>
  <si>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</si>
  <si>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</si>
  <si>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</si>
  <si>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</si>
  <si>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</si>
  <si>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</si>
  <si>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</si>
  <si>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</si>
  <si>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</si>
  <si>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</si>
  <si>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</si>
  <si>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</si>
  <si>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</si>
  <si>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</si>
  <si>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</si>
  <si>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</si>
  <si>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</si>
  <si>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</si>
  <si>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</si>
  <si>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</si>
  <si>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</si>
  <si>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</si>
  <si>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</si>
  <si>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</si>
  <si>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</si>
  <si>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</si>
  <si>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</si>
  <si>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</si>
  <si>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</si>
  <si>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</si>
  <si>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</si>
  <si>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</si>
  <si>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</si>
  <si>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</si>
  <si>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</si>
  <si>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</si>
  <si>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</si>
  <si>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</si>
  <si>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</si>
  <si>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</si>
  <si>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</si>
  <si>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</si>
  <si>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</si>
  <si>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</si>
  <si>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</si>
  <si>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</si>
  <si>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</si>
  <si>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</si>
  <si>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</si>
  <si>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</si>
  <si>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</si>
  <si>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</si>
  <si>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</si>
  <si>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</si>
  <si>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</si>
  <si>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</si>
  <si>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</si>
  <si>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</si>
  <si>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</si>
  <si>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</si>
  <si>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</si>
  <si>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</si>
  <si>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</si>
  <si>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</si>
  <si>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</si>
  <si>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</si>
  <si>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</si>
  <si>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</si>
  <si>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</si>
  <si>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</si>
  <si>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</si>
  <si>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</si>
  <si>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</si>
  <si>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</si>
  <si>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</si>
  <si>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</si>
  <si>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</si>
  <si>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</si>
  <si>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</si>
  <si>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</si>
  <si>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</si>
  <si>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</si>
  <si>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</si>
  <si>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</si>
  <si>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</si>
  <si>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</si>
  <si>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</si>
  <si>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</si>
  <si>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</si>
  <si>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</si>
  <si>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</si>
  <si>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</si>
  <si>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</si>
  <si>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</si>
  <si>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</si>
  <si>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</si>
  <si>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</si>
  <si>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</si>
  <si>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</si>
  <si>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</si>
  <si>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</si>
  <si>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</si>
  <si>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</si>
  <si>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</si>
  <si>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</si>
  <si>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</si>
  <si>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</si>
  <si>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</si>
  <si>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</si>
  <si>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</si>
  <si>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</si>
  <si>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</si>
  <si>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</si>
  <si>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</si>
  <si>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</si>
  <si>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</si>
  <si>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</si>
  <si>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</si>
  <si>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</si>
  <si>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</si>
  <si>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</si>
  <si>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</si>
  <si>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</si>
  <si>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</si>
  <si>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</si>
  <si>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</si>
  <si>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</si>
  <si>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</si>
  <si>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</si>
  <si>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</si>
  <si>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</si>
  <si>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</si>
  <si>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</si>
  <si>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</si>
  <si>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</si>
  <si>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</si>
  <si>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</si>
  <si>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</si>
  <si>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</si>
  <si>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</si>
  <si>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</si>
  <si>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</si>
  <si>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</si>
  <si>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</si>
  <si>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</si>
  <si>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</si>
  <si>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</si>
  <si>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</si>
  <si>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</si>
  <si>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</si>
  <si>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</si>
  <si>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</si>
  <si>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</si>
  <si>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</si>
  <si>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</si>
  <si>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</si>
  <si>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</si>
  <si>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</si>
  <si>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</si>
  <si>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</si>
  <si>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</si>
  <si>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</si>
  <si>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</si>
  <si>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</si>
  <si>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</si>
  <si>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</si>
  <si>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</si>
  <si>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</si>
  <si>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</si>
  <si>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</si>
  <si>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</si>
  <si>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</si>
  <si>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</si>
  <si>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</si>
  <si>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</si>
  <si>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</si>
  <si>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</si>
  <si>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</si>
  <si>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</si>
  <si>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</si>
  <si>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</si>
  <si>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</si>
  <si>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</si>
  <si>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</si>
  <si>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</si>
  <si>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</si>
  <si>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</si>
  <si>
    <t>Mass</t>
  </si>
  <si>
    <t>Background</t>
  </si>
  <si>
    <t>Repeat Analysis</t>
  </si>
  <si>
    <t>Tot Exp</t>
  </si>
  <si>
    <t>Start</t>
  </si>
  <si>
    <t>End</t>
  </si>
  <si>
    <t># Repeats</t>
  </si>
  <si>
    <t># Rejects</t>
  </si>
  <si>
    <t>Reject/Repeat rate</t>
  </si>
  <si>
    <t>Reject/Repeat Analysis</t>
  </si>
  <si>
    <t>Start Date</t>
  </si>
  <si>
    <t>End Date</t>
  </si>
  <si>
    <t>Exposures:</t>
  </si>
  <si>
    <t># Repeats:</t>
  </si>
  <si>
    <t># Rejects:</t>
  </si>
  <si>
    <t>Rate:</t>
  </si>
  <si>
    <t>From QC records</t>
  </si>
  <si>
    <t>Change:</t>
  </si>
  <si>
    <t>Reject/Repeat rate should not change by more than 2% from the previous test.</t>
  </si>
  <si>
    <t>MUSC Health East Cooper</t>
  </si>
  <si>
    <t>Radiology</t>
  </si>
  <si>
    <t>Mammography</t>
  </si>
  <si>
    <t>1C07</t>
  </si>
  <si>
    <t>400-392781</t>
  </si>
  <si>
    <t>SBB</t>
  </si>
  <si>
    <t>Mammotest</t>
  </si>
  <si>
    <t>Varian</t>
  </si>
  <si>
    <t>M-147SP</t>
  </si>
  <si>
    <t>19420-W1</t>
  </si>
  <si>
    <t>B-110</t>
  </si>
  <si>
    <t>H19420</t>
  </si>
  <si>
    <t>MTP1C07_2018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</si>
</sst>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 numFmtId="176" formatCode="[$-409]dd/mmm/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1012">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19" borderId="186"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48" xfId="0" applyFont="1" applyBorder="1" applyAlignment="1">
      <alignment horizontal="center" vertical="center"/>
    </xf>
    <xf numFmtId="0" fontId="9" fillId="0" borderId="48" xfId="0" applyFont="1" applyBorder="1" applyAlignment="1">
      <alignment horizontal="center" vertical="center"/>
    </xf>
    <xf numFmtId="0" fontId="7" fillId="0" borderId="186" xfId="0" applyFont="1" applyBorder="1" applyAlignment="1">
      <alignment horizontal="center" vertical="center"/>
    </xf>
    <xf numFmtId="0" fontId="7" fillId="0" borderId="185" xfId="0" applyFont="1" applyBorder="1" applyAlignment="1">
      <alignment horizontal="center" vertical="center"/>
    </xf>
    <xf numFmtId="0" fontId="7" fillId="21" borderId="48" xfId="0" applyFont="1" applyFill="1" applyBorder="1" applyAlignment="1">
      <alignment horizontal="center" vertical="center"/>
    </xf>
    <xf numFmtId="0" fontId="7" fillId="21" borderId="186" xfId="0" applyFont="1" applyFill="1" applyBorder="1" applyAlignment="1">
      <alignment horizontal="center" vertical="center"/>
    </xf>
    <xf numFmtId="0" fontId="7" fillId="0" borderId="0" xfId="0" applyFont="1" applyAlignment="1">
      <alignment horizontal="center" vertic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2" borderId="155" xfId="0" applyFont="1" applyFill="1" applyBorder="1" applyAlignment="1">
      <alignment horizontal="center" vertical="center"/>
    </xf>
    <xf numFmtId="0" fontId="7" fillId="22"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2" borderId="95" xfId="0" applyNumberFormat="1" applyFont="1" applyFill="1" applyBorder="1" applyAlignment="1">
      <alignment horizontal="center" vertical="center"/>
    </xf>
    <xf numFmtId="2" fontId="7" fillId="22"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75" fontId="7" fillId="8" borderId="47" xfId="0" applyNumberFormat="1" applyFont="1" applyFill="1" applyBorder="1" applyAlignment="1">
      <alignment horizontal="center" vertical="center"/>
    </xf>
    <xf numFmtId="0" fontId="7" fillId="0" borderId="190" xfId="0" applyFont="1" applyBorder="1" applyAlignment="1">
      <alignment vertical="center"/>
    </xf>
    <xf numFmtId="175" fontId="7" fillId="8" borderId="11" xfId="0" applyNumberFormat="1" applyFont="1" applyFill="1" applyBorder="1" applyAlignment="1">
      <alignment horizontal="center" vertical="center"/>
    </xf>
    <xf numFmtId="0" fontId="7" fillId="0" borderId="73" xfId="0" applyFont="1" applyBorder="1" applyAlignment="1">
      <alignment vertical="center"/>
    </xf>
    <xf numFmtId="0" fontId="7" fillId="8" borderId="47" xfId="0" applyNumberFormat="1" applyFont="1" applyFill="1" applyBorder="1" applyAlignment="1">
      <alignment horizontal="center" vertical="center"/>
    </xf>
    <xf numFmtId="0" fontId="7" fillId="8" borderId="190" xfId="0" applyNumberFormat="1" applyFont="1" applyFill="1" applyBorder="1" applyAlignment="1">
      <alignment horizontal="center" vertical="center"/>
    </xf>
    <xf numFmtId="10" fontId="7" fillId="0" borderId="73" xfId="9" applyNumberFormat="1" applyFont="1" applyBorder="1" applyAlignment="1">
      <alignment vertical="center"/>
    </xf>
    <xf numFmtId="176" fontId="7" fillId="0" borderId="73" xfId="0" applyNumberFormat="1" applyFont="1" applyBorder="1" applyAlignment="1">
      <alignment horizontal="center" vertical="center"/>
    </xf>
    <xf numFmtId="0" fontId="7" fillId="0" borderId="73" xfId="0" applyFont="1" applyBorder="1" applyAlignment="1">
      <alignment horizontal="right" vertical="center"/>
    </xf>
    <xf numFmtId="0" fontId="7" fillId="20" borderId="81" xfId="0" applyFont="1" applyFill="1" applyBorder="1" applyAlignment="1">
      <alignment vertical="center"/>
    </xf>
    <xf numFmtId="0" fontId="7" fillId="20" borderId="92" xfId="0" applyFont="1" applyFill="1" applyBorder="1" applyAlignment="1">
      <alignment vertical="center"/>
    </xf>
    <xf numFmtId="0" fontId="7" fillId="20" borderId="142" xfId="0" applyFont="1" applyFill="1" applyBorder="1" applyAlignment="1">
      <alignment vertical="center"/>
    </xf>
    <xf numFmtId="0" fontId="7" fillId="0" borderId="122" xfId="0" applyFont="1" applyBorder="1" applyAlignment="1">
      <alignment vertical="center"/>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19" xfId="11" applyFont="1" applyBorder="1" applyAlignment="1">
      <alignment horizontal="lef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3" fillId="0" borderId="125"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91" xfId="0" applyFont="1" applyBorder="1" applyAlignment="1">
      <alignment horizontal="center" vertical="center"/>
    </xf>
    <xf numFmtId="0" fontId="7" fillId="0" borderId="192" xfId="0" applyFont="1" applyBorder="1" applyAlignment="1">
      <alignment horizontal="center" vertical="center"/>
    </xf>
    <xf numFmtId="0" fontId="7" fillId="0" borderId="193" xfId="0" applyFont="1" applyBorder="1" applyAlignment="1">
      <alignment horizontal="center" vertical="center"/>
    </xf>
    <xf numFmtId="0" fontId="7" fillId="0" borderId="194" xfId="0" applyFont="1" applyBorder="1" applyAlignment="1">
      <alignment horizontal="center" vertical="center"/>
    </xf>
    <xf numFmtId="0" fontId="7" fillId="0" borderId="195" xfId="0" applyFont="1" applyBorder="1" applyAlignment="1">
      <alignment horizontal="center" vertical="center"/>
    </xf>
    <xf numFmtId="0" fontId="7" fillId="0" borderId="196" xfId="0" applyFont="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Mo/Mo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Mo/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Mo/Mo</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Mo/</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Mo/Mo</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Mo/</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topLeftCell="A34" zoomScaleNormal="100" workbookViewId="0">
      <selection activeCell="L4" sqref="L4:N5"/>
    </sheetView>
  </sheetViews>
  <sheetFormatPr defaultRowHeight="12.75"/>
  <cols>
    <col min="1" max="1" width="5" style="498" customWidth="1"/>
    <col min="2" max="2" width="5.375" style="498" customWidth="1"/>
    <col min="3" max="3" width="5.875" style="498" customWidth="1"/>
    <col min="4" max="4" width="7.375" style="498" customWidth="1"/>
    <col min="5" max="5" width="5.875" style="498" customWidth="1"/>
    <col min="6" max="7" width="7.375" style="498" customWidth="1"/>
    <col min="8" max="10" width="7.625" style="498" customWidth="1"/>
    <col min="11" max="12" width="8.375" style="498" customWidth="1"/>
    <col min="13" max="13" width="6.625" style="498" customWidth="1"/>
    <col min="14" max="14" width="15.125" style="498" customWidth="1"/>
    <col min="15" max="16384" width="9" style="498"/>
  </cols>
  <sheetData>
    <row r="1" spans="1:14" ht="26.25">
      <c r="A1" s="896" t="s">
        <v>373</v>
      </c>
      <c r="B1" s="896"/>
      <c r="C1" s="896"/>
      <c r="D1" s="896"/>
      <c r="E1" s="896"/>
      <c r="F1" s="896"/>
      <c r="G1" s="896"/>
      <c r="H1" s="896"/>
      <c r="I1" s="896"/>
      <c r="J1" s="896"/>
      <c r="K1" s="896"/>
      <c r="L1" s="896"/>
      <c r="M1" s="896"/>
      <c r="N1" s="896"/>
    </row>
    <row r="2" spans="1:14" ht="26.25">
      <c r="A2" s="896" t="s">
        <v>374</v>
      </c>
      <c r="B2" s="896"/>
      <c r="C2" s="896"/>
      <c r="D2" s="896"/>
      <c r="E2" s="896"/>
      <c r="F2" s="896"/>
      <c r="G2" s="896"/>
      <c r="H2" s="896"/>
      <c r="I2" s="896"/>
      <c r="J2" s="896"/>
      <c r="K2" s="896"/>
      <c r="L2" s="896"/>
      <c r="M2" s="896"/>
      <c r="N2" s="896"/>
    </row>
    <row r="3" spans="1:14" ht="16.5" customHeight="1">
      <c r="A3" s="777"/>
      <c r="B3" s="777"/>
      <c r="C3" s="777"/>
      <c r="D3" s="777"/>
      <c r="E3" s="777"/>
      <c r="F3" s="777"/>
      <c r="G3" s="777"/>
      <c r="H3" s="777"/>
      <c r="I3" s="777"/>
      <c r="J3" s="777"/>
      <c r="K3" s="777"/>
      <c r="L3" s="777"/>
      <c r="M3" s="777"/>
      <c r="N3" s="777"/>
    </row>
    <row r="4" spans="1:14" ht="16.5" customHeight="1">
      <c r="A4" s="512" t="s">
        <v>375</v>
      </c>
      <c r="B4" s="512"/>
      <c r="C4" s="897"/>
      <c r="D4" s="898"/>
      <c r="E4" s="898"/>
      <c r="F4" s="898"/>
      <c r="G4" s="898"/>
      <c r="H4" s="899"/>
      <c r="J4" s="531"/>
      <c r="K4" s="530" t="s">
        <v>376</v>
      </c>
      <c r="L4" s="900"/>
      <c r="M4" s="901"/>
      <c r="N4" s="902"/>
    </row>
    <row r="5" spans="1:14" ht="16.5" customHeight="1">
      <c r="A5" s="512" t="s">
        <v>377</v>
      </c>
      <c r="B5" s="512"/>
      <c r="C5" s="897"/>
      <c r="D5" s="898"/>
      <c r="E5" s="898"/>
      <c r="F5" s="898"/>
      <c r="G5" s="898"/>
      <c r="H5" s="899"/>
      <c r="J5" s="531"/>
      <c r="K5" s="530" t="s">
        <v>378</v>
      </c>
      <c r="L5" s="900"/>
      <c r="M5" s="901"/>
      <c r="N5" s="902"/>
    </row>
    <row r="6" spans="1:14" ht="16.5" customHeight="1">
      <c r="A6" s="512" t="s">
        <v>379</v>
      </c>
      <c r="B6" s="512"/>
      <c r="C6" s="512"/>
      <c r="D6" s="512"/>
      <c r="E6" s="908" t="s">
        <v>12</v>
      </c>
      <c r="F6" s="908"/>
      <c r="G6" s="908"/>
      <c r="H6" s="908"/>
      <c r="J6" s="531"/>
      <c r="K6" s="530" t="s">
        <v>380</v>
      </c>
      <c r="L6" s="897"/>
      <c r="M6" s="898"/>
      <c r="N6" s="899"/>
    </row>
    <row r="7" spans="1:14" ht="16.5" customHeight="1">
      <c r="A7" s="512" t="s">
        <v>381</v>
      </c>
      <c r="B7" s="512"/>
      <c r="C7" s="512"/>
      <c r="D7" s="512"/>
      <c r="E7" s="897" t="s">
        <v>382</v>
      </c>
      <c r="F7" s="898"/>
      <c r="G7" s="898"/>
      <c r="H7" s="899"/>
      <c r="J7" s="531"/>
      <c r="K7" s="530" t="s">
        <v>383</v>
      </c>
      <c r="L7" s="897" t="s">
        <v>771</v>
      </c>
      <c r="M7" s="898"/>
      <c r="N7" s="899"/>
    </row>
    <row r="8" spans="1:14" ht="16.5" customHeight="1">
      <c r="A8" s="512" t="s">
        <v>384</v>
      </c>
      <c r="B8" s="512"/>
      <c r="C8" s="512"/>
      <c r="D8" s="512"/>
      <c r="E8" s="909"/>
      <c r="F8" s="910"/>
      <c r="G8" s="910"/>
      <c r="H8" s="911"/>
      <c r="J8" s="531"/>
      <c r="K8" s="530" t="s">
        <v>385</v>
      </c>
      <c r="L8" s="897"/>
      <c r="M8" s="898"/>
      <c r="N8" s="899"/>
    </row>
    <row r="9" spans="1:14" ht="11.25" customHeight="1">
      <c r="A9" s="512"/>
      <c r="B9" s="512"/>
      <c r="C9" s="512"/>
      <c r="D9" s="512"/>
      <c r="E9" s="532"/>
      <c r="F9" s="529"/>
      <c r="G9" s="529"/>
      <c r="H9" s="529"/>
      <c r="J9" s="531"/>
      <c r="K9" s="530"/>
      <c r="L9" s="529"/>
      <c r="M9" s="529"/>
      <c r="N9" s="529"/>
    </row>
    <row r="10" spans="1:14" ht="16.5" customHeight="1">
      <c r="A10" s="524" t="s">
        <v>547</v>
      </c>
      <c r="E10" s="912" t="s">
        <v>623</v>
      </c>
      <c r="F10" s="913"/>
      <c r="G10" s="913"/>
      <c r="H10" s="914"/>
      <c r="I10" s="528" t="s">
        <v>546</v>
      </c>
    </row>
    <row r="11" spans="1:14" ht="11.25" customHeight="1">
      <c r="C11" s="512"/>
      <c r="D11" s="512"/>
      <c r="E11" s="512"/>
      <c r="F11" s="512"/>
      <c r="G11" s="512"/>
      <c r="H11" s="527"/>
      <c r="I11" s="527"/>
      <c r="K11" s="526"/>
      <c r="L11" s="526"/>
      <c r="M11" s="526"/>
      <c r="N11" s="526"/>
    </row>
    <row r="12" spans="1:14" ht="16.5" customHeight="1" thickBot="1">
      <c r="A12" s="512" t="s">
        <v>387</v>
      </c>
      <c r="B12" s="512"/>
      <c r="C12" s="512"/>
      <c r="D12" s="512"/>
      <c r="E12" s="915" t="s">
        <v>388</v>
      </c>
      <c r="F12" s="916"/>
      <c r="G12" s="915" t="s">
        <v>383</v>
      </c>
      <c r="H12" s="916"/>
      <c r="I12" s="915" t="s">
        <v>16</v>
      </c>
      <c r="J12" s="916"/>
      <c r="K12" s="915" t="s">
        <v>386</v>
      </c>
      <c r="L12" s="917"/>
      <c r="M12" s="917"/>
      <c r="N12" s="916"/>
    </row>
    <row r="13" spans="1:14" ht="16.5" customHeight="1" thickTop="1">
      <c r="A13" s="512"/>
      <c r="B13" s="512"/>
      <c r="C13" s="512"/>
      <c r="D13" s="518" t="s">
        <v>389</v>
      </c>
      <c r="E13" s="903" t="s">
        <v>773</v>
      </c>
      <c r="F13" s="904"/>
      <c r="G13" s="903" t="s">
        <v>774</v>
      </c>
      <c r="H13" s="904"/>
      <c r="I13" s="905"/>
      <c r="J13" s="906"/>
      <c r="K13" s="903" t="s">
        <v>775</v>
      </c>
      <c r="L13" s="907"/>
      <c r="M13" s="907"/>
      <c r="N13" s="904"/>
    </row>
    <row r="14" spans="1:14" ht="16.5" customHeight="1">
      <c r="D14" s="518" t="s">
        <v>390</v>
      </c>
      <c r="E14" s="920"/>
      <c r="F14" s="921"/>
      <c r="G14" s="920"/>
      <c r="H14" s="921"/>
      <c r="I14" s="922"/>
      <c r="J14" s="923"/>
      <c r="K14" s="920"/>
      <c r="L14" s="924"/>
      <c r="M14" s="924"/>
      <c r="N14" s="921"/>
    </row>
    <row r="15" spans="1:14" s="525" customFormat="1" ht="36" customHeight="1">
      <c r="A15" s="925" t="s">
        <v>734</v>
      </c>
      <c r="B15" s="925"/>
      <c r="C15" s="925"/>
      <c r="D15" s="925"/>
      <c r="E15" s="925"/>
      <c r="F15" s="925"/>
      <c r="G15" s="925"/>
      <c r="H15" s="925"/>
      <c r="I15" s="925"/>
      <c r="J15" s="925"/>
      <c r="K15" s="925"/>
      <c r="L15" s="925"/>
      <c r="M15" s="925"/>
      <c r="N15" s="925"/>
    </row>
    <row r="16" spans="1:14" ht="16.5" customHeight="1">
      <c r="A16" s="524" t="s">
        <v>391</v>
      </c>
      <c r="B16" s="524"/>
      <c r="C16" s="523"/>
      <c r="D16" s="519" t="s">
        <v>735</v>
      </c>
      <c r="E16" s="519"/>
      <c r="F16" s="519"/>
      <c r="G16" s="520"/>
      <c r="H16" s="522"/>
      <c r="I16" s="521"/>
      <c r="J16" s="520"/>
      <c r="K16" s="519"/>
      <c r="L16" s="519"/>
      <c r="N16" s="518" t="s">
        <v>392</v>
      </c>
    </row>
    <row r="17" spans="1:15" s="516" customFormat="1" ht="15.75" customHeight="1">
      <c r="A17" s="783" t="s">
        <v>736</v>
      </c>
      <c r="B17" s="784"/>
      <c r="C17" s="785"/>
      <c r="D17" s="786" t="s">
        <v>625</v>
      </c>
      <c r="E17" s="785"/>
      <c r="F17" s="786" t="s">
        <v>737</v>
      </c>
      <c r="G17" s="787"/>
      <c r="H17" s="788"/>
      <c r="I17" s="789"/>
      <c r="J17" s="789"/>
      <c r="K17" s="789"/>
      <c r="L17" s="789"/>
      <c r="M17" s="789"/>
      <c r="N17" s="789"/>
      <c r="O17" s="785"/>
    </row>
    <row r="18" spans="1:15" ht="13.5" customHeight="1">
      <c r="A18" s="517"/>
      <c r="B18" s="517"/>
      <c r="C18" s="516"/>
      <c r="D18" s="515"/>
      <c r="E18" s="516"/>
      <c r="F18" s="516"/>
      <c r="G18" s="515"/>
      <c r="H18" s="514"/>
      <c r="I18" s="513"/>
      <c r="J18" s="513"/>
      <c r="K18" s="513"/>
      <c r="L18" s="513"/>
      <c r="M18" s="513"/>
    </row>
    <row r="19" spans="1:15" ht="21" customHeight="1">
      <c r="A19" s="926" t="s">
        <v>393</v>
      </c>
      <c r="B19" s="926"/>
      <c r="C19" s="926"/>
      <c r="D19" s="926"/>
      <c r="E19" s="926"/>
      <c r="F19" s="926"/>
      <c r="G19" s="926"/>
      <c r="H19" s="926"/>
      <c r="I19" s="926"/>
      <c r="J19" s="926"/>
      <c r="K19" s="926"/>
      <c r="L19" s="926"/>
      <c r="M19" s="926"/>
      <c r="N19" s="926"/>
    </row>
    <row r="20" spans="1:15" ht="15" customHeight="1">
      <c r="A20" s="918" t="s">
        <v>545</v>
      </c>
      <c r="B20" s="918"/>
      <c r="C20" s="918"/>
      <c r="D20" s="918"/>
      <c r="E20" s="918"/>
      <c r="F20" s="918"/>
      <c r="G20" s="918"/>
      <c r="H20" s="918"/>
      <c r="I20" s="918"/>
      <c r="J20" s="918"/>
      <c r="K20" s="918"/>
      <c r="L20" s="918"/>
      <c r="M20" s="918"/>
      <c r="N20" s="918"/>
    </row>
    <row r="21" spans="1:15" ht="15" customHeight="1">
      <c r="A21" s="512"/>
      <c r="B21" s="512"/>
      <c r="C21" s="512"/>
      <c r="D21" s="512"/>
      <c r="E21" s="512"/>
      <c r="F21" s="512"/>
      <c r="G21" s="512"/>
      <c r="H21" s="512"/>
      <c r="I21" s="512"/>
      <c r="J21" s="512"/>
      <c r="K21" s="512"/>
      <c r="L21" s="512"/>
      <c r="M21" s="512"/>
      <c r="N21" s="790" t="s">
        <v>394</v>
      </c>
    </row>
    <row r="22" spans="1:15" ht="15.75" customHeight="1">
      <c r="A22" s="500" t="s">
        <v>738</v>
      </c>
      <c r="B22" s="500"/>
      <c r="C22" s="500"/>
      <c r="D22" s="500"/>
      <c r="E22" s="500"/>
      <c r="F22" s="500"/>
      <c r="G22" s="500"/>
      <c r="H22" s="500"/>
      <c r="I22" s="500"/>
      <c r="J22" s="500"/>
      <c r="K22" s="500"/>
      <c r="L22" s="500"/>
      <c r="M22" s="500"/>
      <c r="N22" s="501" t="str">
        <f>Sheet1!Q453</f>
        <v/>
      </c>
    </row>
    <row r="23" spans="1:15" ht="15.75" customHeight="1">
      <c r="A23" s="500"/>
      <c r="B23" s="500"/>
      <c r="C23" s="503" t="s">
        <v>543</v>
      </c>
      <c r="D23" s="500"/>
      <c r="E23" s="500"/>
      <c r="F23" s="500"/>
      <c r="G23" s="500"/>
      <c r="H23" s="500"/>
      <c r="I23" s="500"/>
      <c r="J23" s="500"/>
      <c r="K23" s="500"/>
      <c r="L23" s="500"/>
      <c r="M23" s="500"/>
    </row>
    <row r="24" spans="1:15" ht="15.75" customHeight="1">
      <c r="A24" s="500"/>
      <c r="B24" s="500"/>
      <c r="C24" s="508" t="s">
        <v>542</v>
      </c>
      <c r="D24" s="500"/>
      <c r="E24" s="500"/>
      <c r="F24" s="500"/>
      <c r="G24" s="500"/>
      <c r="H24" s="500"/>
      <c r="I24" s="500"/>
      <c r="J24" s="500"/>
      <c r="K24" s="500"/>
      <c r="L24" s="500"/>
      <c r="M24" s="500"/>
    </row>
    <row r="25" spans="1:15" ht="15.75" customHeight="1">
      <c r="A25" s="502"/>
      <c r="B25" s="502"/>
      <c r="C25" s="507" t="s">
        <v>397</v>
      </c>
      <c r="D25" s="503"/>
      <c r="E25" s="503"/>
      <c r="F25" s="506"/>
      <c r="G25" s="506" t="s">
        <v>361</v>
      </c>
      <c r="H25" s="505">
        <f>Sheet1!Q450</f>
        <v>0</v>
      </c>
      <c r="I25" s="506" t="s">
        <v>362</v>
      </c>
      <c r="J25" s="505">
        <f>Sheet1!Q451</f>
        <v>0</v>
      </c>
      <c r="K25" s="506" t="s">
        <v>363</v>
      </c>
      <c r="L25" s="505">
        <f>Sheet1!Q452</f>
        <v>0</v>
      </c>
      <c r="M25" s="504"/>
      <c r="N25" s="502"/>
    </row>
    <row r="26" spans="1:15" ht="15.75" customHeight="1">
      <c r="A26" s="500" t="s">
        <v>739</v>
      </c>
      <c r="B26" s="500"/>
      <c r="C26" s="500"/>
      <c r="D26" s="500"/>
      <c r="E26" s="500"/>
      <c r="F26" s="500"/>
      <c r="G26" s="500"/>
      <c r="H26" s="500"/>
      <c r="I26" s="500"/>
      <c r="J26" s="500"/>
      <c r="K26" s="500"/>
      <c r="L26" s="500"/>
      <c r="M26" s="500"/>
      <c r="N26" s="501"/>
    </row>
    <row r="27" spans="1:15" ht="15.75" customHeight="1">
      <c r="A27" s="500" t="s">
        <v>740</v>
      </c>
      <c r="B27" s="500"/>
      <c r="C27" s="500"/>
      <c r="D27" s="500"/>
      <c r="E27" s="500"/>
      <c r="F27" s="500"/>
      <c r="G27" s="500"/>
      <c r="H27" s="500"/>
      <c r="I27" s="500"/>
      <c r="J27" s="500"/>
      <c r="K27" s="500"/>
      <c r="L27" s="500"/>
      <c r="M27" s="500"/>
      <c r="N27" s="501"/>
    </row>
    <row r="28" spans="1:15" ht="15.75" customHeight="1">
      <c r="A28" s="500" t="s">
        <v>741</v>
      </c>
      <c r="B28" s="500"/>
      <c r="C28" s="500"/>
      <c r="D28" s="500"/>
      <c r="E28" s="500"/>
      <c r="F28" s="506"/>
      <c r="G28" s="510"/>
      <c r="H28" s="511"/>
      <c r="I28" s="510"/>
      <c r="J28" s="500"/>
      <c r="K28" s="500"/>
      <c r="L28" s="500"/>
      <c r="M28" s="500"/>
      <c r="N28" s="501"/>
    </row>
    <row r="29" spans="1:15" ht="15.75" customHeight="1">
      <c r="A29" s="500"/>
      <c r="B29" s="500"/>
      <c r="C29" s="503" t="s">
        <v>395</v>
      </c>
      <c r="D29" s="500"/>
      <c r="E29" s="500"/>
      <c r="F29" s="506" t="s">
        <v>285</v>
      </c>
      <c r="G29" s="791" t="str">
        <f>Sheet1!T461</f>
        <v/>
      </c>
      <c r="H29" s="506" t="s">
        <v>286</v>
      </c>
      <c r="I29" s="791" t="str">
        <f>Sheet1!T462</f>
        <v/>
      </c>
      <c r="J29" s="500"/>
      <c r="K29" s="500"/>
      <c r="L29" s="500"/>
      <c r="M29" s="500"/>
      <c r="N29" s="509"/>
    </row>
    <row r="30" spans="1:15" ht="15.75" customHeight="1">
      <c r="A30" s="500"/>
      <c r="B30" s="500"/>
      <c r="C30" s="503" t="s">
        <v>544</v>
      </c>
      <c r="D30" s="500"/>
      <c r="E30" s="500"/>
      <c r="F30" s="500"/>
      <c r="G30" s="500"/>
      <c r="H30" s="500"/>
      <c r="I30" s="500"/>
      <c r="J30" s="500"/>
      <c r="K30" s="500"/>
      <c r="L30" s="500"/>
      <c r="M30" s="500"/>
      <c r="N30" s="501"/>
    </row>
    <row r="31" spans="1:15" ht="15.75" customHeight="1">
      <c r="A31" s="500"/>
      <c r="B31" s="500"/>
      <c r="C31" s="503" t="s">
        <v>396</v>
      </c>
      <c r="D31" s="500"/>
      <c r="E31" s="500"/>
      <c r="F31" s="500"/>
      <c r="G31" s="500"/>
      <c r="H31" s="500"/>
      <c r="I31" s="500"/>
      <c r="J31" s="500"/>
      <c r="K31" s="500"/>
      <c r="L31" s="500"/>
      <c r="M31" s="500"/>
      <c r="N31" s="501"/>
    </row>
    <row r="32" spans="1:15" ht="15.75" customHeight="1">
      <c r="A32" s="500" t="s">
        <v>742</v>
      </c>
      <c r="B32" s="500"/>
      <c r="C32" s="500"/>
      <c r="D32" s="500"/>
      <c r="E32" s="500"/>
      <c r="F32" s="500"/>
      <c r="G32" s="500"/>
      <c r="H32" s="500"/>
      <c r="I32" s="500"/>
      <c r="J32" s="500"/>
      <c r="K32" s="500"/>
      <c r="L32" s="500"/>
      <c r="M32" s="500"/>
      <c r="N32" s="501"/>
    </row>
    <row r="33" spans="1:14" ht="15.75" customHeight="1">
      <c r="A33" s="500"/>
      <c r="B33" s="500"/>
      <c r="C33" s="503" t="s">
        <v>541</v>
      </c>
      <c r="D33" s="503"/>
      <c r="E33" s="503"/>
      <c r="F33" s="500"/>
      <c r="G33" s="500"/>
      <c r="H33" s="500"/>
      <c r="I33" s="500"/>
      <c r="J33" s="500"/>
      <c r="K33" s="500"/>
      <c r="L33" s="791" t="e">
        <f>MGD</f>
        <v>#N/A</v>
      </c>
      <c r="M33" s="503" t="s">
        <v>341</v>
      </c>
      <c r="N33" s="502"/>
    </row>
    <row r="34" spans="1:14" ht="15.75" customHeight="1">
      <c r="A34" s="500" t="s">
        <v>743</v>
      </c>
      <c r="B34" s="500"/>
      <c r="C34" s="500"/>
      <c r="D34" s="500"/>
      <c r="E34" s="500"/>
      <c r="F34" s="500"/>
      <c r="G34" s="500"/>
      <c r="H34" s="500"/>
      <c r="I34" s="500"/>
      <c r="J34" s="500"/>
      <c r="K34" s="500"/>
      <c r="L34" s="500"/>
      <c r="M34" s="500"/>
      <c r="N34" s="501"/>
    </row>
    <row r="35" spans="1:14" ht="15.75" customHeight="1">
      <c r="A35" s="500" t="s">
        <v>744</v>
      </c>
      <c r="B35" s="500"/>
      <c r="C35" s="500"/>
      <c r="D35" s="500"/>
      <c r="E35" s="500"/>
      <c r="F35" s="500"/>
      <c r="G35" s="500"/>
      <c r="H35" s="500"/>
      <c r="I35" s="500"/>
      <c r="J35" s="500"/>
      <c r="K35" s="500"/>
      <c r="L35" s="500"/>
      <c r="M35" s="500"/>
      <c r="N35" s="501" t="str">
        <f>Sheet1!X221</f>
        <v/>
      </c>
    </row>
    <row r="36" spans="1:14" ht="15.75" customHeight="1">
      <c r="A36" s="500" t="s">
        <v>745</v>
      </c>
      <c r="B36" s="500"/>
      <c r="C36" s="500"/>
      <c r="D36" s="500"/>
      <c r="E36" s="500"/>
      <c r="F36" s="500"/>
      <c r="G36" s="500"/>
      <c r="H36" s="500"/>
      <c r="I36" s="500"/>
      <c r="J36" s="500"/>
      <c r="K36" s="500"/>
      <c r="L36" s="500"/>
      <c r="M36" s="500"/>
      <c r="N36" s="501"/>
    </row>
    <row r="37" spans="1:14" ht="15.75" customHeight="1">
      <c r="A37" s="500" t="s">
        <v>746</v>
      </c>
      <c r="B37" s="500"/>
      <c r="C37" s="500"/>
      <c r="D37" s="500"/>
      <c r="E37" s="500"/>
      <c r="F37" s="500"/>
      <c r="G37" s="500"/>
      <c r="H37" s="500"/>
      <c r="I37" s="500"/>
      <c r="J37" s="500"/>
      <c r="K37" s="500"/>
      <c r="L37" s="500"/>
      <c r="M37" s="500"/>
      <c r="N37" s="501"/>
    </row>
    <row r="38" spans="1:14" ht="15.75" customHeight="1">
      <c r="A38" s="500" t="s">
        <v>747</v>
      </c>
      <c r="B38" s="500"/>
      <c r="C38" s="500"/>
      <c r="D38" s="500"/>
      <c r="E38" s="500"/>
      <c r="F38" s="500"/>
      <c r="G38" s="500"/>
      <c r="H38" s="500"/>
      <c r="I38" s="500"/>
      <c r="J38" s="500"/>
      <c r="K38" s="500"/>
      <c r="L38" s="500"/>
      <c r="M38" s="500"/>
      <c r="N38" s="501"/>
    </row>
    <row r="39" spans="1:14" ht="15.75" customHeight="1">
      <c r="A39" s="500" t="s">
        <v>748</v>
      </c>
      <c r="B39" s="500"/>
      <c r="C39" s="500"/>
      <c r="D39" s="500"/>
      <c r="E39" s="500"/>
      <c r="F39" s="500"/>
      <c r="G39" s="500"/>
      <c r="H39" s="500"/>
      <c r="I39" s="500"/>
      <c r="J39" s="500"/>
      <c r="K39" s="500"/>
      <c r="L39" s="500"/>
      <c r="M39" s="500"/>
      <c r="N39" s="501"/>
    </row>
    <row r="40" spans="1:14" ht="15.75" customHeight="1">
      <c r="A40" s="500" t="s">
        <v>749</v>
      </c>
      <c r="B40" s="500"/>
      <c r="C40" s="500"/>
      <c r="D40" s="500"/>
      <c r="E40" s="500"/>
      <c r="F40" s="500"/>
      <c r="G40" s="500"/>
      <c r="H40" s="500"/>
      <c r="I40" s="500"/>
      <c r="J40" s="500"/>
      <c r="K40" s="500"/>
      <c r="L40" s="500"/>
      <c r="M40" s="500"/>
      <c r="N40" s="501"/>
    </row>
    <row r="41" spans="1:14" ht="15.75" customHeight="1">
      <c r="A41" s="500" t="s">
        <v>750</v>
      </c>
      <c r="B41" s="500"/>
      <c r="C41" s="500"/>
      <c r="D41" s="500"/>
      <c r="E41" s="500"/>
      <c r="F41" s="500"/>
      <c r="G41" s="500"/>
      <c r="H41" s="500"/>
      <c r="I41" s="500"/>
      <c r="J41" s="500"/>
      <c r="K41" s="500"/>
      <c r="L41" s="500"/>
      <c r="M41" s="500"/>
      <c r="N41" s="501"/>
    </row>
    <row r="42" spans="1:14" ht="15.75" customHeight="1">
      <c r="A42" s="500" t="s">
        <v>751</v>
      </c>
      <c r="B42" s="500"/>
      <c r="C42" s="500"/>
      <c r="D42" s="500"/>
      <c r="E42" s="500"/>
      <c r="F42" s="500"/>
      <c r="G42" s="500"/>
      <c r="H42" s="500"/>
      <c r="I42" s="500"/>
      <c r="J42" s="500"/>
      <c r="K42" s="500"/>
      <c r="L42" s="500"/>
      <c r="M42" s="500"/>
      <c r="N42" s="501"/>
    </row>
    <row r="43" spans="1:14" ht="15.75" customHeight="1">
      <c r="A43" s="500" t="s">
        <v>752</v>
      </c>
      <c r="B43" s="500"/>
      <c r="C43" s="500"/>
      <c r="D43" s="500"/>
      <c r="E43" s="500"/>
      <c r="F43" s="500"/>
      <c r="G43" s="500"/>
      <c r="H43" s="500"/>
      <c r="I43" s="500"/>
      <c r="J43" s="500"/>
      <c r="K43" s="500"/>
      <c r="L43" s="500"/>
      <c r="M43" s="500"/>
      <c r="N43" s="501"/>
    </row>
    <row r="44" spans="1:14" ht="15.75" customHeight="1">
      <c r="A44" s="500" t="s">
        <v>753</v>
      </c>
      <c r="B44" s="500"/>
      <c r="C44" s="500"/>
      <c r="D44" s="500"/>
      <c r="E44" s="500"/>
      <c r="F44" s="500"/>
      <c r="G44" s="500"/>
      <c r="H44" s="500"/>
      <c r="I44" s="500"/>
      <c r="J44" s="500"/>
      <c r="K44" s="500"/>
      <c r="L44" s="500"/>
      <c r="M44" s="500"/>
      <c r="N44" s="501"/>
    </row>
    <row r="45" spans="1:14" ht="15.75" customHeight="1">
      <c r="A45" s="500" t="s">
        <v>754</v>
      </c>
      <c r="B45" s="500"/>
      <c r="C45" s="500"/>
      <c r="D45" s="500"/>
      <c r="E45" s="500"/>
      <c r="F45" s="500"/>
      <c r="G45" s="500"/>
      <c r="H45" s="500"/>
      <c r="I45" s="500"/>
      <c r="J45" s="500"/>
      <c r="K45" s="500"/>
      <c r="L45" s="500"/>
      <c r="M45" s="500"/>
      <c r="N45" s="501"/>
    </row>
    <row r="46" spans="1:14" ht="15.75" customHeight="1">
      <c r="A46" s="500" t="s">
        <v>755</v>
      </c>
      <c r="B46" s="500"/>
      <c r="C46" s="500"/>
      <c r="D46" s="500"/>
      <c r="E46" s="500"/>
      <c r="F46" s="500"/>
      <c r="G46" s="500"/>
      <c r="H46" s="500"/>
      <c r="I46" s="500"/>
      <c r="J46" s="500"/>
      <c r="K46" s="500"/>
      <c r="L46" s="500"/>
      <c r="M46" s="500"/>
      <c r="N46" s="501"/>
    </row>
    <row r="47" spans="1:14" ht="15.75" customHeight="1">
      <c r="A47" s="500"/>
      <c r="B47" s="500"/>
      <c r="C47" s="503" t="s">
        <v>756</v>
      </c>
      <c r="D47" s="500"/>
      <c r="E47" s="500"/>
      <c r="F47" s="500"/>
      <c r="G47" s="500"/>
      <c r="H47" s="500"/>
      <c r="I47" s="500"/>
      <c r="J47" s="500"/>
      <c r="K47" s="500"/>
      <c r="L47" s="500"/>
      <c r="M47" s="500"/>
    </row>
    <row r="48" spans="1:14" ht="15.75" customHeight="1">
      <c r="A48" s="502"/>
      <c r="B48" s="502"/>
      <c r="C48" s="507" t="s">
        <v>397</v>
      </c>
      <c r="D48" s="503"/>
      <c r="E48" s="503"/>
      <c r="F48" s="506"/>
      <c r="G48" s="506" t="s">
        <v>361</v>
      </c>
      <c r="H48" s="505">
        <f>Sheet1!S450</f>
        <v>0</v>
      </c>
      <c r="I48" s="506" t="s">
        <v>362</v>
      </c>
      <c r="J48" s="505">
        <f>Sheet1!S451</f>
        <v>0</v>
      </c>
      <c r="K48" s="506" t="s">
        <v>363</v>
      </c>
      <c r="L48" s="505">
        <f>Sheet1!S452</f>
        <v>0</v>
      </c>
      <c r="M48" s="504"/>
      <c r="N48" s="502"/>
    </row>
    <row r="49" spans="1:14" ht="15.75" customHeight="1">
      <c r="A49" s="500" t="s">
        <v>757</v>
      </c>
      <c r="B49" s="500"/>
      <c r="C49" s="500"/>
      <c r="D49" s="500"/>
      <c r="E49" s="500"/>
      <c r="F49" s="500"/>
      <c r="G49" s="500"/>
      <c r="H49" s="500"/>
      <c r="I49" s="500"/>
      <c r="J49" s="500"/>
      <c r="K49" s="500"/>
      <c r="L49" s="500"/>
      <c r="M49" s="500"/>
      <c r="N49" s="501"/>
    </row>
    <row r="50" spans="1:14" ht="15.75" customHeight="1">
      <c r="A50" s="500" t="s">
        <v>758</v>
      </c>
      <c r="B50" s="500"/>
      <c r="C50" s="500"/>
      <c r="D50" s="500"/>
      <c r="E50" s="500"/>
      <c r="F50" s="500"/>
      <c r="G50" s="500"/>
      <c r="H50" s="500"/>
      <c r="I50" s="500"/>
      <c r="J50" s="500"/>
      <c r="K50" s="500"/>
      <c r="L50" s="500"/>
      <c r="M50" s="500"/>
      <c r="N50" s="501"/>
    </row>
    <row r="51" spans="1:14" ht="15.75" customHeight="1">
      <c r="A51" s="500"/>
      <c r="B51" s="500"/>
      <c r="C51" s="500"/>
      <c r="D51" s="500"/>
      <c r="E51" s="500"/>
      <c r="F51" s="500"/>
      <c r="G51" s="500"/>
      <c r="H51" s="500"/>
      <c r="I51" s="500"/>
      <c r="J51" s="500"/>
      <c r="K51" s="500"/>
      <c r="L51" s="500"/>
      <c r="M51" s="500"/>
    </row>
    <row r="52" spans="1:14" ht="15.75" customHeight="1">
      <c r="A52" s="919" t="s">
        <v>540</v>
      </c>
      <c r="B52" s="919"/>
      <c r="C52" s="919"/>
      <c r="D52" s="919"/>
      <c r="E52" s="919"/>
      <c r="F52" s="919"/>
      <c r="G52" s="919"/>
      <c r="H52" s="919"/>
      <c r="I52" s="919"/>
      <c r="J52" s="919"/>
      <c r="K52" s="919"/>
      <c r="L52" s="919"/>
      <c r="M52" s="919"/>
      <c r="N52" s="919"/>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27" priority="13" stopIfTrue="1" operator="equal">
      <formula>"Fail"</formula>
    </cfRule>
  </conditionalFormatting>
  <conditionalFormatting sqref="N26:N38">
    <cfRule type="cellIs" dxfId="126" priority="12" stopIfTrue="1" operator="equal">
      <formula>"Fail"</formula>
    </cfRule>
  </conditionalFormatting>
  <conditionalFormatting sqref="N40">
    <cfRule type="cellIs" dxfId="125" priority="11" stopIfTrue="1" operator="equal">
      <formula>"Fail"</formula>
    </cfRule>
  </conditionalFormatting>
  <conditionalFormatting sqref="N35:N38">
    <cfRule type="cellIs" dxfId="124" priority="10" stopIfTrue="1" operator="equal">
      <formula>"Fail"</formula>
    </cfRule>
  </conditionalFormatting>
  <conditionalFormatting sqref="N30">
    <cfRule type="cellIs" dxfId="123" priority="9" stopIfTrue="1" operator="equal">
      <formula>"Fail"</formula>
    </cfRule>
  </conditionalFormatting>
  <conditionalFormatting sqref="N25:N38">
    <cfRule type="cellIs" dxfId="122" priority="8" stopIfTrue="1" operator="equal">
      <formula>"Fail"</formula>
    </cfRule>
  </conditionalFormatting>
  <conditionalFormatting sqref="N39">
    <cfRule type="cellIs" dxfId="121" priority="7" stopIfTrue="1" operator="equal">
      <formula>"Fail"</formula>
    </cfRule>
  </conditionalFormatting>
  <conditionalFormatting sqref="N45">
    <cfRule type="cellIs" dxfId="120" priority="4" stopIfTrue="1" operator="equal">
      <formula>"Fail"</formula>
    </cfRule>
  </conditionalFormatting>
  <conditionalFormatting sqref="N22">
    <cfRule type="cellIs" dxfId="119" priority="2" stopIfTrue="1" operator="equal">
      <formula>"Fail"</formula>
    </cfRule>
  </conditionalFormatting>
  <conditionalFormatting sqref="N43">
    <cfRule type="cellIs" dxfId="118" priority="6" stopIfTrue="1" operator="equal">
      <formula>"Fail"</formula>
    </cfRule>
  </conditionalFormatting>
  <conditionalFormatting sqref="N44">
    <cfRule type="cellIs" dxfId="117" priority="5" stopIfTrue="1" operator="equal">
      <formula>"Fail"</formula>
    </cfRule>
  </conditionalFormatting>
  <conditionalFormatting sqref="N49">
    <cfRule type="cellIs" dxfId="116" priority="1" stopIfTrue="1" operator="equal">
      <formula>"Fail"</formula>
    </cfRule>
  </conditionalFormatting>
  <conditionalFormatting sqref="N46">
    <cfRule type="cellIs" dxfId="115"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498" customWidth="1"/>
    <col min="2" max="2" width="19.125" style="498" customWidth="1"/>
    <col min="3" max="4" width="8.625" style="498" customWidth="1"/>
    <col min="5" max="5" width="9" style="498" customWidth="1"/>
    <col min="6" max="6" width="3.25" style="498" customWidth="1"/>
    <col min="7" max="7" width="13.75" style="498" customWidth="1"/>
    <col min="8" max="8" width="8.5" style="498" customWidth="1"/>
    <col min="9" max="9" width="9.5" style="498" customWidth="1"/>
    <col min="10" max="10" width="8.375" style="498" customWidth="1"/>
    <col min="11" max="11" width="8.625" style="498" customWidth="1"/>
    <col min="12" max="16384" width="9" style="498"/>
  </cols>
  <sheetData>
    <row r="1" spans="1:12" ht="27" customHeight="1">
      <c r="A1" s="929" t="s">
        <v>373</v>
      </c>
      <c r="B1" s="929"/>
      <c r="C1" s="929"/>
      <c r="D1" s="929"/>
      <c r="E1" s="929"/>
      <c r="F1" s="929"/>
      <c r="G1" s="929"/>
      <c r="H1" s="929"/>
      <c r="I1" s="929"/>
      <c r="J1" s="929"/>
      <c r="K1" s="929"/>
    </row>
    <row r="2" spans="1:12" ht="18" customHeight="1">
      <c r="A2" s="560" t="s">
        <v>398</v>
      </c>
      <c r="B2" s="559"/>
      <c r="C2" s="559"/>
      <c r="D2" s="559"/>
      <c r="E2" s="559"/>
      <c r="F2" s="559"/>
      <c r="G2" s="559"/>
      <c r="H2" s="559"/>
      <c r="I2" s="559"/>
      <c r="J2" s="559"/>
      <c r="K2" s="559"/>
    </row>
    <row r="3" spans="1:12" ht="15.75" customHeight="1"/>
    <row r="4" spans="1:12" ht="24" customHeight="1">
      <c r="A4" s="558" t="s">
        <v>399</v>
      </c>
      <c r="B4" s="557"/>
      <c r="C4" s="555"/>
      <c r="D4" s="555"/>
      <c r="E4" s="555"/>
      <c r="F4" s="555"/>
      <c r="G4" s="555"/>
      <c r="H4" s="555"/>
      <c r="I4" s="555"/>
      <c r="J4" s="556"/>
      <c r="K4" s="555"/>
    </row>
    <row r="5" spans="1:12" ht="42" customHeight="1">
      <c r="A5" s="930" t="s">
        <v>552</v>
      </c>
      <c r="B5" s="930"/>
      <c r="C5" s="930"/>
      <c r="D5" s="930"/>
      <c r="E5" s="930"/>
      <c r="F5" s="930"/>
      <c r="G5" s="930"/>
      <c r="H5" s="930"/>
      <c r="I5" s="930"/>
      <c r="J5" s="930"/>
      <c r="K5" s="930"/>
    </row>
    <row r="6" spans="1:12" ht="15" customHeight="1">
      <c r="A6" s="554" t="s">
        <v>551</v>
      </c>
      <c r="B6" s="553"/>
      <c r="C6" s="553"/>
      <c r="D6" s="553"/>
      <c r="E6" s="553"/>
      <c r="F6" s="553"/>
      <c r="G6" s="553"/>
      <c r="H6" s="553"/>
      <c r="I6" s="552"/>
      <c r="J6" s="551"/>
      <c r="K6" s="551"/>
    </row>
    <row r="7" spans="1:12" ht="15" customHeight="1">
      <c r="A7" s="550" t="s">
        <v>550</v>
      </c>
      <c r="B7" s="549"/>
      <c r="C7" s="549"/>
      <c r="D7" s="549"/>
      <c r="E7" s="549"/>
      <c r="F7" s="549"/>
      <c r="G7" s="549"/>
      <c r="H7" s="549"/>
      <c r="I7" s="549"/>
      <c r="J7" s="549"/>
      <c r="K7" s="549"/>
    </row>
    <row r="8" spans="1:12" ht="15" customHeight="1">
      <c r="J8" s="931"/>
      <c r="K8" s="931"/>
    </row>
    <row r="9" spans="1:12" ht="15" customHeight="1">
      <c r="A9" s="535"/>
      <c r="E9" s="535"/>
      <c r="H9" s="778" t="s">
        <v>400</v>
      </c>
      <c r="I9" s="548"/>
      <c r="J9" s="932" t="s">
        <v>394</v>
      </c>
      <c r="K9" s="932"/>
    </row>
    <row r="10" spans="1:12" ht="15.75" customHeight="1">
      <c r="A10" s="547" t="s">
        <v>401</v>
      </c>
      <c r="B10" s="503" t="s">
        <v>402</v>
      </c>
      <c r="C10" s="502"/>
      <c r="E10" s="535"/>
      <c r="G10" s="792"/>
      <c r="H10" s="793"/>
      <c r="I10" s="793" t="s">
        <v>759</v>
      </c>
      <c r="J10" s="927"/>
      <c r="K10" s="928"/>
    </row>
    <row r="11" spans="1:12" ht="15.75" customHeight="1">
      <c r="A11" s="542" t="s">
        <v>403</v>
      </c>
      <c r="B11" s="503" t="s">
        <v>406</v>
      </c>
      <c r="C11" s="502"/>
      <c r="E11" s="535"/>
      <c r="H11" s="543" t="s">
        <v>407</v>
      </c>
      <c r="J11" s="927"/>
      <c r="K11" s="928"/>
    </row>
    <row r="12" spans="1:12" ht="15.75" customHeight="1">
      <c r="A12" s="547" t="s">
        <v>405</v>
      </c>
      <c r="B12" s="503" t="s">
        <v>409</v>
      </c>
      <c r="C12" s="502"/>
      <c r="E12" s="535"/>
      <c r="H12" s="543" t="s">
        <v>407</v>
      </c>
      <c r="J12" s="927"/>
      <c r="K12" s="928"/>
    </row>
    <row r="13" spans="1:12" ht="15.75" customHeight="1">
      <c r="A13" s="542" t="s">
        <v>408</v>
      </c>
      <c r="B13" s="503" t="s">
        <v>404</v>
      </c>
      <c r="C13" s="502"/>
      <c r="E13" s="535"/>
      <c r="H13" s="545"/>
      <c r="I13" s="545" t="s">
        <v>760</v>
      </c>
      <c r="J13" s="927"/>
      <c r="K13" s="928"/>
    </row>
    <row r="14" spans="1:12" ht="15.75" customHeight="1">
      <c r="A14" s="544" t="s">
        <v>410</v>
      </c>
      <c r="B14" s="503" t="s">
        <v>761</v>
      </c>
      <c r="C14" s="502"/>
      <c r="E14" s="535"/>
      <c r="H14" s="543" t="s">
        <v>411</v>
      </c>
      <c r="J14" s="927"/>
      <c r="K14" s="928"/>
      <c r="L14" s="535"/>
    </row>
    <row r="15" spans="1:12" ht="15.75" customHeight="1">
      <c r="A15" s="542" t="s">
        <v>412</v>
      </c>
      <c r="B15" s="503" t="s">
        <v>413</v>
      </c>
      <c r="C15" s="502"/>
      <c r="E15" s="535"/>
      <c r="H15" s="543" t="s">
        <v>414</v>
      </c>
      <c r="J15" s="927"/>
      <c r="K15" s="928"/>
      <c r="L15" s="535"/>
    </row>
    <row r="16" spans="1:12" ht="15.75" customHeight="1">
      <c r="A16" s="542" t="s">
        <v>415</v>
      </c>
      <c r="B16" s="503" t="s">
        <v>762</v>
      </c>
      <c r="C16" s="502"/>
      <c r="E16" s="535"/>
      <c r="H16" s="543" t="s">
        <v>763</v>
      </c>
      <c r="J16" s="779"/>
      <c r="K16" s="780"/>
      <c r="L16" s="535"/>
    </row>
    <row r="17" spans="1:12" ht="15.75" customHeight="1">
      <c r="A17" s="542" t="s">
        <v>417</v>
      </c>
      <c r="B17" s="503" t="s">
        <v>764</v>
      </c>
      <c r="C17" s="502"/>
      <c r="E17" s="535"/>
      <c r="H17" s="543" t="s">
        <v>416</v>
      </c>
      <c r="J17" s="927"/>
      <c r="K17" s="928"/>
      <c r="L17" s="535"/>
    </row>
    <row r="18" spans="1:12" ht="15.75" customHeight="1">
      <c r="A18" s="542" t="s">
        <v>765</v>
      </c>
      <c r="B18" s="541" t="s">
        <v>549</v>
      </c>
      <c r="C18" s="502"/>
      <c r="H18" s="540" t="s">
        <v>418</v>
      </c>
      <c r="I18" s="499"/>
      <c r="J18" s="927"/>
      <c r="K18" s="928"/>
      <c r="L18" s="539"/>
    </row>
    <row r="19" spans="1:12" ht="15.75" customHeight="1">
      <c r="A19" s="542" t="s">
        <v>766</v>
      </c>
      <c r="B19" s="541" t="s">
        <v>767</v>
      </c>
      <c r="C19" s="502"/>
      <c r="H19" s="546" t="s">
        <v>768</v>
      </c>
      <c r="I19" s="499"/>
      <c r="J19" s="927"/>
      <c r="K19" s="928"/>
      <c r="L19" s="539"/>
    </row>
    <row r="20" spans="1:12" ht="15.75" customHeight="1">
      <c r="A20" s="512"/>
      <c r="B20" s="538"/>
      <c r="E20" s="535"/>
      <c r="H20" s="537"/>
      <c r="J20" s="536"/>
      <c r="K20" s="536"/>
      <c r="L20" s="535"/>
    </row>
    <row r="21" spans="1:12" ht="24" customHeight="1">
      <c r="A21" s="933" t="s">
        <v>419</v>
      </c>
      <c r="B21" s="933"/>
      <c r="C21" s="933"/>
      <c r="D21" s="933"/>
      <c r="E21" s="933"/>
      <c r="F21" s="933"/>
      <c r="G21" s="933"/>
      <c r="H21" s="933"/>
      <c r="I21" s="933"/>
      <c r="J21" s="933"/>
      <c r="K21" s="933"/>
    </row>
    <row r="22" spans="1:12" ht="15" customHeight="1">
      <c r="A22" s="534"/>
      <c r="B22" s="533"/>
      <c r="C22" s="533"/>
      <c r="D22" s="533"/>
      <c r="E22" s="533"/>
      <c r="F22" s="533"/>
      <c r="G22" s="533"/>
      <c r="H22" s="533"/>
      <c r="I22" s="533"/>
      <c r="J22" s="533"/>
      <c r="K22" s="533"/>
    </row>
    <row r="23" spans="1:12" ht="290.25" customHeight="1">
      <c r="A23" s="934"/>
      <c r="B23" s="935"/>
      <c r="C23" s="935"/>
      <c r="D23" s="935"/>
      <c r="E23" s="935"/>
      <c r="F23" s="935"/>
      <c r="G23" s="935"/>
      <c r="H23" s="935"/>
      <c r="I23" s="935"/>
      <c r="J23" s="935"/>
      <c r="K23" s="936"/>
    </row>
    <row r="24" spans="1:12" ht="15" customHeight="1" thickBot="1">
      <c r="A24" s="937"/>
      <c r="B24" s="937"/>
      <c r="C24" s="937"/>
      <c r="D24" s="937"/>
      <c r="E24" s="937"/>
      <c r="F24" s="937"/>
      <c r="G24" s="937"/>
      <c r="H24" s="937"/>
      <c r="I24" s="937"/>
      <c r="J24" s="937"/>
      <c r="K24" s="937"/>
    </row>
    <row r="25" spans="1:12" ht="13.5" hidden="1" thickBot="1">
      <c r="A25" s="938"/>
      <c r="B25" s="938"/>
      <c r="C25" s="938"/>
      <c r="D25" s="938"/>
      <c r="E25" s="938"/>
      <c r="F25" s="938"/>
      <c r="G25" s="938"/>
      <c r="H25" s="938"/>
      <c r="I25" s="938"/>
      <c r="J25" s="938"/>
      <c r="K25" s="938"/>
    </row>
    <row r="26" spans="1:12" ht="13.5" hidden="1" thickBot="1">
      <c r="A26" s="938"/>
      <c r="B26" s="938"/>
      <c r="C26" s="938"/>
      <c r="D26" s="938"/>
      <c r="E26" s="938"/>
      <c r="F26" s="938"/>
      <c r="G26" s="938"/>
      <c r="H26" s="938"/>
      <c r="I26" s="938"/>
      <c r="J26" s="938"/>
      <c r="K26" s="938"/>
    </row>
    <row r="27" spans="1:12" ht="13.5" hidden="1" thickBot="1">
      <c r="A27" s="938"/>
      <c r="B27" s="938"/>
      <c r="C27" s="938"/>
      <c r="D27" s="938"/>
      <c r="E27" s="938"/>
      <c r="F27" s="938"/>
      <c r="G27" s="938"/>
      <c r="H27" s="938"/>
      <c r="I27" s="938"/>
      <c r="J27" s="938"/>
      <c r="K27" s="938"/>
    </row>
    <row r="28" spans="1:12" ht="13.5" hidden="1" thickBot="1">
      <c r="A28" s="938"/>
      <c r="B28" s="938"/>
      <c r="C28" s="938"/>
      <c r="D28" s="938"/>
      <c r="E28" s="938"/>
      <c r="F28" s="938"/>
      <c r="G28" s="938"/>
      <c r="H28" s="938"/>
      <c r="I28" s="938"/>
      <c r="J28" s="938"/>
      <c r="K28" s="938"/>
    </row>
    <row r="29" spans="1:12" ht="13.5" hidden="1" thickBot="1">
      <c r="A29" s="938"/>
      <c r="B29" s="938"/>
      <c r="C29" s="938"/>
      <c r="D29" s="938"/>
      <c r="E29" s="938"/>
      <c r="F29" s="938"/>
      <c r="G29" s="938"/>
      <c r="H29" s="938"/>
      <c r="I29" s="938"/>
      <c r="J29" s="938"/>
      <c r="K29" s="938"/>
    </row>
    <row r="30" spans="1:12" ht="13.5" hidden="1" thickBot="1">
      <c r="A30" s="938"/>
      <c r="B30" s="938"/>
      <c r="C30" s="938"/>
      <c r="D30" s="938"/>
      <c r="E30" s="938"/>
      <c r="F30" s="938"/>
      <c r="G30" s="938"/>
      <c r="H30" s="938"/>
      <c r="I30" s="938"/>
      <c r="J30" s="938"/>
      <c r="K30" s="938"/>
    </row>
    <row r="31" spans="1:12" ht="201.75" customHeight="1" thickBot="1">
      <c r="A31" s="939" t="s">
        <v>548</v>
      </c>
      <c r="B31" s="940"/>
      <c r="C31" s="940"/>
      <c r="D31" s="940"/>
      <c r="E31" s="940"/>
      <c r="F31" s="940"/>
      <c r="G31" s="940"/>
      <c r="H31" s="940"/>
      <c r="I31" s="940"/>
      <c r="J31" s="940"/>
      <c r="K31" s="941"/>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14" priority="2" stopIfTrue="1" operator="equal">
      <formula>"Fail"</formula>
    </cfRule>
  </conditionalFormatting>
  <conditionalFormatting sqref="J19:K19">
    <cfRule type="cellIs" dxfId="113"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8" customWidth="1"/>
    <col min="2" max="2" width="6.5" style="498" customWidth="1"/>
    <col min="3" max="3" width="36.25" style="498" customWidth="1"/>
    <col min="4" max="4" width="9.875" style="498" customWidth="1"/>
    <col min="5" max="5" width="15.5" style="498" customWidth="1"/>
    <col min="6" max="7" width="9" style="498"/>
    <col min="8" max="8" width="10.875" style="498" customWidth="1"/>
    <col min="9" max="256" width="9" style="498"/>
    <col min="257" max="257" width="13.5" style="498" customWidth="1"/>
    <col min="258" max="258" width="6.5" style="498" customWidth="1"/>
    <col min="259" max="259" width="36.25" style="498" customWidth="1"/>
    <col min="260" max="260" width="9.875" style="498" customWidth="1"/>
    <col min="261" max="261" width="15.5" style="498" customWidth="1"/>
    <col min="262" max="263" width="9" style="498"/>
    <col min="264" max="264" width="10.875" style="498" customWidth="1"/>
    <col min="265" max="512" width="9" style="498"/>
    <col min="513" max="513" width="13.5" style="498" customWidth="1"/>
    <col min="514" max="514" width="6.5" style="498" customWidth="1"/>
    <col min="515" max="515" width="36.25" style="498" customWidth="1"/>
    <col min="516" max="516" width="9.875" style="498" customWidth="1"/>
    <col min="517" max="517" width="15.5" style="498" customWidth="1"/>
    <col min="518" max="519" width="9" style="498"/>
    <col min="520" max="520" width="10.875" style="498" customWidth="1"/>
    <col min="521" max="768" width="9" style="498"/>
    <col min="769" max="769" width="13.5" style="498" customWidth="1"/>
    <col min="770" max="770" width="6.5" style="498" customWidth="1"/>
    <col min="771" max="771" width="36.25" style="498" customWidth="1"/>
    <col min="772" max="772" width="9.875" style="498" customWidth="1"/>
    <col min="773" max="773" width="15.5" style="498" customWidth="1"/>
    <col min="774" max="775" width="9" style="498"/>
    <col min="776" max="776" width="10.875" style="498" customWidth="1"/>
    <col min="777" max="1024" width="9" style="498"/>
    <col min="1025" max="1025" width="13.5" style="498" customWidth="1"/>
    <col min="1026" max="1026" width="6.5" style="498" customWidth="1"/>
    <col min="1027" max="1027" width="36.25" style="498" customWidth="1"/>
    <col min="1028" max="1028" width="9.875" style="498" customWidth="1"/>
    <col min="1029" max="1029" width="15.5" style="498" customWidth="1"/>
    <col min="1030" max="1031" width="9" style="498"/>
    <col min="1032" max="1032" width="10.875" style="498" customWidth="1"/>
    <col min="1033" max="1280" width="9" style="498"/>
    <col min="1281" max="1281" width="13.5" style="498" customWidth="1"/>
    <col min="1282" max="1282" width="6.5" style="498" customWidth="1"/>
    <col min="1283" max="1283" width="36.25" style="498" customWidth="1"/>
    <col min="1284" max="1284" width="9.875" style="498" customWidth="1"/>
    <col min="1285" max="1285" width="15.5" style="498" customWidth="1"/>
    <col min="1286" max="1287" width="9" style="498"/>
    <col min="1288" max="1288" width="10.875" style="498" customWidth="1"/>
    <col min="1289" max="1536" width="9" style="498"/>
    <col min="1537" max="1537" width="13.5" style="498" customWidth="1"/>
    <col min="1538" max="1538" width="6.5" style="498" customWidth="1"/>
    <col min="1539" max="1539" width="36.25" style="498" customWidth="1"/>
    <col min="1540" max="1540" width="9.875" style="498" customWidth="1"/>
    <col min="1541" max="1541" width="15.5" style="498" customWidth="1"/>
    <col min="1542" max="1543" width="9" style="498"/>
    <col min="1544" max="1544" width="10.875" style="498" customWidth="1"/>
    <col min="1545" max="1792" width="9" style="498"/>
    <col min="1793" max="1793" width="13.5" style="498" customWidth="1"/>
    <col min="1794" max="1794" width="6.5" style="498" customWidth="1"/>
    <col min="1795" max="1795" width="36.25" style="498" customWidth="1"/>
    <col min="1796" max="1796" width="9.875" style="498" customWidth="1"/>
    <col min="1797" max="1797" width="15.5" style="498" customWidth="1"/>
    <col min="1798" max="1799" width="9" style="498"/>
    <col min="1800" max="1800" width="10.875" style="498" customWidth="1"/>
    <col min="1801" max="2048" width="9" style="498"/>
    <col min="2049" max="2049" width="13.5" style="498" customWidth="1"/>
    <col min="2050" max="2050" width="6.5" style="498" customWidth="1"/>
    <col min="2051" max="2051" width="36.25" style="498" customWidth="1"/>
    <col min="2052" max="2052" width="9.875" style="498" customWidth="1"/>
    <col min="2053" max="2053" width="15.5" style="498" customWidth="1"/>
    <col min="2054" max="2055" width="9" style="498"/>
    <col min="2056" max="2056" width="10.875" style="498" customWidth="1"/>
    <col min="2057" max="2304" width="9" style="498"/>
    <col min="2305" max="2305" width="13.5" style="498" customWidth="1"/>
    <col min="2306" max="2306" width="6.5" style="498" customWidth="1"/>
    <col min="2307" max="2307" width="36.25" style="498" customWidth="1"/>
    <col min="2308" max="2308" width="9.875" style="498" customWidth="1"/>
    <col min="2309" max="2309" width="15.5" style="498" customWidth="1"/>
    <col min="2310" max="2311" width="9" style="498"/>
    <col min="2312" max="2312" width="10.875" style="498" customWidth="1"/>
    <col min="2313" max="2560" width="9" style="498"/>
    <col min="2561" max="2561" width="13.5" style="498" customWidth="1"/>
    <col min="2562" max="2562" width="6.5" style="498" customWidth="1"/>
    <col min="2563" max="2563" width="36.25" style="498" customWidth="1"/>
    <col min="2564" max="2564" width="9.875" style="498" customWidth="1"/>
    <col min="2565" max="2565" width="15.5" style="498" customWidth="1"/>
    <col min="2566" max="2567" width="9" style="498"/>
    <col min="2568" max="2568" width="10.875" style="498" customWidth="1"/>
    <col min="2569" max="2816" width="9" style="498"/>
    <col min="2817" max="2817" width="13.5" style="498" customWidth="1"/>
    <col min="2818" max="2818" width="6.5" style="498" customWidth="1"/>
    <col min="2819" max="2819" width="36.25" style="498" customWidth="1"/>
    <col min="2820" max="2820" width="9.875" style="498" customWidth="1"/>
    <col min="2821" max="2821" width="15.5" style="498" customWidth="1"/>
    <col min="2822" max="2823" width="9" style="498"/>
    <col min="2824" max="2824" width="10.875" style="498" customWidth="1"/>
    <col min="2825" max="3072" width="9" style="498"/>
    <col min="3073" max="3073" width="13.5" style="498" customWidth="1"/>
    <col min="3074" max="3074" width="6.5" style="498" customWidth="1"/>
    <col min="3075" max="3075" width="36.25" style="498" customWidth="1"/>
    <col min="3076" max="3076" width="9.875" style="498" customWidth="1"/>
    <col min="3077" max="3077" width="15.5" style="498" customWidth="1"/>
    <col min="3078" max="3079" width="9" style="498"/>
    <col min="3080" max="3080" width="10.875" style="498" customWidth="1"/>
    <col min="3081" max="3328" width="9" style="498"/>
    <col min="3329" max="3329" width="13.5" style="498" customWidth="1"/>
    <col min="3330" max="3330" width="6.5" style="498" customWidth="1"/>
    <col min="3331" max="3331" width="36.25" style="498" customWidth="1"/>
    <col min="3332" max="3332" width="9.875" style="498" customWidth="1"/>
    <col min="3333" max="3333" width="15.5" style="498" customWidth="1"/>
    <col min="3334" max="3335" width="9" style="498"/>
    <col min="3336" max="3336" width="10.875" style="498" customWidth="1"/>
    <col min="3337" max="3584" width="9" style="498"/>
    <col min="3585" max="3585" width="13.5" style="498" customWidth="1"/>
    <col min="3586" max="3586" width="6.5" style="498" customWidth="1"/>
    <col min="3587" max="3587" width="36.25" style="498" customWidth="1"/>
    <col min="3588" max="3588" width="9.875" style="498" customWidth="1"/>
    <col min="3589" max="3589" width="15.5" style="498" customWidth="1"/>
    <col min="3590" max="3591" width="9" style="498"/>
    <col min="3592" max="3592" width="10.875" style="498" customWidth="1"/>
    <col min="3593" max="3840" width="9" style="498"/>
    <col min="3841" max="3841" width="13.5" style="498" customWidth="1"/>
    <col min="3842" max="3842" width="6.5" style="498" customWidth="1"/>
    <col min="3843" max="3843" width="36.25" style="498" customWidth="1"/>
    <col min="3844" max="3844" width="9.875" style="498" customWidth="1"/>
    <col min="3845" max="3845" width="15.5" style="498" customWidth="1"/>
    <col min="3846" max="3847" width="9" style="498"/>
    <col min="3848" max="3848" width="10.875" style="498" customWidth="1"/>
    <col min="3849" max="4096" width="9" style="498"/>
    <col min="4097" max="4097" width="13.5" style="498" customWidth="1"/>
    <col min="4098" max="4098" width="6.5" style="498" customWidth="1"/>
    <col min="4099" max="4099" width="36.25" style="498" customWidth="1"/>
    <col min="4100" max="4100" width="9.875" style="498" customWidth="1"/>
    <col min="4101" max="4101" width="15.5" style="498" customWidth="1"/>
    <col min="4102" max="4103" width="9" style="498"/>
    <col min="4104" max="4104" width="10.875" style="498" customWidth="1"/>
    <col min="4105" max="4352" width="9" style="498"/>
    <col min="4353" max="4353" width="13.5" style="498" customWidth="1"/>
    <col min="4354" max="4354" width="6.5" style="498" customWidth="1"/>
    <col min="4355" max="4355" width="36.25" style="498" customWidth="1"/>
    <col min="4356" max="4356" width="9.875" style="498" customWidth="1"/>
    <col min="4357" max="4357" width="15.5" style="498" customWidth="1"/>
    <col min="4358" max="4359" width="9" style="498"/>
    <col min="4360" max="4360" width="10.875" style="498" customWidth="1"/>
    <col min="4361" max="4608" width="9" style="498"/>
    <col min="4609" max="4609" width="13.5" style="498" customWidth="1"/>
    <col min="4610" max="4610" width="6.5" style="498" customWidth="1"/>
    <col min="4611" max="4611" width="36.25" style="498" customWidth="1"/>
    <col min="4612" max="4612" width="9.875" style="498" customWidth="1"/>
    <col min="4613" max="4613" width="15.5" style="498" customWidth="1"/>
    <col min="4614" max="4615" width="9" style="498"/>
    <col min="4616" max="4616" width="10.875" style="498" customWidth="1"/>
    <col min="4617" max="4864" width="9" style="498"/>
    <col min="4865" max="4865" width="13.5" style="498" customWidth="1"/>
    <col min="4866" max="4866" width="6.5" style="498" customWidth="1"/>
    <col min="4867" max="4867" width="36.25" style="498" customWidth="1"/>
    <col min="4868" max="4868" width="9.875" style="498" customWidth="1"/>
    <col min="4869" max="4869" width="15.5" style="498" customWidth="1"/>
    <col min="4870" max="4871" width="9" style="498"/>
    <col min="4872" max="4872" width="10.875" style="498" customWidth="1"/>
    <col min="4873" max="5120" width="9" style="498"/>
    <col min="5121" max="5121" width="13.5" style="498" customWidth="1"/>
    <col min="5122" max="5122" width="6.5" style="498" customWidth="1"/>
    <col min="5123" max="5123" width="36.25" style="498" customWidth="1"/>
    <col min="5124" max="5124" width="9.875" style="498" customWidth="1"/>
    <col min="5125" max="5125" width="15.5" style="498" customWidth="1"/>
    <col min="5126" max="5127" width="9" style="498"/>
    <col min="5128" max="5128" width="10.875" style="498" customWidth="1"/>
    <col min="5129" max="5376" width="9" style="498"/>
    <col min="5377" max="5377" width="13.5" style="498" customWidth="1"/>
    <col min="5378" max="5378" width="6.5" style="498" customWidth="1"/>
    <col min="5379" max="5379" width="36.25" style="498" customWidth="1"/>
    <col min="5380" max="5380" width="9.875" style="498" customWidth="1"/>
    <col min="5381" max="5381" width="15.5" style="498" customWidth="1"/>
    <col min="5382" max="5383" width="9" style="498"/>
    <col min="5384" max="5384" width="10.875" style="498" customWidth="1"/>
    <col min="5385" max="5632" width="9" style="498"/>
    <col min="5633" max="5633" width="13.5" style="498" customWidth="1"/>
    <col min="5634" max="5634" width="6.5" style="498" customWidth="1"/>
    <col min="5635" max="5635" width="36.25" style="498" customWidth="1"/>
    <col min="5636" max="5636" width="9.875" style="498" customWidth="1"/>
    <col min="5637" max="5637" width="15.5" style="498" customWidth="1"/>
    <col min="5638" max="5639" width="9" style="498"/>
    <col min="5640" max="5640" width="10.875" style="498" customWidth="1"/>
    <col min="5641" max="5888" width="9" style="498"/>
    <col min="5889" max="5889" width="13.5" style="498" customWidth="1"/>
    <col min="5890" max="5890" width="6.5" style="498" customWidth="1"/>
    <col min="5891" max="5891" width="36.25" style="498" customWidth="1"/>
    <col min="5892" max="5892" width="9.875" style="498" customWidth="1"/>
    <col min="5893" max="5893" width="15.5" style="498" customWidth="1"/>
    <col min="5894" max="5895" width="9" style="498"/>
    <col min="5896" max="5896" width="10.875" style="498" customWidth="1"/>
    <col min="5897" max="6144" width="9" style="498"/>
    <col min="6145" max="6145" width="13.5" style="498" customWidth="1"/>
    <col min="6146" max="6146" width="6.5" style="498" customWidth="1"/>
    <col min="6147" max="6147" width="36.25" style="498" customWidth="1"/>
    <col min="6148" max="6148" width="9.875" style="498" customWidth="1"/>
    <col min="6149" max="6149" width="15.5" style="498" customWidth="1"/>
    <col min="6150" max="6151" width="9" style="498"/>
    <col min="6152" max="6152" width="10.875" style="498" customWidth="1"/>
    <col min="6153" max="6400" width="9" style="498"/>
    <col min="6401" max="6401" width="13.5" style="498" customWidth="1"/>
    <col min="6402" max="6402" width="6.5" style="498" customWidth="1"/>
    <col min="6403" max="6403" width="36.25" style="498" customWidth="1"/>
    <col min="6404" max="6404" width="9.875" style="498" customWidth="1"/>
    <col min="6405" max="6405" width="15.5" style="498" customWidth="1"/>
    <col min="6406" max="6407" width="9" style="498"/>
    <col min="6408" max="6408" width="10.875" style="498" customWidth="1"/>
    <col min="6409" max="6656" width="9" style="498"/>
    <col min="6657" max="6657" width="13.5" style="498" customWidth="1"/>
    <col min="6658" max="6658" width="6.5" style="498" customWidth="1"/>
    <col min="6659" max="6659" width="36.25" style="498" customWidth="1"/>
    <col min="6660" max="6660" width="9.875" style="498" customWidth="1"/>
    <col min="6661" max="6661" width="15.5" style="498" customWidth="1"/>
    <col min="6662" max="6663" width="9" style="498"/>
    <col min="6664" max="6664" width="10.875" style="498" customWidth="1"/>
    <col min="6665" max="6912" width="9" style="498"/>
    <col min="6913" max="6913" width="13.5" style="498" customWidth="1"/>
    <col min="6914" max="6914" width="6.5" style="498" customWidth="1"/>
    <col min="6915" max="6915" width="36.25" style="498" customWidth="1"/>
    <col min="6916" max="6916" width="9.875" style="498" customWidth="1"/>
    <col min="6917" max="6917" width="15.5" style="498" customWidth="1"/>
    <col min="6918" max="6919" width="9" style="498"/>
    <col min="6920" max="6920" width="10.875" style="498" customWidth="1"/>
    <col min="6921" max="7168" width="9" style="498"/>
    <col min="7169" max="7169" width="13.5" style="498" customWidth="1"/>
    <col min="7170" max="7170" width="6.5" style="498" customWidth="1"/>
    <col min="7171" max="7171" width="36.25" style="498" customWidth="1"/>
    <col min="7172" max="7172" width="9.875" style="498" customWidth="1"/>
    <col min="7173" max="7173" width="15.5" style="498" customWidth="1"/>
    <col min="7174" max="7175" width="9" style="498"/>
    <col min="7176" max="7176" width="10.875" style="498" customWidth="1"/>
    <col min="7177" max="7424" width="9" style="498"/>
    <col min="7425" max="7425" width="13.5" style="498" customWidth="1"/>
    <col min="7426" max="7426" width="6.5" style="498" customWidth="1"/>
    <col min="7427" max="7427" width="36.25" style="498" customWidth="1"/>
    <col min="7428" max="7428" width="9.875" style="498" customWidth="1"/>
    <col min="7429" max="7429" width="15.5" style="498" customWidth="1"/>
    <col min="7430" max="7431" width="9" style="498"/>
    <col min="7432" max="7432" width="10.875" style="498" customWidth="1"/>
    <col min="7433" max="7680" width="9" style="498"/>
    <col min="7681" max="7681" width="13.5" style="498" customWidth="1"/>
    <col min="7682" max="7682" width="6.5" style="498" customWidth="1"/>
    <col min="7683" max="7683" width="36.25" style="498" customWidth="1"/>
    <col min="7684" max="7684" width="9.875" style="498" customWidth="1"/>
    <col min="7685" max="7685" width="15.5" style="498" customWidth="1"/>
    <col min="7686" max="7687" width="9" style="498"/>
    <col min="7688" max="7688" width="10.875" style="498" customWidth="1"/>
    <col min="7689" max="7936" width="9" style="498"/>
    <col min="7937" max="7937" width="13.5" style="498" customWidth="1"/>
    <col min="7938" max="7938" width="6.5" style="498" customWidth="1"/>
    <col min="7939" max="7939" width="36.25" style="498" customWidth="1"/>
    <col min="7940" max="7940" width="9.875" style="498" customWidth="1"/>
    <col min="7941" max="7941" width="15.5" style="498" customWidth="1"/>
    <col min="7942" max="7943" width="9" style="498"/>
    <col min="7944" max="7944" width="10.875" style="498" customWidth="1"/>
    <col min="7945" max="8192" width="9" style="498"/>
    <col min="8193" max="8193" width="13.5" style="498" customWidth="1"/>
    <col min="8194" max="8194" width="6.5" style="498" customWidth="1"/>
    <col min="8195" max="8195" width="36.25" style="498" customWidth="1"/>
    <col min="8196" max="8196" width="9.875" style="498" customWidth="1"/>
    <col min="8197" max="8197" width="15.5" style="498" customWidth="1"/>
    <col min="8198" max="8199" width="9" style="498"/>
    <col min="8200" max="8200" width="10.875" style="498" customWidth="1"/>
    <col min="8201" max="8448" width="9" style="498"/>
    <col min="8449" max="8449" width="13.5" style="498" customWidth="1"/>
    <col min="8450" max="8450" width="6.5" style="498" customWidth="1"/>
    <col min="8451" max="8451" width="36.25" style="498" customWidth="1"/>
    <col min="8452" max="8452" width="9.875" style="498" customWidth="1"/>
    <col min="8453" max="8453" width="15.5" style="498" customWidth="1"/>
    <col min="8454" max="8455" width="9" style="498"/>
    <col min="8456" max="8456" width="10.875" style="498" customWidth="1"/>
    <col min="8457" max="8704" width="9" style="498"/>
    <col min="8705" max="8705" width="13.5" style="498" customWidth="1"/>
    <col min="8706" max="8706" width="6.5" style="498" customWidth="1"/>
    <col min="8707" max="8707" width="36.25" style="498" customWidth="1"/>
    <col min="8708" max="8708" width="9.875" style="498" customWidth="1"/>
    <col min="8709" max="8709" width="15.5" style="498" customWidth="1"/>
    <col min="8710" max="8711" width="9" style="498"/>
    <col min="8712" max="8712" width="10.875" style="498" customWidth="1"/>
    <col min="8713" max="8960" width="9" style="498"/>
    <col min="8961" max="8961" width="13.5" style="498" customWidth="1"/>
    <col min="8962" max="8962" width="6.5" style="498" customWidth="1"/>
    <col min="8963" max="8963" width="36.25" style="498" customWidth="1"/>
    <col min="8964" max="8964" width="9.875" style="498" customWidth="1"/>
    <col min="8965" max="8965" width="15.5" style="498" customWidth="1"/>
    <col min="8966" max="8967" width="9" style="498"/>
    <col min="8968" max="8968" width="10.875" style="498" customWidth="1"/>
    <col min="8969" max="9216" width="9" style="498"/>
    <col min="9217" max="9217" width="13.5" style="498" customWidth="1"/>
    <col min="9218" max="9218" width="6.5" style="498" customWidth="1"/>
    <col min="9219" max="9219" width="36.25" style="498" customWidth="1"/>
    <col min="9220" max="9220" width="9.875" style="498" customWidth="1"/>
    <col min="9221" max="9221" width="15.5" style="498" customWidth="1"/>
    <col min="9222" max="9223" width="9" style="498"/>
    <col min="9224" max="9224" width="10.875" style="498" customWidth="1"/>
    <col min="9225" max="9472" width="9" style="498"/>
    <col min="9473" max="9473" width="13.5" style="498" customWidth="1"/>
    <col min="9474" max="9474" width="6.5" style="498" customWidth="1"/>
    <col min="9475" max="9475" width="36.25" style="498" customWidth="1"/>
    <col min="9476" max="9476" width="9.875" style="498" customWidth="1"/>
    <col min="9477" max="9477" width="15.5" style="498" customWidth="1"/>
    <col min="9478" max="9479" width="9" style="498"/>
    <col min="9480" max="9480" width="10.875" style="498" customWidth="1"/>
    <col min="9481" max="9728" width="9" style="498"/>
    <col min="9729" max="9729" width="13.5" style="498" customWidth="1"/>
    <col min="9730" max="9730" width="6.5" style="498" customWidth="1"/>
    <col min="9731" max="9731" width="36.25" style="498" customWidth="1"/>
    <col min="9732" max="9732" width="9.875" style="498" customWidth="1"/>
    <col min="9733" max="9733" width="15.5" style="498" customWidth="1"/>
    <col min="9734" max="9735" width="9" style="498"/>
    <col min="9736" max="9736" width="10.875" style="498" customWidth="1"/>
    <col min="9737" max="9984" width="9" style="498"/>
    <col min="9985" max="9985" width="13.5" style="498" customWidth="1"/>
    <col min="9986" max="9986" width="6.5" style="498" customWidth="1"/>
    <col min="9987" max="9987" width="36.25" style="498" customWidth="1"/>
    <col min="9988" max="9988" width="9.875" style="498" customWidth="1"/>
    <col min="9989" max="9989" width="15.5" style="498" customWidth="1"/>
    <col min="9990" max="9991" width="9" style="498"/>
    <col min="9992" max="9992" width="10.875" style="498" customWidth="1"/>
    <col min="9993" max="10240" width="9" style="498"/>
    <col min="10241" max="10241" width="13.5" style="498" customWidth="1"/>
    <col min="10242" max="10242" width="6.5" style="498" customWidth="1"/>
    <col min="10243" max="10243" width="36.25" style="498" customWidth="1"/>
    <col min="10244" max="10244" width="9.875" style="498" customWidth="1"/>
    <col min="10245" max="10245" width="15.5" style="498" customWidth="1"/>
    <col min="10246" max="10247" width="9" style="498"/>
    <col min="10248" max="10248" width="10.875" style="498" customWidth="1"/>
    <col min="10249" max="10496" width="9" style="498"/>
    <col min="10497" max="10497" width="13.5" style="498" customWidth="1"/>
    <col min="10498" max="10498" width="6.5" style="498" customWidth="1"/>
    <col min="10499" max="10499" width="36.25" style="498" customWidth="1"/>
    <col min="10500" max="10500" width="9.875" style="498" customWidth="1"/>
    <col min="10501" max="10501" width="15.5" style="498" customWidth="1"/>
    <col min="10502" max="10503" width="9" style="498"/>
    <col min="10504" max="10504" width="10.875" style="498" customWidth="1"/>
    <col min="10505" max="10752" width="9" style="498"/>
    <col min="10753" max="10753" width="13.5" style="498" customWidth="1"/>
    <col min="10754" max="10754" width="6.5" style="498" customWidth="1"/>
    <col min="10755" max="10755" width="36.25" style="498" customWidth="1"/>
    <col min="10756" max="10756" width="9.875" style="498" customWidth="1"/>
    <col min="10757" max="10757" width="15.5" style="498" customWidth="1"/>
    <col min="10758" max="10759" width="9" style="498"/>
    <col min="10760" max="10760" width="10.875" style="498" customWidth="1"/>
    <col min="10761" max="11008" width="9" style="498"/>
    <col min="11009" max="11009" width="13.5" style="498" customWidth="1"/>
    <col min="11010" max="11010" width="6.5" style="498" customWidth="1"/>
    <col min="11011" max="11011" width="36.25" style="498" customWidth="1"/>
    <col min="11012" max="11012" width="9.875" style="498" customWidth="1"/>
    <col min="11013" max="11013" width="15.5" style="498" customWidth="1"/>
    <col min="11014" max="11015" width="9" style="498"/>
    <col min="11016" max="11016" width="10.875" style="498" customWidth="1"/>
    <col min="11017" max="11264" width="9" style="498"/>
    <col min="11265" max="11265" width="13.5" style="498" customWidth="1"/>
    <col min="11266" max="11266" width="6.5" style="498" customWidth="1"/>
    <col min="11267" max="11267" width="36.25" style="498" customWidth="1"/>
    <col min="11268" max="11268" width="9.875" style="498" customWidth="1"/>
    <col min="11269" max="11269" width="15.5" style="498" customWidth="1"/>
    <col min="11270" max="11271" width="9" style="498"/>
    <col min="11272" max="11272" width="10.875" style="498" customWidth="1"/>
    <col min="11273" max="11520" width="9" style="498"/>
    <col min="11521" max="11521" width="13.5" style="498" customWidth="1"/>
    <col min="11522" max="11522" width="6.5" style="498" customWidth="1"/>
    <col min="11523" max="11523" width="36.25" style="498" customWidth="1"/>
    <col min="11524" max="11524" width="9.875" style="498" customWidth="1"/>
    <col min="11525" max="11525" width="15.5" style="498" customWidth="1"/>
    <col min="11526" max="11527" width="9" style="498"/>
    <col min="11528" max="11528" width="10.875" style="498" customWidth="1"/>
    <col min="11529" max="11776" width="9" style="498"/>
    <col min="11777" max="11777" width="13.5" style="498" customWidth="1"/>
    <col min="11778" max="11778" width="6.5" style="498" customWidth="1"/>
    <col min="11779" max="11779" width="36.25" style="498" customWidth="1"/>
    <col min="11780" max="11780" width="9.875" style="498" customWidth="1"/>
    <col min="11781" max="11781" width="15.5" style="498" customWidth="1"/>
    <col min="11782" max="11783" width="9" style="498"/>
    <col min="11784" max="11784" width="10.875" style="498" customWidth="1"/>
    <col min="11785" max="12032" width="9" style="498"/>
    <col min="12033" max="12033" width="13.5" style="498" customWidth="1"/>
    <col min="12034" max="12034" width="6.5" style="498" customWidth="1"/>
    <col min="12035" max="12035" width="36.25" style="498" customWidth="1"/>
    <col min="12036" max="12036" width="9.875" style="498" customWidth="1"/>
    <col min="12037" max="12037" width="15.5" style="498" customWidth="1"/>
    <col min="12038" max="12039" width="9" style="498"/>
    <col min="12040" max="12040" width="10.875" style="498" customWidth="1"/>
    <col min="12041" max="12288" width="9" style="498"/>
    <col min="12289" max="12289" width="13.5" style="498" customWidth="1"/>
    <col min="12290" max="12290" width="6.5" style="498" customWidth="1"/>
    <col min="12291" max="12291" width="36.25" style="498" customWidth="1"/>
    <col min="12292" max="12292" width="9.875" style="498" customWidth="1"/>
    <col min="12293" max="12293" width="15.5" style="498" customWidth="1"/>
    <col min="12294" max="12295" width="9" style="498"/>
    <col min="12296" max="12296" width="10.875" style="498" customWidth="1"/>
    <col min="12297" max="12544" width="9" style="498"/>
    <col min="12545" max="12545" width="13.5" style="498" customWidth="1"/>
    <col min="12546" max="12546" width="6.5" style="498" customWidth="1"/>
    <col min="12547" max="12547" width="36.25" style="498" customWidth="1"/>
    <col min="12548" max="12548" width="9.875" style="498" customWidth="1"/>
    <col min="12549" max="12549" width="15.5" style="498" customWidth="1"/>
    <col min="12550" max="12551" width="9" style="498"/>
    <col min="12552" max="12552" width="10.875" style="498" customWidth="1"/>
    <col min="12553" max="12800" width="9" style="498"/>
    <col min="12801" max="12801" width="13.5" style="498" customWidth="1"/>
    <col min="12802" max="12802" width="6.5" style="498" customWidth="1"/>
    <col min="12803" max="12803" width="36.25" style="498" customWidth="1"/>
    <col min="12804" max="12804" width="9.875" style="498" customWidth="1"/>
    <col min="12805" max="12805" width="15.5" style="498" customWidth="1"/>
    <col min="12806" max="12807" width="9" style="498"/>
    <col min="12808" max="12808" width="10.875" style="498" customWidth="1"/>
    <col min="12809" max="13056" width="9" style="498"/>
    <col min="13057" max="13057" width="13.5" style="498" customWidth="1"/>
    <col min="13058" max="13058" width="6.5" style="498" customWidth="1"/>
    <col min="13059" max="13059" width="36.25" style="498" customWidth="1"/>
    <col min="13060" max="13060" width="9.875" style="498" customWidth="1"/>
    <col min="13061" max="13061" width="15.5" style="498" customWidth="1"/>
    <col min="13062" max="13063" width="9" style="498"/>
    <col min="13064" max="13064" width="10.875" style="498" customWidth="1"/>
    <col min="13065" max="13312" width="9" style="498"/>
    <col min="13313" max="13313" width="13.5" style="498" customWidth="1"/>
    <col min="13314" max="13314" width="6.5" style="498" customWidth="1"/>
    <col min="13315" max="13315" width="36.25" style="498" customWidth="1"/>
    <col min="13316" max="13316" width="9.875" style="498" customWidth="1"/>
    <col min="13317" max="13317" width="15.5" style="498" customWidth="1"/>
    <col min="13318" max="13319" width="9" style="498"/>
    <col min="13320" max="13320" width="10.875" style="498" customWidth="1"/>
    <col min="13321" max="13568" width="9" style="498"/>
    <col min="13569" max="13569" width="13.5" style="498" customWidth="1"/>
    <col min="13570" max="13570" width="6.5" style="498" customWidth="1"/>
    <col min="13571" max="13571" width="36.25" style="498" customWidth="1"/>
    <col min="13572" max="13572" width="9.875" style="498" customWidth="1"/>
    <col min="13573" max="13573" width="15.5" style="498" customWidth="1"/>
    <col min="13574" max="13575" width="9" style="498"/>
    <col min="13576" max="13576" width="10.875" style="498" customWidth="1"/>
    <col min="13577" max="13824" width="9" style="498"/>
    <col min="13825" max="13825" width="13.5" style="498" customWidth="1"/>
    <col min="13826" max="13826" width="6.5" style="498" customWidth="1"/>
    <col min="13827" max="13827" width="36.25" style="498" customWidth="1"/>
    <col min="13828" max="13828" width="9.875" style="498" customWidth="1"/>
    <col min="13829" max="13829" width="15.5" style="498" customWidth="1"/>
    <col min="13830" max="13831" width="9" style="498"/>
    <col min="13832" max="13832" width="10.875" style="498" customWidth="1"/>
    <col min="13833" max="14080" width="9" style="498"/>
    <col min="14081" max="14081" width="13.5" style="498" customWidth="1"/>
    <col min="14082" max="14082" width="6.5" style="498" customWidth="1"/>
    <col min="14083" max="14083" width="36.25" style="498" customWidth="1"/>
    <col min="14084" max="14084" width="9.875" style="498" customWidth="1"/>
    <col min="14085" max="14085" width="15.5" style="498" customWidth="1"/>
    <col min="14086" max="14087" width="9" style="498"/>
    <col min="14088" max="14088" width="10.875" style="498" customWidth="1"/>
    <col min="14089" max="14336" width="9" style="498"/>
    <col min="14337" max="14337" width="13.5" style="498" customWidth="1"/>
    <col min="14338" max="14338" width="6.5" style="498" customWidth="1"/>
    <col min="14339" max="14339" width="36.25" style="498" customWidth="1"/>
    <col min="14340" max="14340" width="9.875" style="498" customWidth="1"/>
    <col min="14341" max="14341" width="15.5" style="498" customWidth="1"/>
    <col min="14342" max="14343" width="9" style="498"/>
    <col min="14344" max="14344" width="10.875" style="498" customWidth="1"/>
    <col min="14345" max="14592" width="9" style="498"/>
    <col min="14593" max="14593" width="13.5" style="498" customWidth="1"/>
    <col min="14594" max="14594" width="6.5" style="498" customWidth="1"/>
    <col min="14595" max="14595" width="36.25" style="498" customWidth="1"/>
    <col min="14596" max="14596" width="9.875" style="498" customWidth="1"/>
    <col min="14597" max="14597" width="15.5" style="498" customWidth="1"/>
    <col min="14598" max="14599" width="9" style="498"/>
    <col min="14600" max="14600" width="10.875" style="498" customWidth="1"/>
    <col min="14601" max="14848" width="9" style="498"/>
    <col min="14849" max="14849" width="13.5" style="498" customWidth="1"/>
    <col min="14850" max="14850" width="6.5" style="498" customWidth="1"/>
    <col min="14851" max="14851" width="36.25" style="498" customWidth="1"/>
    <col min="14852" max="14852" width="9.875" style="498" customWidth="1"/>
    <col min="14853" max="14853" width="15.5" style="498" customWidth="1"/>
    <col min="14854" max="14855" width="9" style="498"/>
    <col min="14856" max="14856" width="10.875" style="498" customWidth="1"/>
    <col min="14857" max="15104" width="9" style="498"/>
    <col min="15105" max="15105" width="13.5" style="498" customWidth="1"/>
    <col min="15106" max="15106" width="6.5" style="498" customWidth="1"/>
    <col min="15107" max="15107" width="36.25" style="498" customWidth="1"/>
    <col min="15108" max="15108" width="9.875" style="498" customWidth="1"/>
    <col min="15109" max="15109" width="15.5" style="498" customWidth="1"/>
    <col min="15110" max="15111" width="9" style="498"/>
    <col min="15112" max="15112" width="10.875" style="498" customWidth="1"/>
    <col min="15113" max="15360" width="9" style="498"/>
    <col min="15361" max="15361" width="13.5" style="498" customWidth="1"/>
    <col min="15362" max="15362" width="6.5" style="498" customWidth="1"/>
    <col min="15363" max="15363" width="36.25" style="498" customWidth="1"/>
    <col min="15364" max="15364" width="9.875" style="498" customWidth="1"/>
    <col min="15365" max="15365" width="15.5" style="498" customWidth="1"/>
    <col min="15366" max="15367" width="9" style="498"/>
    <col min="15368" max="15368" width="10.875" style="498" customWidth="1"/>
    <col min="15369" max="15616" width="9" style="498"/>
    <col min="15617" max="15617" width="13.5" style="498" customWidth="1"/>
    <col min="15618" max="15618" width="6.5" style="498" customWidth="1"/>
    <col min="15619" max="15619" width="36.25" style="498" customWidth="1"/>
    <col min="15620" max="15620" width="9.875" style="498" customWidth="1"/>
    <col min="15621" max="15621" width="15.5" style="498" customWidth="1"/>
    <col min="15622" max="15623" width="9" style="498"/>
    <col min="15624" max="15624" width="10.875" style="498" customWidth="1"/>
    <col min="15625" max="15872" width="9" style="498"/>
    <col min="15873" max="15873" width="13.5" style="498" customWidth="1"/>
    <col min="15874" max="15874" width="6.5" style="498" customWidth="1"/>
    <col min="15875" max="15875" width="36.25" style="498" customWidth="1"/>
    <col min="15876" max="15876" width="9.875" style="498" customWidth="1"/>
    <col min="15877" max="15877" width="15.5" style="498" customWidth="1"/>
    <col min="15878" max="15879" width="9" style="498"/>
    <col min="15880" max="15880" width="10.875" style="498" customWidth="1"/>
    <col min="15881" max="16128" width="9" style="498"/>
    <col min="16129" max="16129" width="13.5" style="498" customWidth="1"/>
    <col min="16130" max="16130" width="6.5" style="498" customWidth="1"/>
    <col min="16131" max="16131" width="36.25" style="498" customWidth="1"/>
    <col min="16132" max="16132" width="9.875" style="498" customWidth="1"/>
    <col min="16133" max="16133" width="15.5" style="498" customWidth="1"/>
    <col min="16134" max="16135" width="9" style="498"/>
    <col min="16136" max="16136" width="10.875" style="498" customWidth="1"/>
    <col min="16137" max="16384" width="9" style="498"/>
  </cols>
  <sheetData>
    <row r="1" spans="1:5" ht="33" customHeight="1">
      <c r="A1" s="957" t="s">
        <v>647</v>
      </c>
      <c r="B1" s="958"/>
      <c r="C1" s="958"/>
      <c r="D1" s="958"/>
      <c r="E1" s="958"/>
    </row>
    <row r="2" spans="1:5" ht="18" customHeight="1">
      <c r="A2" s="794"/>
      <c r="B2" s="794"/>
      <c r="C2" s="794"/>
      <c r="D2" s="794"/>
      <c r="E2" s="794"/>
    </row>
    <row r="3" spans="1:5" ht="16.5" customHeight="1">
      <c r="A3" s="795" t="s">
        <v>648</v>
      </c>
      <c r="B3" s="959">
        <f>'QC Test Summary-Siemens'!C4</f>
        <v>0</v>
      </c>
      <c r="C3" s="959"/>
      <c r="D3" s="959"/>
      <c r="E3" s="959"/>
    </row>
    <row r="4" spans="1:5" ht="16.5" customHeight="1">
      <c r="A4" s="795" t="s">
        <v>649</v>
      </c>
      <c r="B4" s="960" t="str">
        <f>Sheet1!R17</f>
        <v>Siemens</v>
      </c>
      <c r="C4" s="960"/>
      <c r="D4" s="796" t="s">
        <v>43</v>
      </c>
      <c r="E4" s="797" t="str">
        <f>Sheet1!R18</f>
        <v>Mammotest</v>
      </c>
    </row>
    <row r="5" spans="1:5" ht="16.5" customHeight="1">
      <c r="A5" s="795" t="s">
        <v>650</v>
      </c>
      <c r="B5" s="797">
        <f>Sheet1!V18</f>
        <v>10247</v>
      </c>
      <c r="C5" s="797"/>
      <c r="D5" s="796" t="s">
        <v>651</v>
      </c>
      <c r="E5" s="846" t="str">
        <f>Sheet1!V17</f>
        <v/>
      </c>
    </row>
    <row r="6" spans="1:5" ht="16.5" customHeight="1">
      <c r="A6" s="795" t="s">
        <v>652</v>
      </c>
      <c r="B6" s="960" t="str">
        <f>Sheet1!X7</f>
        <v>Eugene Mah</v>
      </c>
      <c r="C6" s="960"/>
      <c r="D6" s="796" t="s">
        <v>653</v>
      </c>
      <c r="E6" s="798" t="str">
        <f>Sheet1!R14</f>
        <v>1C07</v>
      </c>
    </row>
    <row r="7" spans="1:5" ht="16.5" customHeight="1">
      <c r="A7" s="795" t="s">
        <v>654</v>
      </c>
      <c r="B7" s="960"/>
      <c r="C7" s="960"/>
      <c r="D7" s="796" t="s">
        <v>655</v>
      </c>
      <c r="E7" s="847">
        <f>Sheet1!P7</f>
        <v>43273</v>
      </c>
    </row>
    <row r="8" spans="1:5" ht="21.75" customHeight="1" thickBot="1"/>
    <row r="9" spans="1:5" ht="35.25" customHeight="1" thickBot="1">
      <c r="A9" s="799" t="s">
        <v>656</v>
      </c>
      <c r="B9" s="800" t="s">
        <v>657</v>
      </c>
      <c r="C9" s="801" t="s">
        <v>658</v>
      </c>
      <c r="D9" s="800" t="s">
        <v>659</v>
      </c>
      <c r="E9" s="802" t="s">
        <v>776</v>
      </c>
    </row>
    <row r="10" spans="1:5" ht="33" customHeight="1" thickTop="1">
      <c r="A10" s="956" t="s">
        <v>660</v>
      </c>
      <c r="B10" s="803" t="s">
        <v>661</v>
      </c>
      <c r="C10" s="804" t="s">
        <v>662</v>
      </c>
      <c r="D10" s="805" t="s">
        <v>663</v>
      </c>
      <c r="E10" s="806"/>
    </row>
    <row r="11" spans="1:5" ht="25.5" customHeight="1" thickBot="1">
      <c r="A11" s="952"/>
      <c r="B11" s="807" t="s">
        <v>664</v>
      </c>
      <c r="C11" s="808" t="s">
        <v>665</v>
      </c>
      <c r="D11" s="809" t="s">
        <v>663</v>
      </c>
      <c r="E11" s="810"/>
    </row>
    <row r="12" spans="1:5" ht="33.75" customHeight="1">
      <c r="A12" s="947" t="s">
        <v>666</v>
      </c>
      <c r="B12" s="811" t="s">
        <v>667</v>
      </c>
      <c r="C12" s="812" t="s">
        <v>668</v>
      </c>
      <c r="D12" s="813" t="s">
        <v>669</v>
      </c>
      <c r="E12" s="814"/>
    </row>
    <row r="13" spans="1:5" ht="33.75" customHeight="1">
      <c r="A13" s="948"/>
      <c r="B13" s="815" t="s">
        <v>670</v>
      </c>
      <c r="C13" s="816" t="s">
        <v>671</v>
      </c>
      <c r="D13" s="817" t="s">
        <v>669</v>
      </c>
      <c r="E13" s="818"/>
    </row>
    <row r="14" spans="1:5" ht="34.5" customHeight="1" thickBot="1">
      <c r="A14" s="949"/>
      <c r="B14" s="819" t="s">
        <v>672</v>
      </c>
      <c r="C14" s="820" t="s">
        <v>673</v>
      </c>
      <c r="D14" s="809" t="s">
        <v>663</v>
      </c>
      <c r="E14" s="821"/>
    </row>
    <row r="15" spans="1:5" ht="56.25">
      <c r="A15" s="950" t="s">
        <v>674</v>
      </c>
      <c r="B15" s="822" t="s">
        <v>675</v>
      </c>
      <c r="C15" s="823" t="s">
        <v>676</v>
      </c>
      <c r="D15" s="813" t="s">
        <v>663</v>
      </c>
      <c r="E15" s="824"/>
    </row>
    <row r="16" spans="1:5" ht="54.75" customHeight="1" thickBot="1">
      <c r="A16" s="951"/>
      <c r="B16" s="807" t="s">
        <v>677</v>
      </c>
      <c r="C16" s="825" t="s">
        <v>726</v>
      </c>
      <c r="D16" s="809" t="s">
        <v>678</v>
      </c>
      <c r="E16" s="826"/>
    </row>
    <row r="17" spans="1:5" ht="33.75" customHeight="1">
      <c r="A17" s="942" t="s">
        <v>679</v>
      </c>
      <c r="B17" s="827" t="s">
        <v>680</v>
      </c>
      <c r="C17" s="812" t="s">
        <v>681</v>
      </c>
      <c r="D17" s="813" t="s">
        <v>663</v>
      </c>
      <c r="E17" s="828"/>
    </row>
    <row r="18" spans="1:5" ht="33.75" customHeight="1" thickBot="1">
      <c r="A18" s="952"/>
      <c r="B18" s="829" t="s">
        <v>682</v>
      </c>
      <c r="C18" s="830" t="s">
        <v>683</v>
      </c>
      <c r="D18" s="809" t="s">
        <v>663</v>
      </c>
      <c r="E18" s="810"/>
    </row>
    <row r="19" spans="1:5" ht="33.75">
      <c r="A19" s="953" t="s">
        <v>684</v>
      </c>
      <c r="B19" s="827" t="s">
        <v>685</v>
      </c>
      <c r="C19" s="812" t="s">
        <v>686</v>
      </c>
      <c r="D19" s="813" t="s">
        <v>663</v>
      </c>
      <c r="E19" s="828"/>
    </row>
    <row r="20" spans="1:5" ht="33.75" customHeight="1">
      <c r="A20" s="954"/>
      <c r="B20" s="831" t="s">
        <v>687</v>
      </c>
      <c r="C20" s="832" t="s">
        <v>688</v>
      </c>
      <c r="D20" s="805" t="s">
        <v>663</v>
      </c>
      <c r="E20" s="833"/>
    </row>
    <row r="21" spans="1:5" ht="54.75" customHeight="1" thickBot="1">
      <c r="A21" s="955"/>
      <c r="B21" s="829" t="s">
        <v>689</v>
      </c>
      <c r="C21" s="830" t="s">
        <v>690</v>
      </c>
      <c r="D21" s="809" t="s">
        <v>663</v>
      </c>
      <c r="E21" s="810"/>
    </row>
    <row r="22" spans="1:5" ht="33.75" customHeight="1">
      <c r="A22" s="942" t="s">
        <v>691</v>
      </c>
      <c r="B22" s="827" t="s">
        <v>692</v>
      </c>
      <c r="C22" s="812" t="s">
        <v>693</v>
      </c>
      <c r="D22" s="813" t="s">
        <v>663</v>
      </c>
      <c r="E22" s="828"/>
    </row>
    <row r="23" spans="1:5" ht="25.5" customHeight="1" thickBot="1">
      <c r="A23" s="952"/>
      <c r="B23" s="807" t="s">
        <v>694</v>
      </c>
      <c r="C23" s="820" t="s">
        <v>695</v>
      </c>
      <c r="D23" s="809" t="s">
        <v>663</v>
      </c>
      <c r="E23" s="826"/>
    </row>
    <row r="24" spans="1:5" ht="33.75">
      <c r="A24" s="953" t="s">
        <v>696</v>
      </c>
      <c r="B24" s="827" t="s">
        <v>697</v>
      </c>
      <c r="C24" s="812" t="s">
        <v>698</v>
      </c>
      <c r="D24" s="813" t="s">
        <v>663</v>
      </c>
      <c r="E24" s="828"/>
    </row>
    <row r="25" spans="1:5" ht="45.75" customHeight="1">
      <c r="A25" s="954"/>
      <c r="B25" s="831" t="s">
        <v>699</v>
      </c>
      <c r="C25" s="816" t="s">
        <v>700</v>
      </c>
      <c r="D25" s="805" t="s">
        <v>678</v>
      </c>
      <c r="E25" s="833"/>
    </row>
    <row r="26" spans="1:5" ht="46.5" customHeight="1">
      <c r="A26" s="954"/>
      <c r="B26" s="834" t="s">
        <v>701</v>
      </c>
      <c r="C26" s="816" t="s">
        <v>702</v>
      </c>
      <c r="D26" s="805" t="s">
        <v>663</v>
      </c>
      <c r="E26" s="833"/>
    </row>
    <row r="27" spans="1:5" ht="22.5">
      <c r="A27" s="954"/>
      <c r="B27" s="834" t="s">
        <v>703</v>
      </c>
      <c r="C27" s="816" t="s">
        <v>704</v>
      </c>
      <c r="D27" s="805" t="s">
        <v>663</v>
      </c>
      <c r="E27" s="833"/>
    </row>
    <row r="28" spans="1:5" ht="23.25" thickBot="1">
      <c r="A28" s="955"/>
      <c r="B28" s="835" t="s">
        <v>705</v>
      </c>
      <c r="C28" s="820" t="s">
        <v>706</v>
      </c>
      <c r="D28" s="809" t="s">
        <v>663</v>
      </c>
      <c r="E28" s="826"/>
    </row>
    <row r="29" spans="1:5" ht="22.5">
      <c r="A29" s="942" t="s">
        <v>707</v>
      </c>
      <c r="B29" s="836" t="s">
        <v>708</v>
      </c>
      <c r="C29" s="812" t="s">
        <v>709</v>
      </c>
      <c r="D29" s="813" t="s">
        <v>663</v>
      </c>
      <c r="E29" s="828"/>
    </row>
    <row r="30" spans="1:5" ht="54.75" customHeight="1">
      <c r="A30" s="943"/>
      <c r="B30" s="834" t="s">
        <v>710</v>
      </c>
      <c r="C30" s="816" t="s">
        <v>711</v>
      </c>
      <c r="D30" s="805" t="s">
        <v>663</v>
      </c>
      <c r="E30" s="833"/>
    </row>
    <row r="31" spans="1:5" ht="34.5" thickBot="1">
      <c r="A31" s="944"/>
      <c r="B31" s="835" t="s">
        <v>712</v>
      </c>
      <c r="C31" s="820" t="s">
        <v>713</v>
      </c>
      <c r="D31" s="809" t="s">
        <v>663</v>
      </c>
      <c r="E31" s="826"/>
    </row>
    <row r="32" spans="1:5" ht="46.5" customHeight="1">
      <c r="A32" s="942" t="s">
        <v>714</v>
      </c>
      <c r="B32" s="836" t="s">
        <v>715</v>
      </c>
      <c r="C32" s="812" t="s">
        <v>716</v>
      </c>
      <c r="D32" s="813" t="s">
        <v>669</v>
      </c>
      <c r="E32" s="828"/>
    </row>
    <row r="33" spans="1:5" ht="66.75" customHeight="1">
      <c r="A33" s="943"/>
      <c r="B33" s="834" t="s">
        <v>717</v>
      </c>
      <c r="C33" s="816" t="s">
        <v>777</v>
      </c>
      <c r="D33" s="817" t="s">
        <v>669</v>
      </c>
      <c r="E33" s="833"/>
    </row>
    <row r="34" spans="1:5" ht="34.5" thickBot="1">
      <c r="A34" s="944"/>
      <c r="B34" s="835" t="s">
        <v>718</v>
      </c>
      <c r="C34" s="820" t="s">
        <v>719</v>
      </c>
      <c r="D34" s="837" t="s">
        <v>669</v>
      </c>
      <c r="E34" s="826"/>
    </row>
    <row r="35" spans="1:5" ht="33.75" customHeight="1" thickBot="1">
      <c r="A35" s="838" t="s">
        <v>778</v>
      </c>
      <c r="B35" s="839">
        <v>11</v>
      </c>
      <c r="C35" s="840" t="s">
        <v>720</v>
      </c>
      <c r="D35" s="841" t="s">
        <v>669</v>
      </c>
      <c r="E35" s="842"/>
    </row>
    <row r="36" spans="1:5" ht="54.75" customHeight="1" thickBot="1">
      <c r="A36" s="838" t="s">
        <v>779</v>
      </c>
      <c r="B36" s="839">
        <v>12</v>
      </c>
      <c r="C36" s="840" t="s">
        <v>721</v>
      </c>
      <c r="D36" s="841" t="s">
        <v>669</v>
      </c>
      <c r="E36" s="842"/>
    </row>
    <row r="37" spans="1:5" ht="45.75" thickBot="1">
      <c r="A37" s="838" t="s">
        <v>780</v>
      </c>
      <c r="B37" s="839">
        <v>13</v>
      </c>
      <c r="C37" s="840" t="s">
        <v>722</v>
      </c>
      <c r="D37" s="841" t="s">
        <v>669</v>
      </c>
      <c r="E37" s="842"/>
    </row>
    <row r="38" spans="1:5" ht="46.5" customHeight="1" thickBot="1">
      <c r="A38" s="838" t="s">
        <v>781</v>
      </c>
      <c r="B38" s="839">
        <v>14</v>
      </c>
      <c r="C38" s="840" t="s">
        <v>723</v>
      </c>
      <c r="D38" s="841" t="s">
        <v>724</v>
      </c>
      <c r="E38" s="842"/>
    </row>
    <row r="39" spans="1:5" ht="46.5" customHeight="1" thickBot="1">
      <c r="A39" s="843" t="s">
        <v>782</v>
      </c>
      <c r="B39" s="844">
        <v>15</v>
      </c>
      <c r="C39" s="830" t="s">
        <v>725</v>
      </c>
      <c r="D39" s="809" t="s">
        <v>724</v>
      </c>
      <c r="E39" s="810"/>
    </row>
    <row r="40" spans="1:5">
      <c r="A40" s="945" t="s">
        <v>783</v>
      </c>
      <c r="B40" s="946"/>
      <c r="C40" s="946"/>
      <c r="D40" s="946"/>
      <c r="E40" s="946"/>
    </row>
    <row r="41" spans="1:5">
      <c r="A41" s="845"/>
      <c r="B41" s="845"/>
      <c r="C41" s="845"/>
      <c r="D41" s="845"/>
      <c r="E41" s="845"/>
    </row>
    <row r="42" spans="1:5">
      <c r="A42" s="845"/>
      <c r="B42" s="845"/>
      <c r="C42" s="845"/>
      <c r="D42" s="845"/>
      <c r="E42" s="845"/>
    </row>
    <row r="43" spans="1:5">
      <c r="A43" s="845"/>
      <c r="B43" s="845"/>
      <c r="C43" s="845"/>
      <c r="D43" s="845"/>
      <c r="E43" s="845"/>
    </row>
    <row r="44" spans="1:5">
      <c r="A44" s="845"/>
      <c r="B44" s="845"/>
      <c r="C44" s="845"/>
      <c r="D44" s="845"/>
      <c r="E44" s="845"/>
    </row>
    <row r="45" spans="1:5">
      <c r="A45" s="845"/>
      <c r="B45" s="845"/>
      <c r="C45" s="845"/>
      <c r="D45" s="845"/>
      <c r="E45" s="845"/>
    </row>
    <row r="46" spans="1:5">
      <c r="A46" s="845"/>
      <c r="B46" s="845"/>
      <c r="C46" s="845"/>
      <c r="D46" s="845"/>
      <c r="E46" s="845"/>
    </row>
    <row r="47" spans="1:5">
      <c r="A47" s="845"/>
      <c r="B47" s="845"/>
      <c r="C47" s="845"/>
      <c r="D47" s="845"/>
      <c r="E47" s="845"/>
    </row>
    <row r="48" spans="1:5">
      <c r="A48" s="845"/>
      <c r="B48" s="845"/>
      <c r="C48" s="845"/>
      <c r="D48" s="845"/>
      <c r="E48" s="845"/>
    </row>
    <row r="49" spans="1:5">
      <c r="A49" s="845"/>
      <c r="B49" s="845"/>
      <c r="C49" s="845"/>
      <c r="D49" s="845"/>
      <c r="E49" s="845"/>
    </row>
    <row r="50" spans="1:5">
      <c r="A50" s="845"/>
      <c r="B50" s="845"/>
      <c r="C50" s="845"/>
      <c r="D50" s="845"/>
      <c r="E50" s="845"/>
    </row>
    <row r="51" spans="1:5">
      <c r="A51" s="845"/>
      <c r="B51" s="845"/>
      <c r="C51" s="845"/>
      <c r="D51" s="845"/>
      <c r="E51" s="845"/>
    </row>
    <row r="52" spans="1:5">
      <c r="A52" s="845"/>
      <c r="B52" s="845"/>
      <c r="C52" s="845"/>
      <c r="D52" s="845"/>
      <c r="E52" s="845"/>
    </row>
    <row r="53" spans="1:5">
      <c r="A53" s="845"/>
      <c r="B53" s="845"/>
      <c r="C53" s="845"/>
      <c r="D53" s="845"/>
      <c r="E53" s="845"/>
    </row>
    <row r="54" spans="1:5">
      <c r="A54" s="845"/>
      <c r="B54" s="845"/>
      <c r="C54" s="845"/>
      <c r="D54" s="845"/>
      <c r="E54" s="845"/>
    </row>
    <row r="55" spans="1:5">
      <c r="A55" s="845"/>
      <c r="B55" s="845"/>
      <c r="C55" s="845"/>
      <c r="D55" s="845"/>
      <c r="E55" s="845"/>
    </row>
    <row r="56" spans="1:5">
      <c r="A56" s="845"/>
      <c r="B56" s="845"/>
      <c r="C56" s="845"/>
      <c r="D56" s="845"/>
      <c r="E56" s="845"/>
    </row>
    <row r="57" spans="1:5">
      <c r="A57" s="845"/>
      <c r="B57" s="845"/>
      <c r="C57" s="845"/>
      <c r="D57" s="845"/>
      <c r="E57" s="845"/>
    </row>
    <row r="58" spans="1:5">
      <c r="A58" s="845"/>
      <c r="B58" s="845"/>
      <c r="C58" s="845"/>
      <c r="D58" s="845"/>
      <c r="E58" s="845"/>
    </row>
    <row r="59" spans="1:5">
      <c r="A59" s="845"/>
      <c r="B59" s="845"/>
      <c r="C59" s="845"/>
      <c r="D59" s="845"/>
      <c r="E59" s="845"/>
    </row>
    <row r="60" spans="1:5">
      <c r="A60" s="845"/>
      <c r="B60" s="845"/>
      <c r="C60" s="845"/>
      <c r="D60" s="845"/>
      <c r="E60" s="845"/>
    </row>
    <row r="61" spans="1:5">
      <c r="A61" s="845"/>
      <c r="B61" s="845"/>
      <c r="C61" s="845"/>
      <c r="D61" s="845"/>
      <c r="E61" s="845"/>
    </row>
    <row r="62" spans="1:5">
      <c r="A62" s="845"/>
      <c r="B62" s="845"/>
      <c r="C62" s="845"/>
      <c r="D62" s="845"/>
      <c r="E62" s="845"/>
    </row>
    <row r="63" spans="1:5">
      <c r="A63" s="845"/>
      <c r="B63" s="845"/>
      <c r="C63" s="845"/>
      <c r="D63" s="845"/>
      <c r="E63" s="845"/>
    </row>
    <row r="64" spans="1:5">
      <c r="A64" s="845"/>
      <c r="B64" s="845"/>
      <c r="C64" s="845"/>
      <c r="D64" s="845"/>
      <c r="E64" s="845"/>
    </row>
    <row r="65" spans="1:5">
      <c r="A65" s="845"/>
      <c r="B65" s="845"/>
      <c r="C65" s="845"/>
      <c r="D65" s="845"/>
      <c r="E65" s="845"/>
    </row>
    <row r="66" spans="1:5">
      <c r="A66" s="845"/>
      <c r="B66" s="845"/>
      <c r="C66" s="845"/>
      <c r="D66" s="845"/>
      <c r="E66" s="845"/>
    </row>
    <row r="67" spans="1:5">
      <c r="A67" s="845"/>
      <c r="B67" s="845"/>
      <c r="C67" s="845"/>
      <c r="D67" s="845"/>
      <c r="E67" s="845"/>
    </row>
    <row r="68" spans="1:5">
      <c r="A68" s="845"/>
      <c r="B68" s="845"/>
      <c r="C68" s="845"/>
      <c r="D68" s="845"/>
      <c r="E68" s="845"/>
    </row>
    <row r="69" spans="1:5">
      <c r="A69" s="845"/>
      <c r="B69" s="845"/>
      <c r="C69" s="845"/>
      <c r="D69" s="845"/>
      <c r="E69" s="845"/>
    </row>
    <row r="70" spans="1:5">
      <c r="A70" s="845"/>
      <c r="B70" s="845"/>
      <c r="C70" s="845"/>
      <c r="D70" s="845"/>
      <c r="E70" s="845"/>
    </row>
    <row r="71" spans="1:5">
      <c r="A71" s="845"/>
      <c r="B71" s="845"/>
      <c r="C71" s="845"/>
      <c r="D71" s="845"/>
      <c r="E71" s="845"/>
    </row>
    <row r="72" spans="1:5">
      <c r="A72" s="845"/>
      <c r="B72" s="845"/>
      <c r="C72" s="845"/>
      <c r="D72" s="845"/>
      <c r="E72" s="845"/>
    </row>
    <row r="73" spans="1:5">
      <c r="A73" s="845"/>
      <c r="B73" s="845"/>
      <c r="C73" s="845"/>
      <c r="D73" s="845"/>
      <c r="E73" s="845"/>
    </row>
    <row r="74" spans="1:5">
      <c r="A74" s="845"/>
      <c r="B74" s="845"/>
      <c r="C74" s="845"/>
      <c r="D74" s="845"/>
      <c r="E74" s="845"/>
    </row>
    <row r="75" spans="1:5">
      <c r="A75" s="845"/>
      <c r="B75" s="845"/>
      <c r="C75" s="845"/>
      <c r="D75" s="845"/>
      <c r="E75" s="845"/>
    </row>
    <row r="76" spans="1:5">
      <c r="A76" s="845"/>
      <c r="B76" s="845"/>
      <c r="C76" s="845"/>
      <c r="D76" s="845"/>
      <c r="E76" s="845"/>
    </row>
    <row r="77" spans="1:5">
      <c r="A77" s="845"/>
      <c r="B77" s="845"/>
      <c r="C77" s="845"/>
      <c r="D77" s="845"/>
      <c r="E77" s="845"/>
    </row>
    <row r="78" spans="1:5">
      <c r="A78" s="845"/>
      <c r="B78" s="845"/>
      <c r="C78" s="845"/>
      <c r="D78" s="845"/>
      <c r="E78" s="845"/>
    </row>
    <row r="79" spans="1:5">
      <c r="A79" s="845"/>
      <c r="B79" s="845"/>
      <c r="C79" s="845"/>
      <c r="D79" s="845"/>
      <c r="E79" s="845"/>
    </row>
    <row r="80" spans="1:5">
      <c r="A80" s="845"/>
      <c r="B80" s="845"/>
      <c r="C80" s="845"/>
      <c r="D80" s="845"/>
      <c r="E80" s="845"/>
    </row>
    <row r="81" spans="1:5">
      <c r="A81" s="845"/>
      <c r="B81" s="845"/>
      <c r="C81" s="845"/>
      <c r="D81" s="845"/>
      <c r="E81" s="845"/>
    </row>
    <row r="82" spans="1:5">
      <c r="A82" s="845"/>
      <c r="B82" s="845"/>
      <c r="C82" s="845"/>
      <c r="D82" s="845"/>
      <c r="E82" s="845"/>
    </row>
    <row r="83" spans="1:5">
      <c r="A83" s="845"/>
      <c r="B83" s="845"/>
      <c r="C83" s="845"/>
      <c r="D83" s="845"/>
      <c r="E83" s="845"/>
    </row>
    <row r="84" spans="1:5">
      <c r="A84" s="845"/>
      <c r="B84" s="845"/>
      <c r="C84" s="845"/>
      <c r="D84" s="845"/>
      <c r="E84" s="845"/>
    </row>
    <row r="85" spans="1:5">
      <c r="A85" s="845"/>
      <c r="B85" s="845"/>
      <c r="C85" s="845"/>
      <c r="D85" s="845"/>
      <c r="E85" s="845"/>
    </row>
    <row r="86" spans="1:5">
      <c r="A86" s="845"/>
      <c r="B86" s="845"/>
      <c r="C86" s="845"/>
      <c r="D86" s="845"/>
      <c r="E86" s="845"/>
    </row>
    <row r="87" spans="1:5">
      <c r="A87" s="845"/>
      <c r="B87" s="845"/>
      <c r="C87" s="845"/>
      <c r="D87" s="845"/>
      <c r="E87" s="845"/>
    </row>
    <row r="88" spans="1:5">
      <c r="A88" s="845"/>
      <c r="B88" s="845"/>
      <c r="C88" s="845"/>
      <c r="D88" s="845"/>
      <c r="E88" s="845"/>
    </row>
    <row r="89" spans="1:5">
      <c r="A89" s="845"/>
      <c r="B89" s="845"/>
      <c r="C89" s="845"/>
      <c r="D89" s="845"/>
      <c r="E89" s="845"/>
    </row>
    <row r="90" spans="1:5">
      <c r="A90" s="845"/>
      <c r="B90" s="845"/>
      <c r="C90" s="845"/>
      <c r="D90" s="845"/>
      <c r="E90" s="845"/>
    </row>
    <row r="91" spans="1:5">
      <c r="A91" s="845"/>
      <c r="B91" s="845"/>
      <c r="C91" s="845"/>
      <c r="D91" s="845"/>
      <c r="E91" s="845"/>
    </row>
    <row r="92" spans="1:5">
      <c r="A92" s="845"/>
      <c r="B92" s="845"/>
      <c r="C92" s="845"/>
      <c r="D92" s="845"/>
      <c r="E92" s="845"/>
    </row>
    <row r="93" spans="1:5">
      <c r="A93" s="845"/>
      <c r="B93" s="845"/>
      <c r="C93" s="845"/>
      <c r="D93" s="845"/>
      <c r="E93" s="845"/>
    </row>
    <row r="94" spans="1:5">
      <c r="A94" s="845"/>
      <c r="B94" s="845"/>
      <c r="C94" s="845"/>
      <c r="D94" s="845"/>
      <c r="E94" s="845"/>
    </row>
    <row r="95" spans="1:5">
      <c r="A95" s="845"/>
      <c r="B95" s="845"/>
      <c r="C95" s="845"/>
      <c r="D95" s="845"/>
      <c r="E95" s="845"/>
    </row>
    <row r="96" spans="1:5">
      <c r="A96" s="845"/>
      <c r="B96" s="845"/>
      <c r="C96" s="845"/>
      <c r="D96" s="845"/>
      <c r="E96" s="845"/>
    </row>
    <row r="97" spans="1:5">
      <c r="A97" s="845"/>
      <c r="B97" s="845"/>
      <c r="C97" s="845"/>
      <c r="D97" s="845"/>
      <c r="E97" s="845"/>
    </row>
    <row r="98" spans="1:5">
      <c r="A98" s="845"/>
      <c r="B98" s="845"/>
      <c r="C98" s="845"/>
      <c r="D98" s="845"/>
      <c r="E98" s="845"/>
    </row>
    <row r="99" spans="1:5">
      <c r="A99" s="845"/>
      <c r="B99" s="845"/>
      <c r="C99" s="845"/>
      <c r="D99" s="845"/>
      <c r="E99" s="845"/>
    </row>
    <row r="100" spans="1:5">
      <c r="A100" s="845"/>
      <c r="B100" s="845"/>
      <c r="C100" s="845"/>
      <c r="D100" s="845"/>
      <c r="E100" s="845"/>
    </row>
    <row r="101" spans="1:5">
      <c r="A101" s="845"/>
      <c r="B101" s="845"/>
      <c r="C101" s="845"/>
      <c r="D101" s="845"/>
      <c r="E101" s="845"/>
    </row>
    <row r="102" spans="1:5">
      <c r="A102" s="845"/>
      <c r="B102" s="845"/>
      <c r="C102" s="845"/>
      <c r="D102" s="845"/>
      <c r="E102" s="845"/>
    </row>
    <row r="103" spans="1:5">
      <c r="A103" s="845"/>
      <c r="B103" s="845"/>
      <c r="C103" s="845"/>
      <c r="D103" s="845"/>
      <c r="E103" s="845"/>
    </row>
    <row r="104" spans="1:5">
      <c r="A104" s="845"/>
      <c r="B104" s="845"/>
      <c r="C104" s="845"/>
      <c r="D104" s="845"/>
      <c r="E104" s="845"/>
    </row>
    <row r="105" spans="1:5">
      <c r="A105" s="845"/>
      <c r="B105" s="845"/>
      <c r="C105" s="845"/>
      <c r="D105" s="845"/>
      <c r="E105" s="845"/>
    </row>
    <row r="106" spans="1:5">
      <c r="A106" s="845"/>
      <c r="B106" s="845"/>
      <c r="C106" s="845"/>
      <c r="D106" s="845"/>
      <c r="E106" s="845"/>
    </row>
    <row r="107" spans="1:5">
      <c r="A107" s="845"/>
      <c r="B107" s="845"/>
      <c r="C107" s="845"/>
      <c r="D107" s="845"/>
      <c r="E107" s="845"/>
    </row>
    <row r="108" spans="1:5">
      <c r="A108" s="845"/>
      <c r="B108" s="845"/>
      <c r="C108" s="845"/>
      <c r="D108" s="845"/>
      <c r="E108" s="845"/>
    </row>
    <row r="109" spans="1:5">
      <c r="A109" s="845"/>
      <c r="B109" s="845"/>
      <c r="C109" s="845"/>
      <c r="D109" s="845"/>
      <c r="E109" s="845"/>
    </row>
    <row r="110" spans="1:5">
      <c r="A110" s="845"/>
      <c r="B110" s="845"/>
      <c r="C110" s="845"/>
      <c r="D110" s="845"/>
      <c r="E110" s="845"/>
    </row>
    <row r="111" spans="1:5">
      <c r="A111" s="845"/>
      <c r="B111" s="845"/>
      <c r="C111" s="845"/>
      <c r="D111" s="845"/>
      <c r="E111" s="845"/>
    </row>
    <row r="112" spans="1:5">
      <c r="A112" s="845"/>
      <c r="B112" s="845"/>
      <c r="C112" s="845"/>
      <c r="D112" s="845"/>
      <c r="E112" s="845"/>
    </row>
    <row r="113" spans="1:5">
      <c r="A113" s="845"/>
      <c r="B113" s="845"/>
      <c r="C113" s="845"/>
      <c r="D113" s="845"/>
      <c r="E113" s="845"/>
    </row>
    <row r="114" spans="1:5">
      <c r="A114" s="845"/>
      <c r="B114" s="845"/>
      <c r="C114" s="845"/>
      <c r="D114" s="845"/>
      <c r="E114" s="845"/>
    </row>
    <row r="115" spans="1:5">
      <c r="A115" s="845"/>
      <c r="B115" s="845"/>
      <c r="C115" s="845"/>
      <c r="D115" s="845"/>
      <c r="E115" s="845"/>
    </row>
    <row r="116" spans="1:5">
      <c r="A116" s="845"/>
      <c r="B116" s="845"/>
      <c r="C116" s="845"/>
      <c r="D116" s="845"/>
      <c r="E116" s="845"/>
    </row>
    <row r="117" spans="1:5">
      <c r="A117" s="845"/>
      <c r="B117" s="845"/>
      <c r="C117" s="845"/>
      <c r="D117" s="845"/>
      <c r="E117" s="845"/>
    </row>
    <row r="118" spans="1:5">
      <c r="A118" s="845"/>
      <c r="B118" s="845"/>
      <c r="C118" s="845"/>
      <c r="D118" s="845"/>
      <c r="E118" s="845"/>
    </row>
    <row r="119" spans="1:5">
      <c r="A119" s="845"/>
      <c r="B119" s="845"/>
      <c r="C119" s="845"/>
      <c r="D119" s="845"/>
      <c r="E119" s="845"/>
    </row>
    <row r="120" spans="1:5">
      <c r="A120" s="845"/>
      <c r="B120" s="845"/>
      <c r="C120" s="845"/>
      <c r="D120" s="845"/>
      <c r="E120" s="845"/>
    </row>
    <row r="121" spans="1:5">
      <c r="A121" s="845"/>
      <c r="B121" s="845"/>
      <c r="C121" s="845"/>
      <c r="D121" s="845"/>
      <c r="E121" s="845"/>
    </row>
    <row r="122" spans="1:5">
      <c r="A122" s="845"/>
      <c r="B122" s="845"/>
      <c r="C122" s="845"/>
      <c r="D122" s="845"/>
      <c r="E122" s="845"/>
    </row>
    <row r="123" spans="1:5">
      <c r="A123" s="845"/>
      <c r="B123" s="845"/>
      <c r="C123" s="845"/>
      <c r="D123" s="845"/>
      <c r="E123" s="845"/>
    </row>
    <row r="124" spans="1:5">
      <c r="A124" s="845"/>
      <c r="B124" s="845"/>
      <c r="C124" s="845"/>
      <c r="D124" s="845"/>
      <c r="E124" s="845"/>
    </row>
    <row r="125" spans="1:5">
      <c r="A125" s="845"/>
      <c r="B125" s="845"/>
      <c r="C125" s="845"/>
      <c r="D125" s="845"/>
      <c r="E125" s="845"/>
    </row>
    <row r="126" spans="1:5">
      <c r="A126" s="845"/>
      <c r="B126" s="845"/>
      <c r="C126" s="845"/>
      <c r="D126" s="845"/>
      <c r="E126" s="845"/>
    </row>
    <row r="127" spans="1:5">
      <c r="A127" s="845"/>
      <c r="B127" s="845"/>
      <c r="C127" s="845"/>
      <c r="D127" s="845"/>
      <c r="E127" s="845"/>
    </row>
    <row r="128" spans="1:5">
      <c r="A128" s="845"/>
      <c r="B128" s="845"/>
      <c r="C128" s="845"/>
      <c r="D128" s="845"/>
      <c r="E128" s="845"/>
    </row>
    <row r="129" spans="1:5">
      <c r="A129" s="845"/>
      <c r="B129" s="845"/>
      <c r="C129" s="845"/>
      <c r="D129" s="845"/>
      <c r="E129" s="845"/>
    </row>
    <row r="130" spans="1:5">
      <c r="A130" s="845"/>
      <c r="B130" s="845"/>
      <c r="C130" s="845"/>
      <c r="D130" s="845"/>
      <c r="E130" s="845"/>
    </row>
    <row r="131" spans="1:5">
      <c r="A131" s="845"/>
      <c r="B131" s="845"/>
      <c r="C131" s="845"/>
      <c r="D131" s="845"/>
      <c r="E131" s="845"/>
    </row>
    <row r="132" spans="1:5">
      <c r="A132" s="845"/>
      <c r="B132" s="845"/>
      <c r="C132" s="845"/>
      <c r="D132" s="845"/>
      <c r="E132" s="845"/>
    </row>
    <row r="133" spans="1:5">
      <c r="A133" s="845"/>
      <c r="B133" s="845"/>
      <c r="C133" s="845"/>
      <c r="D133" s="845"/>
      <c r="E133" s="845"/>
    </row>
    <row r="134" spans="1:5">
      <c r="A134" s="845"/>
      <c r="B134" s="845"/>
      <c r="C134" s="845"/>
      <c r="D134" s="845"/>
      <c r="E134" s="845"/>
    </row>
    <row r="135" spans="1:5">
      <c r="A135" s="845"/>
      <c r="B135" s="845"/>
      <c r="C135" s="845"/>
      <c r="D135" s="845"/>
      <c r="E135" s="845"/>
    </row>
    <row r="136" spans="1:5">
      <c r="A136" s="845"/>
      <c r="B136" s="845"/>
      <c r="C136" s="845"/>
      <c r="D136" s="845"/>
      <c r="E136" s="845"/>
    </row>
    <row r="137" spans="1:5">
      <c r="A137" s="845"/>
      <c r="B137" s="845"/>
      <c r="C137" s="845"/>
      <c r="D137" s="845"/>
      <c r="E137" s="845"/>
    </row>
    <row r="138" spans="1:5">
      <c r="A138" s="845"/>
      <c r="B138" s="845"/>
      <c r="C138" s="845"/>
      <c r="D138" s="845"/>
      <c r="E138" s="845"/>
    </row>
    <row r="139" spans="1:5">
      <c r="A139" s="845"/>
      <c r="B139" s="845"/>
      <c r="C139" s="845"/>
      <c r="D139" s="845"/>
      <c r="E139" s="845"/>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topLeftCell="E1" zoomScale="75" zoomScaleNormal="75" workbookViewId="0">
      <selection activeCell="W14" sqref="W14"/>
    </sheetView>
  </sheetViews>
  <sheetFormatPr defaultRowHeight="14.1" customHeight="1"/>
  <cols>
    <col min="1" max="1" width="2.375" style="578" customWidth="1"/>
    <col min="2" max="2" width="2.375" style="21" customWidth="1"/>
    <col min="3" max="13" width="10.625" style="21" customWidth="1"/>
    <col min="14" max="14" width="2.375" style="21" customWidth="1"/>
    <col min="15" max="25" width="12.625" style="21" customWidth="1"/>
    <col min="26" max="35" width="10.625" style="21" customWidth="1"/>
    <col min="36" max="36" width="10.625" style="596"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Page1,HVLPage,ExpChart,ImgQuality,Compg1,GraphAcryl,LeedsTO10</v>
      </c>
    </row>
    <row r="4" spans="1:44" ht="14.1" customHeight="1">
      <c r="A4" s="17">
        <v>4</v>
      </c>
      <c r="B4" s="26"/>
      <c r="C4" s="27"/>
      <c r="D4" s="27"/>
      <c r="E4" s="27"/>
      <c r="F4" s="27"/>
      <c r="G4" s="27"/>
      <c r="H4" s="27"/>
      <c r="I4" s="27"/>
      <c r="J4" s="27"/>
      <c r="K4" s="27"/>
      <c r="L4" s="27"/>
      <c r="M4" s="29"/>
      <c r="O4" s="30"/>
      <c r="T4" s="578"/>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v>43273</v>
      </c>
      <c r="Q7" s="45"/>
      <c r="W7" s="21" t="s">
        <v>11</v>
      </c>
      <c r="X7" s="46" t="str">
        <f>IF(Y7&lt;&gt;"",Y7,IF(AB9="","",AB9))</f>
        <v>Eugene Mah</v>
      </c>
      <c r="Y7" s="47" t="s">
        <v>12</v>
      </c>
      <c r="AA7" s="35" t="s">
        <v>0</v>
      </c>
      <c r="AB7" s="48" t="s">
        <v>2</v>
      </c>
      <c r="AC7" s="49" t="str">
        <f t="shared" ref="AC7:AC19" si="0">IF(AB7&lt;&gt;AD7,"Change","")</f>
        <v/>
      </c>
      <c r="AD7" s="50" t="str">
        <f>IF(OR(AA2="",AA2=0),"",AA2)</f>
        <v>Page1,HVLPage,ExpChart,ImgQuality,Compg1,GraphAcryl,LeedsTO10</v>
      </c>
    </row>
    <row r="8" spans="1:44" ht="14.1" customHeight="1" thickBot="1">
      <c r="A8" s="17">
        <v>8</v>
      </c>
      <c r="G8" s="51"/>
      <c r="H8" s="51" t="s">
        <v>13</v>
      </c>
      <c r="O8" s="21" t="s">
        <v>14</v>
      </c>
      <c r="P8" s="52">
        <f>IF(AB8="","",AB8)</f>
        <v>42901</v>
      </c>
      <c r="Q8" s="53"/>
      <c r="T8" s="259" t="s">
        <v>13</v>
      </c>
      <c r="W8" s="54"/>
      <c r="X8" s="54"/>
      <c r="Y8" s="55"/>
      <c r="AA8" s="35" t="s">
        <v>15</v>
      </c>
      <c r="AB8" s="56">
        <v>42901</v>
      </c>
      <c r="AC8" s="49" t="str">
        <f t="shared" si="0"/>
        <v>Change</v>
      </c>
      <c r="AD8" s="57">
        <f>IF(P7="","",P7)</f>
        <v>43273</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t="s">
        <v>12</v>
      </c>
      <c r="AC9" s="49" t="str">
        <f t="shared" si="0"/>
        <v/>
      </c>
      <c r="AD9" s="66" t="str">
        <f>IF(X7="","",X7)</f>
        <v>Eugene Mah</v>
      </c>
      <c r="AH9" s="578" t="s">
        <v>19</v>
      </c>
      <c r="AI9" s="578" t="s">
        <v>20</v>
      </c>
      <c r="AJ9" s="597" t="s">
        <v>21</v>
      </c>
      <c r="AK9" s="578" t="s">
        <v>22</v>
      </c>
      <c r="AL9" s="578" t="s">
        <v>23</v>
      </c>
      <c r="AM9" s="578" t="s">
        <v>24</v>
      </c>
      <c r="AN9" s="578" t="s">
        <v>25</v>
      </c>
      <c r="AO9" s="578" t="s">
        <v>26</v>
      </c>
      <c r="AP9" s="578" t="s">
        <v>27</v>
      </c>
      <c r="AQ9" s="848" t="s">
        <v>428</v>
      </c>
      <c r="AR9" s="578" t="s">
        <v>28</v>
      </c>
    </row>
    <row r="10" spans="1:44" ht="14.1" customHeight="1">
      <c r="A10" s="17">
        <v>10</v>
      </c>
      <c r="B10" s="67"/>
      <c r="C10" s="68"/>
      <c r="E10" s="35" t="s">
        <v>29</v>
      </c>
      <c r="F10" s="971" t="str">
        <f>IF(R10="","",R10)</f>
        <v>MUSC Health East Cooper</v>
      </c>
      <c r="G10" s="971"/>
      <c r="J10" s="35" t="s">
        <v>30</v>
      </c>
      <c r="K10" s="964" t="str">
        <f>IF(V10="","",V10)</f>
        <v>400-392781</v>
      </c>
      <c r="L10" s="964"/>
      <c r="M10" s="69"/>
      <c r="O10" s="30"/>
      <c r="Q10" s="35" t="s">
        <v>29</v>
      </c>
      <c r="R10" s="46" t="str">
        <f>IF(S10&lt;&gt;"",S10,IF(AB10="","",AB10))</f>
        <v>MUSC Health East Cooper</v>
      </c>
      <c r="S10" s="47"/>
      <c r="U10" s="35" t="s">
        <v>30</v>
      </c>
      <c r="V10" s="46" t="str">
        <f>IF(W10&lt;&gt;"",W10,IF(AB15="","",AB15))</f>
        <v>400-392781</v>
      </c>
      <c r="W10" s="47"/>
      <c r="Y10" s="32"/>
      <c r="AA10" s="35" t="s">
        <v>29</v>
      </c>
      <c r="AB10" s="65" t="s">
        <v>806</v>
      </c>
      <c r="AC10" s="49" t="str">
        <f t="shared" si="0"/>
        <v/>
      </c>
      <c r="AD10" s="66" t="str">
        <f>IF(R10="","",R10)</f>
        <v>MUSC Health East Cooper</v>
      </c>
      <c r="AH10" s="582">
        <v>24</v>
      </c>
      <c r="AI10" s="580">
        <v>50</v>
      </c>
      <c r="AJ10" s="210">
        <v>0</v>
      </c>
      <c r="AK10" s="580" t="str">
        <f>IF($V$21="","",$V$21)</f>
        <v>Mo</v>
      </c>
      <c r="AL10" s="580" t="str">
        <f>IF($V$24="","",$V$24)</f>
        <v>Mo</v>
      </c>
      <c r="AM10" s="849"/>
      <c r="AN10" s="849"/>
      <c r="AO10" s="849"/>
      <c r="AP10" s="849"/>
      <c r="AQ10" s="850"/>
      <c r="AR10" s="583"/>
    </row>
    <row r="11" spans="1:44" ht="14.1" customHeight="1">
      <c r="A11" s="17">
        <v>11</v>
      </c>
      <c r="B11" s="67"/>
      <c r="C11" s="68"/>
      <c r="E11" s="35" t="s">
        <v>32</v>
      </c>
      <c r="F11" s="972" t="str">
        <f>IF(R11="","",R11)</f>
        <v>Radiology</v>
      </c>
      <c r="G11" s="972"/>
      <c r="J11" s="35" t="s">
        <v>33</v>
      </c>
      <c r="K11" s="964" t="str">
        <f>IF(V11="","",V11)</f>
        <v>SBB</v>
      </c>
      <c r="L11" s="964"/>
      <c r="M11" s="69"/>
      <c r="O11" s="30"/>
      <c r="Q11" s="35" t="s">
        <v>32</v>
      </c>
      <c r="R11" s="46" t="str">
        <f>IF(S11&lt;&gt;"",S11,IF(AB11="","",AB11))</f>
        <v>Radiology</v>
      </c>
      <c r="S11" s="47"/>
      <c r="U11" s="35" t="s">
        <v>33</v>
      </c>
      <c r="V11" s="46" t="str">
        <f>IF(W11&lt;&gt;"",W11,IF(AB16="","",AB16))</f>
        <v>SBB</v>
      </c>
      <c r="W11" s="47"/>
      <c r="Y11" s="32"/>
      <c r="AA11" s="35" t="s">
        <v>32</v>
      </c>
      <c r="AB11" s="65" t="s">
        <v>807</v>
      </c>
      <c r="AC11" s="49" t="str">
        <f t="shared" si="0"/>
        <v/>
      </c>
      <c r="AD11" s="66" t="str">
        <f>IF(R11="","",R11)</f>
        <v>Radiology</v>
      </c>
      <c r="AH11" s="588">
        <v>24</v>
      </c>
      <c r="AI11" s="589">
        <v>50</v>
      </c>
      <c r="AJ11" s="590">
        <v>0</v>
      </c>
      <c r="AK11" s="589" t="str">
        <f t="shared" ref="AK11:AK74" si="1">IF($V$21="","",$V$21)</f>
        <v>Mo</v>
      </c>
      <c r="AL11" s="589" t="str">
        <f t="shared" ref="AL11:AL56" si="2">IF($V$24="","",$V$24)</f>
        <v>Mo</v>
      </c>
      <c r="AM11" s="589"/>
      <c r="AN11" s="589"/>
      <c r="AO11" s="589"/>
      <c r="AP11" s="589"/>
      <c r="AQ11" s="851"/>
      <c r="AR11" s="591"/>
    </row>
    <row r="12" spans="1:44" ht="14.1" customHeight="1">
      <c r="A12" s="17">
        <v>12</v>
      </c>
      <c r="B12" s="67"/>
      <c r="C12" s="68"/>
      <c r="E12" s="35" t="s">
        <v>34</v>
      </c>
      <c r="F12" s="972" t="str">
        <f>IF(R12="","",R12)</f>
        <v>Mammography</v>
      </c>
      <c r="G12" s="972"/>
      <c r="J12" s="35" t="s">
        <v>35</v>
      </c>
      <c r="K12" s="970">
        <f>IF(V12="","",V12)</f>
        <v>41091</v>
      </c>
      <c r="L12" s="970"/>
      <c r="M12" s="69"/>
      <c r="O12" s="30"/>
      <c r="Q12" s="35" t="s">
        <v>34</v>
      </c>
      <c r="R12" s="46" t="str">
        <f>IF(S12&lt;&gt;"",S12,IF(AB12="","",AB12))</f>
        <v>Mammography</v>
      </c>
      <c r="S12" s="47"/>
      <c r="U12" s="35" t="s">
        <v>35</v>
      </c>
      <c r="V12" s="72">
        <f>IF(W12&lt;&gt;"",W12,IF(AB17="","",AB17))</f>
        <v>41091</v>
      </c>
      <c r="W12" s="73"/>
      <c r="Y12" s="32"/>
      <c r="AA12" s="35" t="s">
        <v>34</v>
      </c>
      <c r="AB12" s="65" t="s">
        <v>808</v>
      </c>
      <c r="AC12" s="49" t="str">
        <f t="shared" si="0"/>
        <v/>
      </c>
      <c r="AD12" s="66" t="str">
        <f>IF(R12="","",R12)</f>
        <v>Mammography</v>
      </c>
      <c r="AH12" s="588">
        <v>24</v>
      </c>
      <c r="AI12" s="589">
        <v>50</v>
      </c>
      <c r="AJ12" s="590">
        <v>0.3</v>
      </c>
      <c r="AK12" s="589" t="str">
        <f t="shared" si="1"/>
        <v>Mo</v>
      </c>
      <c r="AL12" s="589" t="str">
        <f t="shared" si="2"/>
        <v>Mo</v>
      </c>
      <c r="AM12" s="589"/>
      <c r="AN12" s="589"/>
      <c r="AO12" s="589"/>
      <c r="AP12" s="589"/>
      <c r="AQ12" s="851"/>
      <c r="AR12" s="591"/>
    </row>
    <row r="13" spans="1:44" ht="14.1" customHeight="1">
      <c r="A13" s="17">
        <v>13</v>
      </c>
      <c r="B13" s="67"/>
      <c r="C13" s="68"/>
      <c r="E13" s="35" t="s">
        <v>36</v>
      </c>
      <c r="F13" s="972">
        <f>IF(R13="","",R13)</f>
        <v>2302</v>
      </c>
      <c r="G13" s="972"/>
      <c r="J13" s="35" t="s">
        <v>37</v>
      </c>
      <c r="K13" s="964">
        <f>IF(V13="","",V13)</f>
        <v>1</v>
      </c>
      <c r="L13" s="964"/>
      <c r="M13" s="69"/>
      <c r="O13" s="30"/>
      <c r="Q13" s="35" t="s">
        <v>36</v>
      </c>
      <c r="R13" s="46">
        <f>IF(S13&lt;&gt;"",S13,IF(AB13="","",AB13))</f>
        <v>2302</v>
      </c>
      <c r="S13" s="47">
        <v>2302</v>
      </c>
      <c r="U13" s="35" t="s">
        <v>37</v>
      </c>
      <c r="V13" s="46">
        <f>IF(W13&lt;&gt;"",W13,IF(AB18="","",AB18))</f>
        <v>1</v>
      </c>
      <c r="W13" s="47"/>
      <c r="Y13" s="32"/>
      <c r="AA13" s="35" t="s">
        <v>36</v>
      </c>
      <c r="AB13" s="65">
        <v>2099</v>
      </c>
      <c r="AC13" s="49" t="str">
        <f t="shared" si="0"/>
        <v>Change</v>
      </c>
      <c r="AD13" s="66">
        <f>IF(R13="","",R13)</f>
        <v>2302</v>
      </c>
      <c r="AH13" s="588">
        <v>24</v>
      </c>
      <c r="AI13" s="589">
        <v>50</v>
      </c>
      <c r="AJ13" s="590">
        <v>0.3</v>
      </c>
      <c r="AK13" s="589" t="str">
        <f t="shared" si="1"/>
        <v>Mo</v>
      </c>
      <c r="AL13" s="589" t="str">
        <f t="shared" si="2"/>
        <v>Mo</v>
      </c>
      <c r="AM13" s="589"/>
      <c r="AN13" s="589"/>
      <c r="AO13" s="589"/>
      <c r="AP13" s="589"/>
      <c r="AQ13" s="851"/>
      <c r="AR13" s="591"/>
    </row>
    <row r="14" spans="1:44" ht="14.1" customHeight="1">
      <c r="A14" s="17">
        <v>14</v>
      </c>
      <c r="B14" s="67"/>
      <c r="C14" s="68"/>
      <c r="M14" s="69"/>
      <c r="O14" s="30"/>
      <c r="Q14" s="35" t="s">
        <v>38</v>
      </c>
      <c r="R14" s="46" t="str">
        <f>IF(S14&lt;&gt;"",S14,IF(AB14="","",AB14))</f>
        <v>1C07</v>
      </c>
      <c r="S14" s="47"/>
      <c r="U14" s="35" t="s">
        <v>39</v>
      </c>
      <c r="V14" s="46" t="str">
        <f>IF(W14&lt;&gt;"",W14,IF(AB19="","",AB19))</f>
        <v>MTP1C07_2018</v>
      </c>
      <c r="W14" s="47" t="s">
        <v>818</v>
      </c>
      <c r="Y14" s="32"/>
      <c r="AA14" s="35" t="s">
        <v>38</v>
      </c>
      <c r="AB14" s="74" t="s">
        <v>809</v>
      </c>
      <c r="AC14" s="49" t="str">
        <f t="shared" si="0"/>
        <v/>
      </c>
      <c r="AD14" s="66" t="str">
        <f>IF(R14="","",R14)</f>
        <v>1C07</v>
      </c>
      <c r="AH14" s="588">
        <v>24</v>
      </c>
      <c r="AI14" s="589">
        <v>50</v>
      </c>
      <c r="AJ14" s="590">
        <v>0.4</v>
      </c>
      <c r="AK14" s="589" t="str">
        <f t="shared" si="1"/>
        <v>Mo</v>
      </c>
      <c r="AL14" s="589" t="str">
        <f t="shared" si="2"/>
        <v>Mo</v>
      </c>
      <c r="AM14" s="589"/>
      <c r="AN14" s="589"/>
      <c r="AO14" s="589"/>
      <c r="AP14" s="589"/>
      <c r="AQ14" s="851"/>
      <c r="AR14" s="591"/>
    </row>
    <row r="15" spans="1:44" ht="14.1" customHeight="1">
      <c r="A15" s="17">
        <v>15</v>
      </c>
      <c r="B15" s="67"/>
      <c r="C15" s="68"/>
      <c r="D15" s="75" t="s">
        <v>40</v>
      </c>
      <c r="M15" s="69"/>
      <c r="O15" s="30"/>
      <c r="Y15" s="32"/>
      <c r="AA15" s="35" t="s">
        <v>30</v>
      </c>
      <c r="AB15" s="65" t="s">
        <v>810</v>
      </c>
      <c r="AC15" s="49" t="str">
        <f t="shared" si="0"/>
        <v/>
      </c>
      <c r="AD15" s="66" t="str">
        <f>IF(V10="","",V10)</f>
        <v>400-392781</v>
      </c>
      <c r="AH15" s="588">
        <v>24</v>
      </c>
      <c r="AI15" s="589">
        <v>50</v>
      </c>
      <c r="AJ15" s="590">
        <v>0.4</v>
      </c>
      <c r="AK15" s="589" t="str">
        <f t="shared" si="1"/>
        <v>Mo</v>
      </c>
      <c r="AL15" s="589" t="str">
        <f t="shared" si="2"/>
        <v>Mo</v>
      </c>
      <c r="AM15" s="589"/>
      <c r="AN15" s="589"/>
      <c r="AO15" s="589"/>
      <c r="AP15" s="589"/>
      <c r="AQ15" s="851"/>
      <c r="AR15" s="591"/>
    </row>
    <row r="16" spans="1:44" ht="14.1" customHeight="1">
      <c r="A16" s="17">
        <v>16</v>
      </c>
      <c r="B16" s="67"/>
      <c r="C16" s="68"/>
      <c r="E16" s="35" t="s">
        <v>41</v>
      </c>
      <c r="F16" s="964" t="str">
        <f>IF(R17="","",R17)</f>
        <v>Siemens</v>
      </c>
      <c r="G16" s="964"/>
      <c r="J16" s="35" t="s">
        <v>42</v>
      </c>
      <c r="K16" s="970" t="str">
        <f>IF(V17="","",V17)</f>
        <v/>
      </c>
      <c r="L16" s="970"/>
      <c r="M16" s="69"/>
      <c r="O16" s="30"/>
      <c r="P16" s="75" t="s">
        <v>40</v>
      </c>
      <c r="Y16" s="32"/>
      <c r="AA16" s="35" t="s">
        <v>33</v>
      </c>
      <c r="AB16" s="65" t="s">
        <v>811</v>
      </c>
      <c r="AC16" s="49" t="str">
        <f t="shared" si="0"/>
        <v/>
      </c>
      <c r="AD16" s="66" t="str">
        <f>IF(V11="","",V11)</f>
        <v>SBB</v>
      </c>
      <c r="AH16" s="588">
        <v>24</v>
      </c>
      <c r="AI16" s="589">
        <v>50</v>
      </c>
      <c r="AJ16" s="590">
        <v>0.5</v>
      </c>
      <c r="AK16" s="589" t="str">
        <f t="shared" si="1"/>
        <v>Mo</v>
      </c>
      <c r="AL16" s="589" t="str">
        <f t="shared" si="2"/>
        <v>Mo</v>
      </c>
      <c r="AM16" s="589"/>
      <c r="AN16" s="589"/>
      <c r="AO16" s="589"/>
      <c r="AP16" s="589"/>
      <c r="AQ16" s="851"/>
      <c r="AR16" s="591"/>
    </row>
    <row r="17" spans="1:44" ht="14.1" customHeight="1">
      <c r="A17" s="17">
        <v>17</v>
      </c>
      <c r="B17" s="67"/>
      <c r="C17" s="68"/>
      <c r="E17" s="35" t="s">
        <v>43</v>
      </c>
      <c r="F17" s="964" t="str">
        <f>IF(R18="","",R18)</f>
        <v>Mammotest</v>
      </c>
      <c r="G17" s="964"/>
      <c r="J17" s="35" t="s">
        <v>44</v>
      </c>
      <c r="K17" s="973">
        <f>IF(V18="","",V18)</f>
        <v>10247</v>
      </c>
      <c r="L17" s="973"/>
      <c r="M17" s="69"/>
      <c r="O17" s="30"/>
      <c r="Q17" s="35" t="s">
        <v>41</v>
      </c>
      <c r="R17" s="46" t="str">
        <f>IF(S17&lt;&gt;"",S17,IF(AB21="","",AB21))</f>
        <v>Siemens</v>
      </c>
      <c r="S17" s="47"/>
      <c r="U17" s="35" t="s">
        <v>42</v>
      </c>
      <c r="V17" s="72" t="str">
        <f>IF(W17&lt;&gt;"",W17,IF(AB24="","",AB24))</f>
        <v/>
      </c>
      <c r="W17" s="76"/>
      <c r="Y17" s="32"/>
      <c r="AA17" s="35" t="s">
        <v>35</v>
      </c>
      <c r="AB17" s="77">
        <v>41091</v>
      </c>
      <c r="AC17" s="49" t="str">
        <f t="shared" si="0"/>
        <v/>
      </c>
      <c r="AD17" s="78">
        <f>IF(V12="","",V12)</f>
        <v>41091</v>
      </c>
      <c r="AH17" s="588">
        <v>24</v>
      </c>
      <c r="AI17" s="589">
        <v>50</v>
      </c>
      <c r="AJ17" s="590">
        <v>0.5</v>
      </c>
      <c r="AK17" s="589" t="str">
        <f t="shared" si="1"/>
        <v>Mo</v>
      </c>
      <c r="AL17" s="589" t="str">
        <f t="shared" si="2"/>
        <v>Mo</v>
      </c>
      <c r="AM17" s="589"/>
      <c r="AN17" s="589"/>
      <c r="AO17" s="589"/>
      <c r="AP17" s="589"/>
      <c r="AQ17" s="851"/>
      <c r="AR17" s="591"/>
    </row>
    <row r="18" spans="1:44" ht="14.1" customHeight="1">
      <c r="A18" s="17">
        <v>18</v>
      </c>
      <c r="B18" s="67"/>
      <c r="C18" s="68"/>
      <c r="E18" s="35" t="s">
        <v>45</v>
      </c>
      <c r="F18" s="964">
        <f>IF(R19="","",R19)</f>
        <v>34</v>
      </c>
      <c r="G18" s="964"/>
      <c r="J18" s="35" t="s">
        <v>46</v>
      </c>
      <c r="K18" s="964">
        <f>IF(V19="","",V19)</f>
        <v>100</v>
      </c>
      <c r="L18" s="964"/>
      <c r="M18" s="69"/>
      <c r="O18" s="30"/>
      <c r="Q18" s="35" t="s">
        <v>43</v>
      </c>
      <c r="R18" s="46" t="str">
        <f>IF(S18&lt;&gt;"",S18,IF(AB22="","",AB22))</f>
        <v>Mammotest</v>
      </c>
      <c r="S18" s="47"/>
      <c r="U18" s="35" t="s">
        <v>44</v>
      </c>
      <c r="V18" s="46">
        <f>IF(W18&lt;&gt;"",W18,IF(AB25="","",AB25))</f>
        <v>10247</v>
      </c>
      <c r="W18" s="47"/>
      <c r="Y18" s="32"/>
      <c r="AA18" s="35" t="s">
        <v>37</v>
      </c>
      <c r="AB18" s="65">
        <v>1</v>
      </c>
      <c r="AC18" s="49" t="str">
        <f t="shared" si="0"/>
        <v/>
      </c>
      <c r="AD18" s="66">
        <f>IF(V13="","",V13)</f>
        <v>1</v>
      </c>
      <c r="AH18" s="584">
        <v>25</v>
      </c>
      <c r="AI18" s="16">
        <v>50</v>
      </c>
      <c r="AJ18" s="70">
        <v>0</v>
      </c>
      <c r="AK18" s="16" t="str">
        <f t="shared" si="1"/>
        <v>Mo</v>
      </c>
      <c r="AL18" s="16" t="str">
        <f t="shared" si="2"/>
        <v>Mo</v>
      </c>
      <c r="AM18" s="16"/>
      <c r="AN18" s="16"/>
      <c r="AO18" s="16"/>
      <c r="AP18" s="16"/>
      <c r="AQ18" s="852"/>
      <c r="AR18" s="585"/>
    </row>
    <row r="19" spans="1:44" ht="14.1" customHeight="1">
      <c r="A19" s="17">
        <v>19</v>
      </c>
      <c r="B19" s="67"/>
      <c r="C19" s="68"/>
      <c r="M19" s="69"/>
      <c r="O19" s="30"/>
      <c r="Q19" s="35" t="s">
        <v>45</v>
      </c>
      <c r="R19" s="46">
        <f>IF(S19&lt;&gt;"",S19,IF(AB23="","",AB23))</f>
        <v>34</v>
      </c>
      <c r="S19" s="47"/>
      <c r="U19" s="35" t="s">
        <v>46</v>
      </c>
      <c r="V19" s="46">
        <f>IF(W19&lt;&gt;"",W19,IF(AB26="","",AB26))</f>
        <v>100</v>
      </c>
      <c r="W19" s="47"/>
      <c r="Y19" s="32"/>
      <c r="AA19" s="35" t="s">
        <v>47</v>
      </c>
      <c r="AB19" s="65">
        <v>7544912</v>
      </c>
      <c r="AC19" s="49" t="str">
        <f t="shared" si="0"/>
        <v>Change</v>
      </c>
      <c r="AD19" s="66" t="str">
        <f>IF(V14="","",V14)</f>
        <v>MTP1C07_2018</v>
      </c>
      <c r="AH19" s="588">
        <v>25</v>
      </c>
      <c r="AI19" s="589">
        <v>50</v>
      </c>
      <c r="AJ19" s="590">
        <v>0</v>
      </c>
      <c r="AK19" s="589" t="str">
        <f t="shared" si="1"/>
        <v>Mo</v>
      </c>
      <c r="AL19" s="589" t="str">
        <f t="shared" si="2"/>
        <v>Mo</v>
      </c>
      <c r="AM19" s="589"/>
      <c r="AN19" s="589"/>
      <c r="AO19" s="589"/>
      <c r="AP19" s="589"/>
      <c r="AQ19" s="851"/>
      <c r="AR19" s="591"/>
    </row>
    <row r="20" spans="1:44" ht="14.1" customHeight="1">
      <c r="A20" s="17">
        <v>20</v>
      </c>
      <c r="B20" s="67"/>
      <c r="C20" s="68"/>
      <c r="D20" s="75" t="s">
        <v>48</v>
      </c>
      <c r="J20" s="79"/>
      <c r="M20" s="69"/>
      <c r="O20" s="30"/>
      <c r="Y20" s="32"/>
      <c r="AA20" s="43" t="s">
        <v>40</v>
      </c>
      <c r="AH20" s="588">
        <v>25</v>
      </c>
      <c r="AI20" s="589">
        <v>50</v>
      </c>
      <c r="AJ20" s="590">
        <v>0.3</v>
      </c>
      <c r="AK20" s="589" t="str">
        <f t="shared" si="1"/>
        <v>Mo</v>
      </c>
      <c r="AL20" s="589" t="str">
        <f t="shared" si="2"/>
        <v>Mo</v>
      </c>
      <c r="AM20" s="589"/>
      <c r="AN20" s="589"/>
      <c r="AO20" s="589"/>
      <c r="AP20" s="589"/>
      <c r="AQ20" s="851"/>
      <c r="AR20" s="591"/>
    </row>
    <row r="21" spans="1:44" ht="14.1" customHeight="1">
      <c r="A21" s="17">
        <v>21</v>
      </c>
      <c r="B21" s="67"/>
      <c r="C21" s="68"/>
      <c r="E21" s="35" t="s">
        <v>49</v>
      </c>
      <c r="F21" s="964" t="str">
        <f>IF(R22="","",R22)</f>
        <v>SBB</v>
      </c>
      <c r="G21" s="964"/>
      <c r="J21" s="35" t="s">
        <v>50</v>
      </c>
      <c r="K21" s="964" t="str">
        <f>IF(V21="","",V21)</f>
        <v>Mo</v>
      </c>
      <c r="L21" s="964"/>
      <c r="M21" s="69"/>
      <c r="O21" s="30"/>
      <c r="P21" s="75" t="s">
        <v>48</v>
      </c>
      <c r="U21" s="75" t="s">
        <v>50</v>
      </c>
      <c r="V21" s="46" t="str">
        <f>IF(W21&lt;&gt;"",W21,IF(AB38="","",AB38))</f>
        <v>Mo</v>
      </c>
      <c r="W21" s="47"/>
      <c r="Y21" s="32"/>
      <c r="AA21" s="35" t="s">
        <v>41</v>
      </c>
      <c r="AB21" s="65" t="s">
        <v>382</v>
      </c>
      <c r="AC21" s="49" t="str">
        <f t="shared" ref="AC21:AC26" si="3">IF(AB21&lt;&gt;AD21,"Change","")</f>
        <v/>
      </c>
      <c r="AD21" s="66" t="str">
        <f>IF(R17="","",R17)</f>
        <v>Siemens</v>
      </c>
      <c r="AH21" s="588">
        <v>25</v>
      </c>
      <c r="AI21" s="589">
        <v>50</v>
      </c>
      <c r="AJ21" s="590">
        <v>0.3</v>
      </c>
      <c r="AK21" s="589" t="str">
        <f t="shared" si="1"/>
        <v>Mo</v>
      </c>
      <c r="AL21" s="589" t="str">
        <f t="shared" si="2"/>
        <v>Mo</v>
      </c>
      <c r="AM21" s="589"/>
      <c r="AN21" s="589"/>
      <c r="AO21" s="589"/>
      <c r="AP21" s="589"/>
      <c r="AQ21" s="851"/>
      <c r="AR21" s="591"/>
    </row>
    <row r="22" spans="1:44" ht="14.1" customHeight="1">
      <c r="A22" s="17">
        <v>22</v>
      </c>
      <c r="B22" s="67"/>
      <c r="C22" s="68"/>
      <c r="E22" s="35" t="s">
        <v>42</v>
      </c>
      <c r="F22" s="970" t="str">
        <f>IF(R23="","",R23)</f>
        <v/>
      </c>
      <c r="G22" s="970"/>
      <c r="J22" s="35"/>
      <c r="K22" s="964" t="str">
        <f>IF(V22="","",V22)</f>
        <v/>
      </c>
      <c r="L22" s="964"/>
      <c r="M22" s="69"/>
      <c r="O22" s="30"/>
      <c r="Q22" s="35" t="s">
        <v>49</v>
      </c>
      <c r="R22" s="46" t="str">
        <f>IF(S22&lt;&gt;"",S22,IF(AB28="","",AB28))</f>
        <v>SBB</v>
      </c>
      <c r="S22" s="47"/>
      <c r="V22" s="46" t="str">
        <f>IF(W22&lt;&gt;"",W22,IF(AB39="","",AB39))</f>
        <v/>
      </c>
      <c r="W22" s="47"/>
      <c r="Y22" s="32"/>
      <c r="AA22" s="35" t="s">
        <v>43</v>
      </c>
      <c r="AB22" s="65" t="s">
        <v>812</v>
      </c>
      <c r="AC22" s="49" t="str">
        <f t="shared" si="3"/>
        <v/>
      </c>
      <c r="AD22" s="66" t="str">
        <f>IF(R18="","",R18)</f>
        <v>Mammotest</v>
      </c>
      <c r="AH22" s="588">
        <v>25</v>
      </c>
      <c r="AI22" s="589">
        <v>50</v>
      </c>
      <c r="AJ22" s="590">
        <v>0.4</v>
      </c>
      <c r="AK22" s="589" t="str">
        <f t="shared" si="1"/>
        <v>Mo</v>
      </c>
      <c r="AL22" s="589" t="str">
        <f t="shared" si="2"/>
        <v>Mo</v>
      </c>
      <c r="AM22" s="589"/>
      <c r="AN22" s="589"/>
      <c r="AO22" s="589"/>
      <c r="AP22" s="589"/>
      <c r="AQ22" s="851"/>
      <c r="AR22" s="591"/>
    </row>
    <row r="23" spans="1:44" ht="14.1" customHeight="1">
      <c r="A23" s="17">
        <v>23</v>
      </c>
      <c r="B23" s="67"/>
      <c r="C23" s="68"/>
      <c r="D23" s="75" t="s">
        <v>52</v>
      </c>
      <c r="J23" s="35" t="s">
        <v>53</v>
      </c>
      <c r="K23" s="964" t="str">
        <f>IF(V24="","",V24)</f>
        <v>Mo</v>
      </c>
      <c r="L23" s="964"/>
      <c r="M23" s="69"/>
      <c r="O23" s="30"/>
      <c r="Q23" s="35" t="s">
        <v>42</v>
      </c>
      <c r="R23" s="72" t="str">
        <f>IF(S23&lt;&gt;"",S23,IF(AB29="","",AB29))</f>
        <v/>
      </c>
      <c r="S23" s="76"/>
      <c r="V23" s="4"/>
      <c r="W23" s="4"/>
      <c r="Y23" s="32"/>
      <c r="AA23" s="35" t="s">
        <v>45</v>
      </c>
      <c r="AB23" s="65">
        <v>34</v>
      </c>
      <c r="AC23" s="49" t="str">
        <f t="shared" si="3"/>
        <v/>
      </c>
      <c r="AD23" s="66">
        <f>IF(R19="","",R19)</f>
        <v>34</v>
      </c>
      <c r="AH23" s="588">
        <v>25</v>
      </c>
      <c r="AI23" s="589">
        <v>50</v>
      </c>
      <c r="AJ23" s="590">
        <v>0.4</v>
      </c>
      <c r="AK23" s="589" t="str">
        <f t="shared" si="1"/>
        <v>Mo</v>
      </c>
      <c r="AL23" s="589" t="str">
        <f t="shared" si="2"/>
        <v>Mo</v>
      </c>
      <c r="AM23" s="589"/>
      <c r="AN23" s="589"/>
      <c r="AO23" s="589"/>
      <c r="AP23" s="589"/>
      <c r="AQ23" s="851"/>
      <c r="AR23" s="591"/>
    </row>
    <row r="24" spans="1:44" ht="14.1" customHeight="1">
      <c r="A24" s="17">
        <v>24</v>
      </c>
      <c r="B24" s="67"/>
      <c r="C24" s="68"/>
      <c r="E24" s="35" t="s">
        <v>41</v>
      </c>
      <c r="F24" s="964" t="str">
        <f>IF(R25="","",R25)</f>
        <v>Varian</v>
      </c>
      <c r="G24" s="964"/>
      <c r="K24" s="964" t="str">
        <f>IF(V25="","",V25)</f>
        <v/>
      </c>
      <c r="L24" s="964"/>
      <c r="M24" s="69"/>
      <c r="O24" s="30"/>
      <c r="P24" s="75" t="s">
        <v>52</v>
      </c>
      <c r="U24" s="75" t="s">
        <v>53</v>
      </c>
      <c r="V24" s="46" t="str">
        <f>IF(W24&lt;&gt;"",W24,IF(AB40="","",AB40))</f>
        <v>Mo</v>
      </c>
      <c r="W24" s="47"/>
      <c r="Y24" s="32"/>
      <c r="AA24" s="35" t="s">
        <v>42</v>
      </c>
      <c r="AB24" s="77" t="s">
        <v>553</v>
      </c>
      <c r="AC24" s="49" t="str">
        <f t="shared" si="3"/>
        <v/>
      </c>
      <c r="AD24" s="78" t="str">
        <f>IF(V17="","",V17)</f>
        <v/>
      </c>
      <c r="AH24" s="588">
        <v>25</v>
      </c>
      <c r="AI24" s="589">
        <v>50</v>
      </c>
      <c r="AJ24" s="590">
        <v>0.5</v>
      </c>
      <c r="AK24" s="589" t="str">
        <f t="shared" si="1"/>
        <v>Mo</v>
      </c>
      <c r="AL24" s="589" t="str">
        <f t="shared" si="2"/>
        <v>Mo</v>
      </c>
      <c r="AM24" s="589"/>
      <c r="AN24" s="589"/>
      <c r="AO24" s="589"/>
      <c r="AP24" s="589"/>
      <c r="AQ24" s="851"/>
      <c r="AR24" s="591"/>
    </row>
    <row r="25" spans="1:44" ht="14.1" customHeight="1">
      <c r="A25" s="17">
        <v>25</v>
      </c>
      <c r="B25" s="67"/>
      <c r="C25" s="68"/>
      <c r="E25" s="35" t="s">
        <v>43</v>
      </c>
      <c r="F25" s="964" t="str">
        <f>IF(R26="","",R26)</f>
        <v>M-147SP</v>
      </c>
      <c r="G25" s="964"/>
      <c r="J25" s="4"/>
      <c r="K25" s="4"/>
      <c r="L25" s="4"/>
      <c r="M25" s="69"/>
      <c r="O25" s="30"/>
      <c r="Q25" s="35" t="s">
        <v>41</v>
      </c>
      <c r="R25" s="46" t="str">
        <f>IF(S25&lt;&gt;"",S25,IF(AB30="","",AB30))</f>
        <v>Varian</v>
      </c>
      <c r="S25" s="47"/>
      <c r="V25" s="46" t="str">
        <f>IF(W25&lt;&gt;"",W25,IF(AB41="","",AB41))</f>
        <v/>
      </c>
      <c r="W25" s="47"/>
      <c r="Y25" s="32"/>
      <c r="AA25" s="35" t="s">
        <v>44</v>
      </c>
      <c r="AB25" s="65">
        <v>10247</v>
      </c>
      <c r="AC25" s="49" t="str">
        <f t="shared" si="3"/>
        <v/>
      </c>
      <c r="AD25" s="66">
        <f>IF(V18="","",V18)</f>
        <v>10247</v>
      </c>
      <c r="AH25" s="588">
        <v>25</v>
      </c>
      <c r="AI25" s="589">
        <v>50</v>
      </c>
      <c r="AJ25" s="590">
        <v>0.5</v>
      </c>
      <c r="AK25" s="589" t="str">
        <f t="shared" si="1"/>
        <v>Mo</v>
      </c>
      <c r="AL25" s="589" t="str">
        <f t="shared" si="2"/>
        <v>Mo</v>
      </c>
      <c r="AM25" s="589"/>
      <c r="AN25" s="589"/>
      <c r="AO25" s="589"/>
      <c r="AP25" s="589"/>
      <c r="AQ25" s="851"/>
      <c r="AR25" s="591"/>
    </row>
    <row r="26" spans="1:44" ht="14.1" customHeight="1">
      <c r="A26" s="17">
        <v>26</v>
      </c>
      <c r="B26" s="67"/>
      <c r="C26" s="68"/>
      <c r="E26" s="35" t="s">
        <v>44</v>
      </c>
      <c r="F26" s="964" t="str">
        <f>IF(R27="","",R27)</f>
        <v>19420-W1</v>
      </c>
      <c r="G26" s="964"/>
      <c r="I26" s="75" t="s">
        <v>55</v>
      </c>
      <c r="J26" s="4"/>
      <c r="K26" s="4"/>
      <c r="L26" s="4"/>
      <c r="M26" s="69"/>
      <c r="O26" s="30"/>
      <c r="Q26" s="35" t="s">
        <v>43</v>
      </c>
      <c r="R26" s="46" t="str">
        <f>IF(S26&lt;&gt;"",S26,IF(AB31="","",AB31))</f>
        <v>M-147SP</v>
      </c>
      <c r="S26" s="47"/>
      <c r="V26" s="4"/>
      <c r="W26" s="4"/>
      <c r="Y26" s="32"/>
      <c r="AA26" s="35" t="s">
        <v>46</v>
      </c>
      <c r="AB26" s="65">
        <v>100</v>
      </c>
      <c r="AC26" s="49" t="str">
        <f t="shared" si="3"/>
        <v/>
      </c>
      <c r="AD26" s="66">
        <f>IF(V19="","",V19)</f>
        <v>100</v>
      </c>
      <c r="AH26" s="584">
        <v>26</v>
      </c>
      <c r="AI26" s="16">
        <v>50</v>
      </c>
      <c r="AJ26" s="70">
        <v>0</v>
      </c>
      <c r="AK26" s="16" t="str">
        <f t="shared" si="1"/>
        <v>Mo</v>
      </c>
      <c r="AL26" s="16" t="str">
        <f t="shared" si="2"/>
        <v>Mo</v>
      </c>
      <c r="AM26" s="16"/>
      <c r="AN26" s="16"/>
      <c r="AO26" s="16"/>
      <c r="AP26" s="16"/>
      <c r="AQ26" s="852"/>
      <c r="AR26" s="585"/>
    </row>
    <row r="27" spans="1:44" ht="14.1" customHeight="1">
      <c r="A27" s="17">
        <v>27</v>
      </c>
      <c r="B27" s="67"/>
      <c r="C27" s="68"/>
      <c r="D27" s="75" t="s">
        <v>56</v>
      </c>
      <c r="J27" s="35" t="s">
        <v>57</v>
      </c>
      <c r="K27" s="964">
        <f>IF(V28="","",V28)</f>
        <v>0.3</v>
      </c>
      <c r="L27" s="964"/>
      <c r="M27" s="69"/>
      <c r="O27" s="30"/>
      <c r="Q27" s="35" t="s">
        <v>44</v>
      </c>
      <c r="R27" s="46" t="str">
        <f>IF(S27&lt;&gt;"",S27,IF(AB32="","",AB32))</f>
        <v>19420-W1</v>
      </c>
      <c r="S27" s="47"/>
      <c r="U27" s="79" t="s">
        <v>55</v>
      </c>
      <c r="Y27" s="32"/>
      <c r="AA27" s="75" t="s">
        <v>48</v>
      </c>
      <c r="AH27" s="584">
        <v>28</v>
      </c>
      <c r="AI27" s="16">
        <v>20</v>
      </c>
      <c r="AJ27" s="70">
        <v>0</v>
      </c>
      <c r="AK27" s="16" t="str">
        <f t="shared" si="1"/>
        <v>Mo</v>
      </c>
      <c r="AL27" s="16" t="str">
        <f t="shared" si="2"/>
        <v>Mo</v>
      </c>
      <c r="AM27" s="16"/>
      <c r="AN27" s="16"/>
      <c r="AO27" s="16"/>
      <c r="AP27" s="16"/>
      <c r="AQ27" s="852"/>
      <c r="AR27" s="585"/>
    </row>
    <row r="28" spans="1:44" ht="14.1" customHeight="1">
      <c r="A28" s="17">
        <v>28</v>
      </c>
      <c r="B28" s="67"/>
      <c r="C28" s="68"/>
      <c r="E28" s="35" t="s">
        <v>41</v>
      </c>
      <c r="F28" s="964" t="str">
        <f>IF(R29="","",R29)</f>
        <v>Varian</v>
      </c>
      <c r="G28" s="964"/>
      <c r="I28" s="4"/>
      <c r="J28" s="35" t="s">
        <v>58</v>
      </c>
      <c r="K28" s="964">
        <f>IF(V29="","",V29)</f>
        <v>0.1</v>
      </c>
      <c r="L28" s="964"/>
      <c r="M28" s="69"/>
      <c r="O28" s="30"/>
      <c r="P28" s="75" t="s">
        <v>56</v>
      </c>
      <c r="U28" s="35" t="s">
        <v>57</v>
      </c>
      <c r="V28" s="46">
        <f>IF(W28&lt;&gt;"",W28,IF(AB36="","",AB36))</f>
        <v>0.3</v>
      </c>
      <c r="W28" s="47"/>
      <c r="Y28" s="32"/>
      <c r="AA28" s="35" t="s">
        <v>49</v>
      </c>
      <c r="AB28" s="65" t="s">
        <v>811</v>
      </c>
      <c r="AC28" s="49" t="str">
        <f t="shared" ref="AC28:AC43" si="4">IF(AB28&lt;&gt;AD28,"Change","")</f>
        <v/>
      </c>
      <c r="AD28" s="66" t="str">
        <f>IF(R22="","",R22)</f>
        <v>SBB</v>
      </c>
      <c r="AH28" s="584">
        <v>28</v>
      </c>
      <c r="AI28" s="16">
        <v>50</v>
      </c>
      <c r="AJ28" s="70">
        <v>0</v>
      </c>
      <c r="AK28" s="16" t="str">
        <f t="shared" si="1"/>
        <v>Mo</v>
      </c>
      <c r="AL28" s="16" t="str">
        <f t="shared" si="2"/>
        <v>Mo</v>
      </c>
      <c r="AM28" s="16"/>
      <c r="AN28" s="16"/>
      <c r="AO28" s="16"/>
      <c r="AP28" s="16"/>
      <c r="AQ28" s="852"/>
      <c r="AR28" s="585"/>
    </row>
    <row r="29" spans="1:44" ht="14.1" customHeight="1">
      <c r="A29" s="17">
        <v>29</v>
      </c>
      <c r="B29" s="67"/>
      <c r="C29" s="68"/>
      <c r="E29" s="35" t="s">
        <v>43</v>
      </c>
      <c r="F29" s="964" t="str">
        <f>IF(R30="","",R30)</f>
        <v>B-110</v>
      </c>
      <c r="G29" s="964"/>
      <c r="I29" s="75" t="s">
        <v>59</v>
      </c>
      <c r="J29" s="35" t="s">
        <v>60</v>
      </c>
      <c r="K29" s="964" t="str">
        <f>IF(V32="","",V32)</f>
        <v/>
      </c>
      <c r="L29" s="964"/>
      <c r="M29" s="69"/>
      <c r="O29" s="30"/>
      <c r="Q29" s="35" t="s">
        <v>41</v>
      </c>
      <c r="R29" s="46" t="str">
        <f>IF(S29&lt;&gt;"",S29,IF(AB33="","",AB33))</f>
        <v>Varian</v>
      </c>
      <c r="S29" s="47"/>
      <c r="U29" s="35" t="s">
        <v>58</v>
      </c>
      <c r="V29" s="46">
        <f>IF(W29&lt;&gt;"",W29,IF(AB37="","",AB37))</f>
        <v>0.1</v>
      </c>
      <c r="W29" s="47"/>
      <c r="Y29" s="32"/>
      <c r="AA29" s="35" t="s">
        <v>42</v>
      </c>
      <c r="AB29" s="77" t="s">
        <v>553</v>
      </c>
      <c r="AC29" s="49" t="str">
        <f t="shared" si="4"/>
        <v/>
      </c>
      <c r="AD29" s="78" t="str">
        <f>IF(R23="","",R23)</f>
        <v/>
      </c>
      <c r="AH29" s="584">
        <v>28</v>
      </c>
      <c r="AI29" s="16">
        <v>50</v>
      </c>
      <c r="AJ29" s="70">
        <v>0</v>
      </c>
      <c r="AK29" s="16" t="str">
        <f t="shared" si="1"/>
        <v>Mo</v>
      </c>
      <c r="AL29" s="16" t="str">
        <f t="shared" si="2"/>
        <v>Mo</v>
      </c>
      <c r="AM29" s="16"/>
      <c r="AN29" s="16"/>
      <c r="AO29" s="16"/>
      <c r="AP29" s="16"/>
      <c r="AQ29" s="852"/>
      <c r="AR29" s="585"/>
    </row>
    <row r="30" spans="1:44" ht="14.1" customHeight="1">
      <c r="A30" s="17">
        <v>30</v>
      </c>
      <c r="B30" s="67"/>
      <c r="C30" s="68"/>
      <c r="E30" s="35" t="s">
        <v>44</v>
      </c>
      <c r="F30" s="964" t="str">
        <f>IF(R31="","",R31)</f>
        <v>H19420</v>
      </c>
      <c r="G30" s="964"/>
      <c r="J30" s="35" t="s">
        <v>61</v>
      </c>
      <c r="K30" s="964" t="str">
        <f>IF(V33="","",V33)</f>
        <v/>
      </c>
      <c r="L30" s="964"/>
      <c r="M30" s="69"/>
      <c r="O30" s="30"/>
      <c r="Q30" s="35" t="s">
        <v>43</v>
      </c>
      <c r="R30" s="46" t="str">
        <f>IF(S30&lt;&gt;"",S30,IF(AB34="","",AB34))</f>
        <v>B-110</v>
      </c>
      <c r="S30" s="47"/>
      <c r="Y30" s="32"/>
      <c r="AA30" s="35" t="s">
        <v>41</v>
      </c>
      <c r="AB30" s="65" t="s">
        <v>813</v>
      </c>
      <c r="AC30" s="49" t="str">
        <f t="shared" si="4"/>
        <v/>
      </c>
      <c r="AD30" s="66" t="str">
        <f>IF(R25="","",R25)</f>
        <v>Varian</v>
      </c>
      <c r="AH30" s="584">
        <v>28</v>
      </c>
      <c r="AI30" s="16">
        <v>50</v>
      </c>
      <c r="AJ30" s="70">
        <v>0</v>
      </c>
      <c r="AK30" s="16" t="str">
        <f t="shared" si="1"/>
        <v>Mo</v>
      </c>
      <c r="AL30" s="16" t="str">
        <f t="shared" si="2"/>
        <v>Mo</v>
      </c>
      <c r="AM30" s="16"/>
      <c r="AN30" s="16"/>
      <c r="AO30" s="16"/>
      <c r="AP30" s="16"/>
      <c r="AQ30" s="852"/>
      <c r="AR30" s="585"/>
    </row>
    <row r="31" spans="1:44" ht="14.1" customHeight="1" thickBot="1">
      <c r="A31" s="17">
        <v>31</v>
      </c>
      <c r="B31" s="80"/>
      <c r="C31" s="81"/>
      <c r="D31" s="81"/>
      <c r="E31" s="81"/>
      <c r="F31" s="81"/>
      <c r="G31" s="81"/>
      <c r="H31" s="81"/>
      <c r="I31" s="81"/>
      <c r="J31" s="81"/>
      <c r="K31" s="81"/>
      <c r="L31" s="81"/>
      <c r="M31" s="82"/>
      <c r="O31" s="30"/>
      <c r="Q31" s="35" t="s">
        <v>44</v>
      </c>
      <c r="R31" s="46" t="str">
        <f>IF(S31&lt;&gt;"",S31,IF(AB35="","",AB35))</f>
        <v>H19420</v>
      </c>
      <c r="S31" s="47"/>
      <c r="U31" s="75" t="s">
        <v>59</v>
      </c>
      <c r="Y31" s="32"/>
      <c r="AA31" s="35" t="s">
        <v>43</v>
      </c>
      <c r="AB31" s="65" t="s">
        <v>814</v>
      </c>
      <c r="AC31" s="49" t="str">
        <f t="shared" si="4"/>
        <v/>
      </c>
      <c r="AD31" s="66" t="str">
        <f>IF(R26="","",R26)</f>
        <v>M-147SP</v>
      </c>
      <c r="AH31" s="588">
        <v>28</v>
      </c>
      <c r="AI31" s="589">
        <v>50</v>
      </c>
      <c r="AJ31" s="590">
        <v>0</v>
      </c>
      <c r="AK31" s="589" t="str">
        <f t="shared" si="1"/>
        <v>Mo</v>
      </c>
      <c r="AL31" s="589" t="str">
        <f t="shared" si="2"/>
        <v>Mo</v>
      </c>
      <c r="AM31" s="589"/>
      <c r="AN31" s="589"/>
      <c r="AO31" s="589"/>
      <c r="AP31" s="589"/>
      <c r="AQ31" s="851"/>
      <c r="AR31" s="591"/>
    </row>
    <row r="32" spans="1:44" ht="14.1" customHeight="1" thickTop="1">
      <c r="A32" s="17">
        <v>32</v>
      </c>
      <c r="O32" s="30"/>
      <c r="U32" s="35" t="s">
        <v>60</v>
      </c>
      <c r="V32" s="46" t="str">
        <f>IF(W32&lt;&gt;"",W32,IF(AB42="","",AB42))</f>
        <v/>
      </c>
      <c r="W32" s="47"/>
      <c r="Y32" s="32"/>
      <c r="AA32" s="35" t="s">
        <v>44</v>
      </c>
      <c r="AB32" s="65" t="s">
        <v>815</v>
      </c>
      <c r="AC32" s="49" t="str">
        <f t="shared" si="4"/>
        <v/>
      </c>
      <c r="AD32" s="66" t="str">
        <f>IF(R27="","",R27)</f>
        <v>19420-W1</v>
      </c>
      <c r="AH32" s="588">
        <v>28</v>
      </c>
      <c r="AI32" s="589">
        <v>50</v>
      </c>
      <c r="AJ32" s="590">
        <v>0.3</v>
      </c>
      <c r="AK32" s="589" t="str">
        <f t="shared" si="1"/>
        <v>Mo</v>
      </c>
      <c r="AL32" s="589" t="str">
        <f t="shared" si="2"/>
        <v>Mo</v>
      </c>
      <c r="AM32" s="589"/>
      <c r="AN32" s="589"/>
      <c r="AO32" s="589"/>
      <c r="AP32" s="589"/>
      <c r="AQ32" s="851"/>
      <c r="AR32" s="591"/>
    </row>
    <row r="33" spans="1:44" ht="14.1" customHeight="1" thickBot="1">
      <c r="A33" s="17">
        <v>33</v>
      </c>
      <c r="H33" s="51" t="s">
        <v>62</v>
      </c>
      <c r="O33" s="30"/>
      <c r="U33" s="35" t="s">
        <v>61</v>
      </c>
      <c r="V33" s="46" t="str">
        <f>IF(W33&lt;&gt;"",W33,IF(AB43="","",AB43))</f>
        <v/>
      </c>
      <c r="W33" s="47"/>
      <c r="Y33" s="32"/>
      <c r="AA33" s="35" t="s">
        <v>41</v>
      </c>
      <c r="AB33" s="65" t="s">
        <v>813</v>
      </c>
      <c r="AC33" s="49" t="str">
        <f t="shared" si="4"/>
        <v/>
      </c>
      <c r="AD33" s="66" t="str">
        <f>IF(R29="","",R29)</f>
        <v>Varian</v>
      </c>
      <c r="AH33" s="588">
        <v>28</v>
      </c>
      <c r="AI33" s="589">
        <v>50</v>
      </c>
      <c r="AJ33" s="590">
        <v>0.3</v>
      </c>
      <c r="AK33" s="589" t="str">
        <f t="shared" si="1"/>
        <v>Mo</v>
      </c>
      <c r="AL33" s="589" t="str">
        <f t="shared" si="2"/>
        <v>Mo</v>
      </c>
      <c r="AM33" s="589"/>
      <c r="AN33" s="589"/>
      <c r="AO33" s="589"/>
      <c r="AP33" s="589"/>
      <c r="AQ33" s="851"/>
      <c r="AR33" s="591"/>
    </row>
    <row r="34" spans="1:44"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t="s">
        <v>816</v>
      </c>
      <c r="AC34" s="49" t="str">
        <f t="shared" si="4"/>
        <v/>
      </c>
      <c r="AD34" s="66" t="str">
        <f>IF(R30="","",R30)</f>
        <v>B-110</v>
      </c>
      <c r="AH34" s="588">
        <v>28</v>
      </c>
      <c r="AI34" s="589">
        <v>50</v>
      </c>
      <c r="AJ34" s="590">
        <v>0.4</v>
      </c>
      <c r="AK34" s="589" t="str">
        <f t="shared" si="1"/>
        <v>Mo</v>
      </c>
      <c r="AL34" s="589" t="str">
        <f t="shared" si="2"/>
        <v>Mo</v>
      </c>
      <c r="AM34" s="589"/>
      <c r="AN34" s="589"/>
      <c r="AO34" s="589"/>
      <c r="AP34" s="589"/>
      <c r="AQ34" s="851"/>
      <c r="AR34" s="591"/>
    </row>
    <row r="35" spans="1:44" ht="14.1" customHeight="1" thickBot="1">
      <c r="A35" s="17">
        <v>35</v>
      </c>
      <c r="B35" s="67"/>
      <c r="C35" s="83" t="s">
        <v>63</v>
      </c>
      <c r="D35" s="974" t="s">
        <v>64</v>
      </c>
      <c r="E35" s="974"/>
      <c r="F35" s="974"/>
      <c r="G35" s="974" t="s">
        <v>65</v>
      </c>
      <c r="H35" s="974"/>
      <c r="I35" s="974"/>
      <c r="J35" s="974" t="s">
        <v>66</v>
      </c>
      <c r="K35" s="974"/>
      <c r="L35" s="974"/>
      <c r="M35" s="69"/>
      <c r="O35" s="40"/>
      <c r="P35" s="41"/>
      <c r="Q35" s="41"/>
      <c r="R35" s="41"/>
      <c r="S35" s="41"/>
      <c r="T35" s="41"/>
      <c r="U35" s="41"/>
      <c r="V35" s="41"/>
      <c r="W35" s="41"/>
      <c r="X35" s="41"/>
      <c r="Y35" s="42"/>
      <c r="AA35" s="35" t="s">
        <v>44</v>
      </c>
      <c r="AB35" s="65" t="s">
        <v>817</v>
      </c>
      <c r="AC35" s="49" t="str">
        <f t="shared" si="4"/>
        <v/>
      </c>
      <c r="AD35" s="66" t="str">
        <f>IF(R31="","",R31)</f>
        <v>H19420</v>
      </c>
      <c r="AH35" s="588">
        <v>28</v>
      </c>
      <c r="AI35" s="589">
        <v>50</v>
      </c>
      <c r="AJ35" s="590">
        <v>0.4</v>
      </c>
      <c r="AK35" s="589" t="str">
        <f t="shared" si="1"/>
        <v>Mo</v>
      </c>
      <c r="AL35" s="589" t="str">
        <f t="shared" si="2"/>
        <v>Mo</v>
      </c>
      <c r="AM35" s="589"/>
      <c r="AN35" s="589"/>
      <c r="AO35" s="589"/>
      <c r="AP35" s="589"/>
      <c r="AQ35" s="851"/>
      <c r="AR35" s="591"/>
    </row>
    <row r="36" spans="1:44" ht="14.1" customHeight="1">
      <c r="A36" s="17">
        <v>36</v>
      </c>
      <c r="B36" s="67"/>
      <c r="C36" s="84" t="s">
        <v>67</v>
      </c>
      <c r="D36" s="573"/>
      <c r="E36" s="574"/>
      <c r="F36" s="579"/>
      <c r="G36" s="975" t="s">
        <v>68</v>
      </c>
      <c r="H36" s="975"/>
      <c r="I36" s="975"/>
      <c r="J36" s="573"/>
      <c r="K36" s="574"/>
      <c r="L36" s="579"/>
      <c r="M36" s="69"/>
      <c r="AA36" s="35" t="s">
        <v>57</v>
      </c>
      <c r="AB36" s="65">
        <v>0.3</v>
      </c>
      <c r="AC36" s="49" t="str">
        <f t="shared" si="4"/>
        <v/>
      </c>
      <c r="AD36" s="66">
        <f>IF(V28="","",V28)</f>
        <v>0.3</v>
      </c>
      <c r="AH36" s="588">
        <v>28</v>
      </c>
      <c r="AI36" s="589">
        <v>50</v>
      </c>
      <c r="AJ36" s="590">
        <v>0.5</v>
      </c>
      <c r="AK36" s="589" t="str">
        <f t="shared" si="1"/>
        <v>Mo</v>
      </c>
      <c r="AL36" s="589" t="str">
        <f t="shared" si="2"/>
        <v>Mo</v>
      </c>
      <c r="AM36" s="589"/>
      <c r="AN36" s="589"/>
      <c r="AO36" s="589"/>
      <c r="AP36" s="589"/>
      <c r="AQ36" s="851"/>
      <c r="AR36" s="591"/>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9" t="s">
        <v>72</v>
      </c>
      <c r="AA37" s="35" t="s">
        <v>58</v>
      </c>
      <c r="AB37" s="65">
        <v>0.1</v>
      </c>
      <c r="AC37" s="49" t="str">
        <f t="shared" si="4"/>
        <v/>
      </c>
      <c r="AD37" s="66">
        <f>IF(V29="","",V29)</f>
        <v>0.1</v>
      </c>
      <c r="AH37" s="588">
        <v>28</v>
      </c>
      <c r="AI37" s="589">
        <v>50</v>
      </c>
      <c r="AJ37" s="590">
        <v>0.5</v>
      </c>
      <c r="AK37" s="589" t="str">
        <f t="shared" si="1"/>
        <v>Mo</v>
      </c>
      <c r="AL37" s="589" t="str">
        <f t="shared" si="2"/>
        <v>Mo</v>
      </c>
      <c r="AM37" s="589"/>
      <c r="AN37" s="589"/>
      <c r="AO37" s="589"/>
      <c r="AP37" s="589"/>
      <c r="AQ37" s="851"/>
      <c r="AR37" s="591"/>
    </row>
    <row r="38" spans="1:44"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t="s">
        <v>31</v>
      </c>
      <c r="AC38" s="49" t="str">
        <f t="shared" si="4"/>
        <v/>
      </c>
      <c r="AD38" s="66" t="str">
        <f>IF(V21="","",V21)</f>
        <v>Mo</v>
      </c>
      <c r="AH38" s="584">
        <v>28</v>
      </c>
      <c r="AI38" s="16">
        <v>100</v>
      </c>
      <c r="AJ38" s="70">
        <v>0</v>
      </c>
      <c r="AK38" s="16" t="str">
        <f t="shared" si="1"/>
        <v>Mo</v>
      </c>
      <c r="AL38" s="16" t="str">
        <f t="shared" si="2"/>
        <v>Mo</v>
      </c>
      <c r="AM38" s="16"/>
      <c r="AN38" s="16"/>
      <c r="AO38" s="16"/>
      <c r="AP38" s="16"/>
      <c r="AQ38" s="852"/>
      <c r="AR38" s="585"/>
    </row>
    <row r="39" spans="1:44"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t="s">
        <v>553</v>
      </c>
      <c r="AC39" s="49" t="str">
        <f t="shared" si="4"/>
        <v/>
      </c>
      <c r="AD39" s="66" t="str">
        <f>IF(V22="","",V22)</f>
        <v/>
      </c>
      <c r="AH39" s="584">
        <v>28</v>
      </c>
      <c r="AI39" s="16">
        <v>320</v>
      </c>
      <c r="AJ39" s="70">
        <v>0</v>
      </c>
      <c r="AK39" s="16" t="str">
        <f t="shared" si="1"/>
        <v>Mo</v>
      </c>
      <c r="AL39" s="16" t="str">
        <f t="shared" si="2"/>
        <v>Mo</v>
      </c>
      <c r="AM39" s="16"/>
      <c r="AN39" s="16"/>
      <c r="AO39" s="16"/>
      <c r="AP39" s="16"/>
      <c r="AQ39" s="852"/>
      <c r="AR39" s="585"/>
    </row>
    <row r="40" spans="1:44"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t="s">
        <v>31</v>
      </c>
      <c r="AC40" s="49" t="str">
        <f t="shared" si="4"/>
        <v/>
      </c>
      <c r="AD40" s="66" t="str">
        <f>IF(V24="","",V24)</f>
        <v>Mo</v>
      </c>
      <c r="AH40" s="584">
        <v>30</v>
      </c>
      <c r="AI40" s="16">
        <v>50</v>
      </c>
      <c r="AJ40" s="70">
        <v>0</v>
      </c>
      <c r="AK40" s="16" t="str">
        <f t="shared" si="1"/>
        <v>Mo</v>
      </c>
      <c r="AL40" s="16" t="str">
        <f t="shared" si="2"/>
        <v>Mo</v>
      </c>
      <c r="AM40" s="16"/>
      <c r="AN40" s="16"/>
      <c r="AO40" s="16"/>
      <c r="AP40" s="16"/>
      <c r="AQ40" s="852"/>
      <c r="AR40" s="585"/>
    </row>
    <row r="41" spans="1:44"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t="s">
        <v>553</v>
      </c>
      <c r="AC41" s="49" t="str">
        <f t="shared" si="4"/>
        <v/>
      </c>
      <c r="AD41" s="66" t="str">
        <f>IF(V25="","",V25)</f>
        <v/>
      </c>
      <c r="AH41" s="584">
        <v>32</v>
      </c>
      <c r="AI41" s="16">
        <v>50</v>
      </c>
      <c r="AJ41" s="70">
        <v>0</v>
      </c>
      <c r="AK41" s="16" t="str">
        <f t="shared" si="1"/>
        <v>Mo</v>
      </c>
      <c r="AL41" s="16" t="str">
        <f t="shared" si="2"/>
        <v>Mo</v>
      </c>
      <c r="AM41" s="16"/>
      <c r="AN41" s="16"/>
      <c r="AO41" s="16"/>
      <c r="AP41" s="16"/>
      <c r="AQ41" s="852"/>
      <c r="AR41" s="585"/>
    </row>
    <row r="42" spans="1:44" ht="14.1" customHeight="1">
      <c r="A42" s="17">
        <v>42</v>
      </c>
      <c r="B42" s="67"/>
      <c r="M42" s="69"/>
      <c r="O42" s="96"/>
      <c r="P42" s="36" t="s">
        <v>85</v>
      </c>
      <c r="Y42" s="32"/>
      <c r="AA42" s="35" t="s">
        <v>60</v>
      </c>
      <c r="AB42" s="65" t="s">
        <v>553</v>
      </c>
      <c r="AC42" s="49" t="str">
        <f t="shared" si="4"/>
        <v/>
      </c>
      <c r="AD42" s="66" t="str">
        <f>IF(V32="","",V32)</f>
        <v/>
      </c>
      <c r="AH42" s="588">
        <v>32</v>
      </c>
      <c r="AI42" s="589">
        <v>50</v>
      </c>
      <c r="AJ42" s="590">
        <v>0</v>
      </c>
      <c r="AK42" s="589" t="str">
        <f t="shared" si="1"/>
        <v>Mo</v>
      </c>
      <c r="AL42" s="589" t="str">
        <f t="shared" si="2"/>
        <v>Mo</v>
      </c>
      <c r="AM42" s="589"/>
      <c r="AN42" s="589"/>
      <c r="AO42" s="589"/>
      <c r="AP42" s="589"/>
      <c r="AQ42" s="851"/>
      <c r="AR42" s="591"/>
    </row>
    <row r="43" spans="1:44" ht="14.1" customHeight="1">
      <c r="A43" s="17">
        <v>43</v>
      </c>
      <c r="B43" s="67"/>
      <c r="H43" s="51" t="s">
        <v>72</v>
      </c>
      <c r="M43" s="69"/>
      <c r="O43" s="96"/>
      <c r="P43" s="36" t="s">
        <v>86</v>
      </c>
      <c r="Y43" s="32"/>
      <c r="AA43" s="35" t="s">
        <v>87</v>
      </c>
      <c r="AB43" s="65" t="s">
        <v>553</v>
      </c>
      <c r="AC43" s="49" t="str">
        <f t="shared" si="4"/>
        <v/>
      </c>
      <c r="AD43" s="66" t="str">
        <f>IF(V33="","",V33)</f>
        <v/>
      </c>
      <c r="AH43" s="588">
        <v>32</v>
      </c>
      <c r="AI43" s="589">
        <v>50</v>
      </c>
      <c r="AJ43" s="590">
        <v>0.4</v>
      </c>
      <c r="AK43" s="589" t="str">
        <f t="shared" si="1"/>
        <v>Mo</v>
      </c>
      <c r="AL43" s="589" t="str">
        <f t="shared" si="2"/>
        <v>Mo</v>
      </c>
      <c r="AM43" s="589"/>
      <c r="AN43" s="589"/>
      <c r="AO43" s="589"/>
      <c r="AP43" s="589"/>
      <c r="AQ43" s="851"/>
      <c r="AR43" s="591"/>
    </row>
    <row r="44" spans="1:44" ht="14.1" customHeight="1">
      <c r="A44" s="17">
        <v>44</v>
      </c>
      <c r="B44" s="67"/>
      <c r="C44" s="101" t="s">
        <v>88</v>
      </c>
      <c r="L44" s="976" t="s">
        <v>89</v>
      </c>
      <c r="M44" s="976"/>
      <c r="O44" s="30"/>
      <c r="Y44" s="32"/>
      <c r="AA44" s="75" t="s">
        <v>62</v>
      </c>
      <c r="AH44" s="588">
        <v>32</v>
      </c>
      <c r="AI44" s="589">
        <v>50</v>
      </c>
      <c r="AJ44" s="590">
        <v>0.4</v>
      </c>
      <c r="AK44" s="589" t="str">
        <f t="shared" si="1"/>
        <v>Mo</v>
      </c>
      <c r="AL44" s="589" t="str">
        <f t="shared" si="2"/>
        <v>Mo</v>
      </c>
      <c r="AM44" s="589"/>
      <c r="AN44" s="589"/>
      <c r="AO44" s="589"/>
      <c r="AP44" s="589"/>
      <c r="AQ44" s="851"/>
      <c r="AR44" s="591"/>
    </row>
    <row r="45" spans="1:44" ht="14.1" customHeight="1">
      <c r="A45" s="17">
        <v>45</v>
      </c>
      <c r="B45" s="67"/>
      <c r="C45" s="102" t="s">
        <v>90</v>
      </c>
      <c r="E45" s="36" t="s">
        <v>77</v>
      </c>
      <c r="L45" s="103" t="str">
        <f>IF(O39="","TBD",IF(O39=1,"YES",IF(O39=3,"NA","")))</f>
        <v>TBD</v>
      </c>
      <c r="M45" s="104" t="str">
        <f>IF(O39=2,"NO","")</f>
        <v/>
      </c>
      <c r="O45" s="96"/>
      <c r="P45" s="21" t="s">
        <v>498</v>
      </c>
      <c r="Y45" s="32"/>
      <c r="AA45" s="43" t="s">
        <v>64</v>
      </c>
      <c r="AH45" s="588">
        <v>32</v>
      </c>
      <c r="AI45" s="589">
        <v>50</v>
      </c>
      <c r="AJ45" s="590">
        <v>0.5</v>
      </c>
      <c r="AK45" s="589" t="str">
        <f t="shared" si="1"/>
        <v>Mo</v>
      </c>
      <c r="AL45" s="589" t="str">
        <f t="shared" si="2"/>
        <v>Mo</v>
      </c>
      <c r="AM45" s="589"/>
      <c r="AN45" s="589"/>
      <c r="AO45" s="589"/>
      <c r="AP45" s="589"/>
      <c r="AQ45" s="851"/>
      <c r="AR45" s="591"/>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88">
        <v>32</v>
      </c>
      <c r="AI46" s="589">
        <v>50</v>
      </c>
      <c r="AJ46" s="590">
        <v>0.5</v>
      </c>
      <c r="AK46" s="589" t="str">
        <f t="shared" si="1"/>
        <v>Mo</v>
      </c>
      <c r="AL46" s="589" t="str">
        <f t="shared" si="2"/>
        <v>Mo</v>
      </c>
      <c r="AM46" s="589"/>
      <c r="AN46" s="589"/>
      <c r="AO46" s="589"/>
      <c r="AP46" s="589"/>
      <c r="AQ46" s="851"/>
      <c r="AR46" s="591"/>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88">
        <v>32</v>
      </c>
      <c r="AI47" s="589">
        <v>50</v>
      </c>
      <c r="AJ47" s="590">
        <v>0.6</v>
      </c>
      <c r="AK47" s="589" t="str">
        <f t="shared" si="1"/>
        <v>Mo</v>
      </c>
      <c r="AL47" s="589" t="str">
        <f t="shared" si="2"/>
        <v>Mo</v>
      </c>
      <c r="AM47" s="589"/>
      <c r="AN47" s="589"/>
      <c r="AO47" s="589"/>
      <c r="AP47" s="589"/>
      <c r="AQ47" s="851"/>
      <c r="AR47" s="591"/>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88">
        <v>32</v>
      </c>
      <c r="AI48" s="589">
        <v>50</v>
      </c>
      <c r="AJ48" s="590">
        <v>0.6</v>
      </c>
      <c r="AK48" s="589" t="str">
        <f t="shared" si="1"/>
        <v>Mo</v>
      </c>
      <c r="AL48" s="589" t="str">
        <f t="shared" si="2"/>
        <v>Mo</v>
      </c>
      <c r="AM48" s="589"/>
      <c r="AN48" s="589"/>
      <c r="AO48" s="589"/>
      <c r="AP48" s="589"/>
      <c r="AQ48" s="851"/>
      <c r="AR48" s="591"/>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84">
        <v>34</v>
      </c>
      <c r="AI49" s="16">
        <v>50</v>
      </c>
      <c r="AJ49" s="70">
        <v>0</v>
      </c>
      <c r="AK49" s="16" t="str">
        <f t="shared" si="1"/>
        <v>Mo</v>
      </c>
      <c r="AL49" s="16" t="str">
        <f t="shared" si="2"/>
        <v>Mo</v>
      </c>
      <c r="AM49" s="16"/>
      <c r="AN49" s="16"/>
      <c r="AO49" s="16"/>
      <c r="AP49" s="16"/>
      <c r="AQ49" s="852"/>
      <c r="AR49" s="585"/>
    </row>
    <row r="50" spans="1:44" ht="14.1" customHeight="1">
      <c r="A50" s="17">
        <v>50</v>
      </c>
      <c r="B50" s="67"/>
      <c r="H50" s="259" t="s">
        <v>91</v>
      </c>
      <c r="M50" s="69"/>
      <c r="O50" s="96"/>
      <c r="P50" s="21" t="s">
        <v>503</v>
      </c>
      <c r="Y50" s="32"/>
      <c r="AA50" s="35" t="s">
        <v>97</v>
      </c>
      <c r="AB50" s="65"/>
      <c r="AD50" s="66" t="str">
        <f>IF(Q125="","",Q125)</f>
        <v/>
      </c>
      <c r="AH50" s="588">
        <v>34</v>
      </c>
      <c r="AI50" s="589">
        <v>50</v>
      </c>
      <c r="AJ50" s="590">
        <v>0</v>
      </c>
      <c r="AK50" s="589" t="str">
        <f t="shared" si="1"/>
        <v>Mo</v>
      </c>
      <c r="AL50" s="589" t="str">
        <f t="shared" si="2"/>
        <v>Mo</v>
      </c>
      <c r="AM50" s="589"/>
      <c r="AN50" s="589"/>
      <c r="AO50" s="589"/>
      <c r="AP50" s="589"/>
      <c r="AQ50" s="851"/>
      <c r="AR50" s="591"/>
    </row>
    <row r="51" spans="1:44"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88">
        <v>34</v>
      </c>
      <c r="AI51" s="589">
        <v>50</v>
      </c>
      <c r="AJ51" s="590">
        <v>0.4</v>
      </c>
      <c r="AK51" s="589" t="str">
        <f t="shared" si="1"/>
        <v>Mo</v>
      </c>
      <c r="AL51" s="589" t="str">
        <f t="shared" si="2"/>
        <v>Mo</v>
      </c>
      <c r="AM51" s="589"/>
      <c r="AN51" s="589"/>
      <c r="AO51" s="589"/>
      <c r="AP51" s="589"/>
      <c r="AQ51" s="851"/>
      <c r="AR51" s="591"/>
    </row>
    <row r="52" spans="1:44" ht="14.1" customHeight="1">
      <c r="A52" s="17">
        <v>52</v>
      </c>
      <c r="B52" s="67"/>
      <c r="E52" s="68" t="s">
        <v>96</v>
      </c>
      <c r="L52" s="103" t="str">
        <f t="shared" si="6"/>
        <v>TBD</v>
      </c>
      <c r="M52" s="104" t="str">
        <f t="shared" si="7"/>
        <v/>
      </c>
      <c r="O52" s="96"/>
      <c r="P52" s="21" t="s">
        <v>505</v>
      </c>
      <c r="Y52" s="32"/>
      <c r="AA52" s="35" t="s">
        <v>94</v>
      </c>
      <c r="AB52" s="65"/>
      <c r="AD52" s="66" t="str">
        <f>IF(P126="","",P126)</f>
        <v/>
      </c>
      <c r="AH52" s="588">
        <v>34</v>
      </c>
      <c r="AI52" s="589">
        <v>50</v>
      </c>
      <c r="AJ52" s="590">
        <v>0.4</v>
      </c>
      <c r="AK52" s="589" t="str">
        <f t="shared" si="1"/>
        <v>Mo</v>
      </c>
      <c r="AL52" s="589" t="str">
        <f t="shared" si="2"/>
        <v>Mo</v>
      </c>
      <c r="AM52" s="589"/>
      <c r="AN52" s="589"/>
      <c r="AO52" s="589"/>
      <c r="AP52" s="589"/>
      <c r="AQ52" s="851"/>
      <c r="AR52" s="591"/>
    </row>
    <row r="53" spans="1:44" ht="14.1" customHeight="1">
      <c r="A53" s="17">
        <v>53</v>
      </c>
      <c r="B53" s="67"/>
      <c r="E53" s="68" t="s">
        <v>98</v>
      </c>
      <c r="L53" s="103" t="str">
        <f t="shared" si="6"/>
        <v>TBD</v>
      </c>
      <c r="M53" s="104" t="str">
        <f t="shared" si="7"/>
        <v/>
      </c>
      <c r="O53" s="96"/>
      <c r="P53" s="21" t="s">
        <v>506</v>
      </c>
      <c r="Y53" s="32"/>
      <c r="AA53" s="35" t="s">
        <v>97</v>
      </c>
      <c r="AB53" s="65"/>
      <c r="AD53" s="66" t="str">
        <f>IF(Q126="","",Q126)</f>
        <v/>
      </c>
      <c r="AH53" s="588">
        <v>34</v>
      </c>
      <c r="AI53" s="589">
        <v>50</v>
      </c>
      <c r="AJ53" s="590">
        <v>0.5</v>
      </c>
      <c r="AK53" s="589" t="str">
        <f t="shared" si="1"/>
        <v>Mo</v>
      </c>
      <c r="AL53" s="589" t="str">
        <f t="shared" si="2"/>
        <v>Mo</v>
      </c>
      <c r="AM53" s="589"/>
      <c r="AN53" s="589"/>
      <c r="AO53" s="589"/>
      <c r="AP53" s="589"/>
      <c r="AQ53" s="851"/>
      <c r="AR53" s="591"/>
    </row>
    <row r="54" spans="1:44" ht="14.1" customHeight="1">
      <c r="A54" s="17">
        <v>54</v>
      </c>
      <c r="B54" s="67"/>
      <c r="E54" s="68" t="s">
        <v>100</v>
      </c>
      <c r="L54" s="103" t="str">
        <f t="shared" si="6"/>
        <v>TBD</v>
      </c>
      <c r="M54" s="104" t="str">
        <f t="shared" si="7"/>
        <v/>
      </c>
      <c r="O54" s="96"/>
      <c r="P54" s="21" t="s">
        <v>507</v>
      </c>
      <c r="Y54" s="32"/>
      <c r="AA54" s="35" t="s">
        <v>99</v>
      </c>
      <c r="AB54" s="65"/>
      <c r="AD54" s="66" t="str">
        <f>IF(R126="","",R126)</f>
        <v/>
      </c>
      <c r="AH54" s="588">
        <v>34</v>
      </c>
      <c r="AI54" s="589">
        <v>50</v>
      </c>
      <c r="AJ54" s="590">
        <v>0.5</v>
      </c>
      <c r="AK54" s="589" t="str">
        <f t="shared" si="1"/>
        <v>Mo</v>
      </c>
      <c r="AL54" s="589" t="str">
        <f t="shared" si="2"/>
        <v>Mo</v>
      </c>
      <c r="AM54" s="589"/>
      <c r="AN54" s="589"/>
      <c r="AO54" s="589"/>
      <c r="AP54" s="589"/>
      <c r="AQ54" s="851"/>
      <c r="AR54" s="591"/>
    </row>
    <row r="55" spans="1:44" ht="14.1" customHeight="1">
      <c r="A55" s="17">
        <v>55</v>
      </c>
      <c r="B55" s="67"/>
      <c r="E55" s="68" t="s">
        <v>101</v>
      </c>
      <c r="L55" s="103" t="str">
        <f t="shared" si="6"/>
        <v>TBD</v>
      </c>
      <c r="M55" s="104" t="str">
        <f t="shared" si="7"/>
        <v/>
      </c>
      <c r="O55" s="96"/>
      <c r="P55" s="21" t="s">
        <v>508</v>
      </c>
      <c r="Y55" s="32"/>
      <c r="AA55" s="35" t="s">
        <v>94</v>
      </c>
      <c r="AB55" s="65"/>
      <c r="AD55" s="66" t="str">
        <f>IF(P127="","",P127)</f>
        <v/>
      </c>
      <c r="AH55" s="588">
        <v>34</v>
      </c>
      <c r="AI55" s="589">
        <v>50</v>
      </c>
      <c r="AJ55" s="590">
        <v>0.6</v>
      </c>
      <c r="AK55" s="589" t="str">
        <f t="shared" si="1"/>
        <v>Mo</v>
      </c>
      <c r="AL55" s="589" t="str">
        <f t="shared" si="2"/>
        <v>Mo</v>
      </c>
      <c r="AM55" s="589"/>
      <c r="AN55" s="589"/>
      <c r="AO55" s="589"/>
      <c r="AP55" s="589"/>
      <c r="AQ55" s="851"/>
      <c r="AR55" s="591"/>
    </row>
    <row r="56" spans="1:44" ht="14.1" customHeight="1" thickBot="1">
      <c r="A56" s="17">
        <v>56</v>
      </c>
      <c r="B56" s="67"/>
      <c r="E56" s="68" t="s">
        <v>102</v>
      </c>
      <c r="L56" s="103" t="str">
        <f t="shared" si="6"/>
        <v>TBD</v>
      </c>
      <c r="M56" s="104" t="str">
        <f t="shared" si="7"/>
        <v/>
      </c>
      <c r="O56" s="96"/>
      <c r="P56" s="21" t="s">
        <v>509</v>
      </c>
      <c r="Y56" s="32"/>
      <c r="AA56" s="35" t="s">
        <v>97</v>
      </c>
      <c r="AB56" s="65"/>
      <c r="AD56" s="66"/>
      <c r="AH56" s="592">
        <v>34</v>
      </c>
      <c r="AI56" s="593">
        <v>50</v>
      </c>
      <c r="AJ56" s="594">
        <v>0.6</v>
      </c>
      <c r="AK56" s="593" t="str">
        <f t="shared" si="1"/>
        <v>Mo</v>
      </c>
      <c r="AL56" s="593" t="str">
        <f t="shared" si="2"/>
        <v>Mo</v>
      </c>
      <c r="AM56" s="593"/>
      <c r="AN56" s="593"/>
      <c r="AO56" s="593"/>
      <c r="AP56" s="593"/>
      <c r="AQ56" s="853"/>
      <c r="AR56" s="595"/>
    </row>
    <row r="57" spans="1:44" ht="14.1" customHeight="1">
      <c r="A57" s="17">
        <v>57</v>
      </c>
      <c r="B57" s="67"/>
      <c r="E57" s="68" t="s">
        <v>108</v>
      </c>
      <c r="L57" s="103" t="str">
        <f t="shared" si="6"/>
        <v>TBD</v>
      </c>
      <c r="M57" s="104" t="str">
        <f t="shared" si="7"/>
        <v/>
      </c>
      <c r="O57" s="96"/>
      <c r="P57" s="21" t="s">
        <v>510</v>
      </c>
      <c r="Y57" s="32"/>
      <c r="AA57" s="35" t="s">
        <v>99</v>
      </c>
      <c r="AB57" s="65"/>
      <c r="AD57" s="66"/>
      <c r="AH57" s="582">
        <v>28</v>
      </c>
      <c r="AI57" s="580">
        <v>50</v>
      </c>
      <c r="AJ57" s="210">
        <v>0</v>
      </c>
      <c r="AK57" s="580" t="str">
        <f t="shared" si="1"/>
        <v>Mo</v>
      </c>
      <c r="AL57" s="580" t="str">
        <f>IF($V$25="","",$V$25)</f>
        <v/>
      </c>
      <c r="AM57" s="849"/>
      <c r="AN57" s="849"/>
      <c r="AO57" s="849"/>
      <c r="AP57" s="849"/>
      <c r="AQ57" s="850"/>
      <c r="AR57" s="583"/>
    </row>
    <row r="58" spans="1:44" ht="14.1" customHeight="1">
      <c r="A58" s="17">
        <v>58</v>
      </c>
      <c r="B58" s="67"/>
      <c r="E58" s="68" t="s">
        <v>104</v>
      </c>
      <c r="L58" s="103" t="str">
        <f t="shared" si="6"/>
        <v>TBD</v>
      </c>
      <c r="M58" s="104" t="str">
        <f t="shared" si="7"/>
        <v/>
      </c>
      <c r="O58" s="96"/>
      <c r="P58" s="21" t="s">
        <v>511</v>
      </c>
      <c r="Y58" s="32"/>
      <c r="AA58" s="43" t="s">
        <v>111</v>
      </c>
      <c r="AH58" s="599">
        <v>28</v>
      </c>
      <c r="AI58" s="600">
        <v>50</v>
      </c>
      <c r="AJ58" s="601">
        <v>0</v>
      </c>
      <c r="AK58" s="600" t="str">
        <f t="shared" si="1"/>
        <v>Mo</v>
      </c>
      <c r="AL58" s="600" t="str">
        <f t="shared" ref="AL58:AL90" si="8">IF($V$25="","",$V$25)</f>
        <v/>
      </c>
      <c r="AM58" s="600"/>
      <c r="AN58" s="600"/>
      <c r="AO58" s="600"/>
      <c r="AP58" s="600"/>
      <c r="AQ58" s="854"/>
      <c r="AR58" s="602"/>
    </row>
    <row r="59" spans="1:44" ht="14.1" customHeight="1">
      <c r="A59" s="17">
        <v>59</v>
      </c>
      <c r="B59" s="67"/>
      <c r="E59" s="68" t="s">
        <v>105</v>
      </c>
      <c r="L59" s="103" t="str">
        <f t="shared" si="6"/>
        <v>TBD</v>
      </c>
      <c r="M59" s="104" t="str">
        <f t="shared" si="7"/>
        <v/>
      </c>
      <c r="O59" s="96"/>
      <c r="P59" s="21" t="s">
        <v>512</v>
      </c>
      <c r="Y59" s="32"/>
      <c r="AA59" s="35" t="s">
        <v>94</v>
      </c>
      <c r="AB59" s="65"/>
      <c r="AD59" s="66" t="str">
        <f>IF(S124="","",S124)</f>
        <v/>
      </c>
      <c r="AH59" s="599">
        <v>28</v>
      </c>
      <c r="AI59" s="600">
        <v>50</v>
      </c>
      <c r="AJ59" s="601">
        <v>0.4</v>
      </c>
      <c r="AK59" s="600" t="str">
        <f t="shared" si="1"/>
        <v>Mo</v>
      </c>
      <c r="AL59" s="600" t="str">
        <f t="shared" si="8"/>
        <v/>
      </c>
      <c r="AM59" s="600"/>
      <c r="AN59" s="600"/>
      <c r="AO59" s="600"/>
      <c r="AP59" s="600"/>
      <c r="AQ59" s="854"/>
      <c r="AR59" s="602"/>
    </row>
    <row r="60" spans="1:44" ht="14.1" customHeight="1">
      <c r="A60" s="17">
        <v>60</v>
      </c>
      <c r="B60" s="67"/>
      <c r="E60" s="68" t="s">
        <v>106</v>
      </c>
      <c r="L60" s="103" t="str">
        <f t="shared" si="6"/>
        <v>TBD</v>
      </c>
      <c r="M60" s="104" t="str">
        <f t="shared" si="7"/>
        <v/>
      </c>
      <c r="O60" s="96"/>
      <c r="P60" s="21" t="s">
        <v>513</v>
      </c>
      <c r="Y60" s="32"/>
      <c r="AA60" s="35" t="s">
        <v>97</v>
      </c>
      <c r="AB60" s="65"/>
      <c r="AD60" s="66" t="str">
        <f>IF(T124="","",T124)</f>
        <v/>
      </c>
      <c r="AH60" s="599">
        <v>28</v>
      </c>
      <c r="AI60" s="600">
        <v>50</v>
      </c>
      <c r="AJ60" s="601">
        <v>0.4</v>
      </c>
      <c r="AK60" s="600" t="str">
        <f t="shared" si="1"/>
        <v>Mo</v>
      </c>
      <c r="AL60" s="600" t="str">
        <f t="shared" si="8"/>
        <v/>
      </c>
      <c r="AM60" s="600"/>
      <c r="AN60" s="600"/>
      <c r="AO60" s="600"/>
      <c r="AP60" s="600"/>
      <c r="AQ60" s="854"/>
      <c r="AR60" s="602"/>
    </row>
    <row r="61" spans="1:44" ht="14.1" customHeight="1">
      <c r="A61" s="17">
        <v>61</v>
      </c>
      <c r="B61" s="67"/>
      <c r="E61" s="68" t="s">
        <v>107</v>
      </c>
      <c r="L61" s="103" t="str">
        <f t="shared" si="6"/>
        <v>TBD</v>
      </c>
      <c r="M61" s="104" t="str">
        <f t="shared" si="7"/>
        <v/>
      </c>
      <c r="O61" s="273"/>
      <c r="P61" s="21" t="s">
        <v>627</v>
      </c>
      <c r="Y61" s="32"/>
      <c r="AA61" s="35" t="s">
        <v>99</v>
      </c>
      <c r="AB61" s="65"/>
      <c r="AD61" s="66" t="str">
        <f>IF(U124="","",U124)</f>
        <v/>
      </c>
      <c r="AH61" s="599">
        <v>28</v>
      </c>
      <c r="AI61" s="600">
        <v>50</v>
      </c>
      <c r="AJ61" s="601">
        <v>0.5</v>
      </c>
      <c r="AK61" s="600" t="str">
        <f t="shared" si="1"/>
        <v>Mo</v>
      </c>
      <c r="AL61" s="600" t="str">
        <f t="shared" si="8"/>
        <v/>
      </c>
      <c r="AM61" s="600"/>
      <c r="AN61" s="600"/>
      <c r="AO61" s="600"/>
      <c r="AP61" s="600"/>
      <c r="AQ61" s="854"/>
      <c r="AR61" s="602"/>
    </row>
    <row r="62" spans="1:44" ht="14.1" customHeight="1">
      <c r="A62" s="17">
        <v>62</v>
      </c>
      <c r="B62" s="67"/>
      <c r="E62" s="68" t="s">
        <v>114</v>
      </c>
      <c r="L62" s="103" t="str">
        <f t="shared" si="6"/>
        <v>TBD</v>
      </c>
      <c r="M62" s="104" t="str">
        <f t="shared" si="7"/>
        <v/>
      </c>
      <c r="O62" s="30"/>
      <c r="Y62" s="32"/>
      <c r="AA62" s="35" t="s">
        <v>94</v>
      </c>
      <c r="AB62" s="65"/>
      <c r="AD62" s="66" t="str">
        <f>IF(S125="","",S125)</f>
        <v/>
      </c>
      <c r="AH62" s="599">
        <v>28</v>
      </c>
      <c r="AI62" s="600">
        <v>50</v>
      </c>
      <c r="AJ62" s="601">
        <v>0.5</v>
      </c>
      <c r="AK62" s="600" t="str">
        <f t="shared" si="1"/>
        <v>Mo</v>
      </c>
      <c r="AL62" s="600" t="str">
        <f t="shared" si="8"/>
        <v/>
      </c>
      <c r="AM62" s="600"/>
      <c r="AN62" s="600"/>
      <c r="AO62" s="600"/>
      <c r="AP62" s="600"/>
      <c r="AQ62" s="854"/>
      <c r="AR62" s="602"/>
    </row>
    <row r="63" spans="1:44" ht="14.1" customHeight="1">
      <c r="A63" s="17">
        <v>63</v>
      </c>
      <c r="B63" s="67"/>
      <c r="E63" s="21" t="s">
        <v>116</v>
      </c>
      <c r="L63" s="103" t="str">
        <f t="shared" si="6"/>
        <v>TBD</v>
      </c>
      <c r="M63" s="104" t="str">
        <f t="shared" si="7"/>
        <v/>
      </c>
      <c r="O63" s="30"/>
      <c r="T63" s="259" t="s">
        <v>91</v>
      </c>
      <c r="Y63" s="32"/>
      <c r="AA63" s="35" t="s">
        <v>97</v>
      </c>
      <c r="AB63" s="65"/>
      <c r="AD63" s="66" t="str">
        <f>IF(T125="","",T125)</f>
        <v/>
      </c>
      <c r="AH63" s="599">
        <v>28</v>
      </c>
      <c r="AI63" s="600">
        <v>50</v>
      </c>
      <c r="AJ63" s="601">
        <v>0.6</v>
      </c>
      <c r="AK63" s="600" t="str">
        <f t="shared" si="1"/>
        <v>Mo</v>
      </c>
      <c r="AL63" s="600" t="str">
        <f t="shared" si="8"/>
        <v/>
      </c>
      <c r="AM63" s="600"/>
      <c r="AN63" s="600"/>
      <c r="AO63" s="600"/>
      <c r="AP63" s="600"/>
      <c r="AQ63" s="854"/>
      <c r="AR63" s="603"/>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599">
        <v>28</v>
      </c>
      <c r="AI64" s="600">
        <v>50</v>
      </c>
      <c r="AJ64" s="601">
        <v>0.6</v>
      </c>
      <c r="AK64" s="600" t="str">
        <f t="shared" si="1"/>
        <v>Mo</v>
      </c>
      <c r="AL64" s="600" t="str">
        <f t="shared" si="8"/>
        <v/>
      </c>
      <c r="AM64" s="600"/>
      <c r="AN64" s="600"/>
      <c r="AO64" s="600"/>
      <c r="AP64" s="600"/>
      <c r="AQ64" s="854"/>
      <c r="AR64" s="603"/>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Mo</v>
      </c>
      <c r="AL65" s="11" t="str">
        <f t="shared" si="8"/>
        <v/>
      </c>
      <c r="AM65" s="11"/>
      <c r="AN65" s="11"/>
      <c r="AO65" s="11"/>
      <c r="AP65" s="11"/>
      <c r="AQ65" s="855"/>
      <c r="AR65" s="221"/>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599">
        <v>30</v>
      </c>
      <c r="AI66" s="600">
        <v>50</v>
      </c>
      <c r="AJ66" s="601">
        <v>0</v>
      </c>
      <c r="AK66" s="600" t="str">
        <f t="shared" si="1"/>
        <v>Mo</v>
      </c>
      <c r="AL66" s="600" t="str">
        <f t="shared" si="8"/>
        <v/>
      </c>
      <c r="AM66" s="600"/>
      <c r="AN66" s="600"/>
      <c r="AO66" s="600"/>
      <c r="AP66" s="600"/>
      <c r="AQ66" s="854"/>
      <c r="AR66" s="603"/>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599">
        <v>30</v>
      </c>
      <c r="AI67" s="600">
        <v>50</v>
      </c>
      <c r="AJ67" s="601">
        <v>0.4</v>
      </c>
      <c r="AK67" s="600" t="str">
        <f t="shared" si="1"/>
        <v>Mo</v>
      </c>
      <c r="AL67" s="600" t="str">
        <f t="shared" si="8"/>
        <v/>
      </c>
      <c r="AM67" s="600"/>
      <c r="AN67" s="600"/>
      <c r="AO67" s="600"/>
      <c r="AP67" s="600"/>
      <c r="AQ67" s="854"/>
      <c r="AR67" s="603"/>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599">
        <v>30</v>
      </c>
      <c r="AI68" s="600">
        <v>50</v>
      </c>
      <c r="AJ68" s="601">
        <v>0.4</v>
      </c>
      <c r="AK68" s="600" t="str">
        <f t="shared" si="1"/>
        <v>Mo</v>
      </c>
      <c r="AL68" s="600" t="str">
        <f t="shared" si="8"/>
        <v/>
      </c>
      <c r="AM68" s="600"/>
      <c r="AN68" s="600"/>
      <c r="AO68" s="600"/>
      <c r="AP68" s="600"/>
      <c r="AQ68" s="854"/>
      <c r="AR68" s="603"/>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599">
        <v>30</v>
      </c>
      <c r="AI69" s="600">
        <v>50</v>
      </c>
      <c r="AJ69" s="601">
        <v>0.5</v>
      </c>
      <c r="AK69" s="600" t="str">
        <f t="shared" si="1"/>
        <v>Mo</v>
      </c>
      <c r="AL69" s="600" t="str">
        <f t="shared" si="8"/>
        <v/>
      </c>
      <c r="AM69" s="600"/>
      <c r="AN69" s="600"/>
      <c r="AO69" s="600"/>
      <c r="AP69" s="600"/>
      <c r="AQ69" s="854"/>
      <c r="AR69" s="603"/>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599">
        <v>30</v>
      </c>
      <c r="AI70" s="600">
        <v>50</v>
      </c>
      <c r="AJ70" s="601">
        <v>0.5</v>
      </c>
      <c r="AK70" s="600" t="str">
        <f t="shared" si="1"/>
        <v>Mo</v>
      </c>
      <c r="AL70" s="600" t="str">
        <f t="shared" si="8"/>
        <v/>
      </c>
      <c r="AM70" s="600"/>
      <c r="AN70" s="600"/>
      <c r="AO70" s="600"/>
      <c r="AP70" s="600"/>
      <c r="AQ70" s="854"/>
      <c r="AR70" s="603"/>
    </row>
    <row r="71" spans="1:44" ht="14.1" customHeight="1" thickTop="1">
      <c r="A71" s="17">
        <v>71</v>
      </c>
      <c r="C71" s="109" t="s">
        <v>10</v>
      </c>
      <c r="D71" s="375">
        <f>IF($P$7="","",$P$7)</f>
        <v>43273</v>
      </c>
      <c r="E71" s="27"/>
      <c r="F71" s="27"/>
      <c r="G71" s="27"/>
      <c r="H71" s="27"/>
      <c r="I71" s="27"/>
      <c r="J71" s="27"/>
      <c r="K71" s="27"/>
      <c r="L71" s="109" t="s">
        <v>11</v>
      </c>
      <c r="M71" s="376" t="str">
        <f>IF($X$7="","",$X$7)</f>
        <v>Eugene Mah</v>
      </c>
      <c r="O71" s="96"/>
      <c r="P71" s="68" t="s">
        <v>104</v>
      </c>
      <c r="Y71" s="32"/>
      <c r="AA71" s="43" t="s">
        <v>66</v>
      </c>
      <c r="AH71" s="599">
        <v>30</v>
      </c>
      <c r="AI71" s="600">
        <v>50</v>
      </c>
      <c r="AJ71" s="601">
        <v>0.6</v>
      </c>
      <c r="AK71" s="600" t="str">
        <f t="shared" si="1"/>
        <v>Mo</v>
      </c>
      <c r="AL71" s="600" t="str">
        <f t="shared" si="8"/>
        <v/>
      </c>
      <c r="AM71" s="600"/>
      <c r="AN71" s="600"/>
      <c r="AO71" s="600"/>
      <c r="AP71" s="600"/>
      <c r="AQ71" s="854"/>
      <c r="AR71" s="603"/>
    </row>
    <row r="72" spans="1:44" ht="14.1" customHeight="1">
      <c r="A72" s="17">
        <v>72</v>
      </c>
      <c r="C72" s="109" t="s">
        <v>120</v>
      </c>
      <c r="D72" s="376" t="str">
        <f>IF($R$14="","",$R$14)</f>
        <v>1C07</v>
      </c>
      <c r="E72" s="27"/>
      <c r="F72" s="27"/>
      <c r="G72" s="27"/>
      <c r="H72" s="27"/>
      <c r="I72" s="27"/>
      <c r="J72" s="27"/>
      <c r="K72" s="27"/>
      <c r="L72" s="109" t="s">
        <v>36</v>
      </c>
      <c r="M72" s="376">
        <f>IF($R$13="","",$R$13)</f>
        <v>2302</v>
      </c>
      <c r="O72" s="96"/>
      <c r="P72" s="68" t="s">
        <v>105</v>
      </c>
      <c r="Y72" s="32"/>
      <c r="AA72" s="35" t="s">
        <v>94</v>
      </c>
      <c r="AB72" s="65"/>
      <c r="AD72" s="66" t="str">
        <f>IF(V124="","",V124)</f>
        <v/>
      </c>
      <c r="AH72" s="599">
        <v>30</v>
      </c>
      <c r="AI72" s="600">
        <v>50</v>
      </c>
      <c r="AJ72" s="601">
        <v>0.6</v>
      </c>
      <c r="AK72" s="600" t="str">
        <f t="shared" si="1"/>
        <v>Mo</v>
      </c>
      <c r="AL72" s="600" t="str">
        <f t="shared" si="8"/>
        <v/>
      </c>
      <c r="AM72" s="600"/>
      <c r="AN72" s="600"/>
      <c r="AO72" s="600"/>
      <c r="AP72" s="600"/>
      <c r="AQ72" s="854"/>
      <c r="AR72" s="603"/>
    </row>
    <row r="73" spans="1:44" ht="14.1" customHeight="1">
      <c r="A73" s="17">
        <v>1</v>
      </c>
      <c r="M73" s="112" t="str">
        <f>$H$2</f>
        <v>Medical University of South Carolina</v>
      </c>
      <c r="O73" s="96"/>
      <c r="P73" s="68" t="s">
        <v>106</v>
      </c>
      <c r="Y73" s="32"/>
      <c r="AA73" s="35" t="s">
        <v>97</v>
      </c>
      <c r="AB73" s="65"/>
      <c r="AD73" s="66" t="str">
        <f>IF(W124="","",W124)</f>
        <v/>
      </c>
      <c r="AH73" s="586">
        <v>32</v>
      </c>
      <c r="AI73" s="581">
        <v>50</v>
      </c>
      <c r="AJ73" s="598">
        <v>0</v>
      </c>
      <c r="AK73" s="581" t="str">
        <f t="shared" si="1"/>
        <v>Mo</v>
      </c>
      <c r="AL73" s="581" t="str">
        <f t="shared" si="8"/>
        <v/>
      </c>
      <c r="AM73" s="581"/>
      <c r="AN73" s="581"/>
      <c r="AO73" s="581"/>
      <c r="AP73" s="581"/>
      <c r="AQ73" s="856"/>
      <c r="AR73" s="587"/>
    </row>
    <row r="74" spans="1:44" ht="14.1" customHeight="1" thickBot="1">
      <c r="A74" s="17">
        <v>2</v>
      </c>
      <c r="H74" s="51" t="s">
        <v>72</v>
      </c>
      <c r="M74" s="113" t="str">
        <f>$H$5</f>
        <v>Mammography System Compliance Inspection</v>
      </c>
      <c r="O74" s="96"/>
      <c r="P74" s="68" t="s">
        <v>107</v>
      </c>
      <c r="Y74" s="32"/>
      <c r="AA74" s="35" t="s">
        <v>99</v>
      </c>
      <c r="AB74" s="65"/>
      <c r="AD74" s="66" t="str">
        <f>IF(X124="","",X124)</f>
        <v/>
      </c>
      <c r="AH74" s="599">
        <v>32</v>
      </c>
      <c r="AI74" s="600">
        <v>50</v>
      </c>
      <c r="AJ74" s="601">
        <v>0</v>
      </c>
      <c r="AK74" s="600" t="str">
        <f t="shared" si="1"/>
        <v>Mo</v>
      </c>
      <c r="AL74" s="600" t="str">
        <f t="shared" si="8"/>
        <v/>
      </c>
      <c r="AM74" s="600"/>
      <c r="AN74" s="600"/>
      <c r="AO74" s="600"/>
      <c r="AP74" s="600"/>
      <c r="AQ74" s="854"/>
      <c r="AR74" s="603"/>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599">
        <v>32</v>
      </c>
      <c r="AI75" s="600">
        <v>50</v>
      </c>
      <c r="AJ75" s="601">
        <v>0.4</v>
      </c>
      <c r="AK75" s="600" t="str">
        <f t="shared" ref="AK75:AK90" si="9">IF($V$21="","",$V$21)</f>
        <v>Mo</v>
      </c>
      <c r="AL75" s="600" t="str">
        <f t="shared" si="8"/>
        <v/>
      </c>
      <c r="AM75" s="600"/>
      <c r="AN75" s="600"/>
      <c r="AO75" s="600"/>
      <c r="AP75" s="600"/>
      <c r="AQ75" s="854"/>
      <c r="AR75" s="603"/>
    </row>
    <row r="76" spans="1:44"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599">
        <v>32</v>
      </c>
      <c r="AI76" s="600">
        <v>50</v>
      </c>
      <c r="AJ76" s="601">
        <v>0.4</v>
      </c>
      <c r="AK76" s="600" t="str">
        <f t="shared" si="9"/>
        <v>Mo</v>
      </c>
      <c r="AL76" s="600" t="str">
        <f t="shared" si="8"/>
        <v/>
      </c>
      <c r="AM76" s="600"/>
      <c r="AN76" s="600"/>
      <c r="AO76" s="600"/>
      <c r="AP76" s="600"/>
      <c r="AQ76" s="854"/>
      <c r="AR76" s="603"/>
    </row>
    <row r="77" spans="1:44"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599">
        <v>32</v>
      </c>
      <c r="AI77" s="600">
        <v>50</v>
      </c>
      <c r="AJ77" s="601">
        <v>0.5</v>
      </c>
      <c r="AK77" s="600" t="str">
        <f t="shared" si="9"/>
        <v>Mo</v>
      </c>
      <c r="AL77" s="600" t="str">
        <f t="shared" si="8"/>
        <v/>
      </c>
      <c r="AM77" s="600"/>
      <c r="AN77" s="600"/>
      <c r="AO77" s="600"/>
      <c r="AP77" s="600"/>
      <c r="AQ77" s="854"/>
      <c r="AR77" s="603"/>
    </row>
    <row r="78" spans="1:44" ht="14.1" customHeight="1">
      <c r="A78" s="17">
        <v>6</v>
      </c>
      <c r="B78" s="67"/>
      <c r="C78" s="68" t="s">
        <v>131</v>
      </c>
      <c r="D78" s="68"/>
      <c r="E78" s="68" t="s">
        <v>117</v>
      </c>
      <c r="F78" s="68"/>
      <c r="G78" s="68"/>
      <c r="H78" s="68"/>
      <c r="I78" s="68"/>
      <c r="J78" s="68"/>
      <c r="K78" s="68"/>
      <c r="L78" s="148" t="str">
        <f t="shared" si="10"/>
        <v>TBD</v>
      </c>
      <c r="M78" s="104" t="str">
        <f t="shared" si="11"/>
        <v/>
      </c>
      <c r="O78" s="30"/>
      <c r="T78" s="259" t="s">
        <v>112</v>
      </c>
      <c r="Y78" s="32"/>
      <c r="AA78" s="35" t="s">
        <v>94</v>
      </c>
      <c r="AB78" s="65"/>
      <c r="AD78" s="66" t="str">
        <f>IF(V126="","",V126)</f>
        <v/>
      </c>
      <c r="AH78" s="599">
        <v>32</v>
      </c>
      <c r="AI78" s="600">
        <v>50</v>
      </c>
      <c r="AJ78" s="601">
        <v>0.5</v>
      </c>
      <c r="AK78" s="600" t="str">
        <f t="shared" si="9"/>
        <v>Mo</v>
      </c>
      <c r="AL78" s="600" t="str">
        <f t="shared" si="8"/>
        <v/>
      </c>
      <c r="AM78" s="600"/>
      <c r="AN78" s="600"/>
      <c r="AO78" s="600"/>
      <c r="AP78" s="600"/>
      <c r="AQ78" s="854"/>
      <c r="AR78" s="603"/>
    </row>
    <row r="79" spans="1:44"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599">
        <v>32</v>
      </c>
      <c r="AI79" s="600">
        <v>50</v>
      </c>
      <c r="AJ79" s="601">
        <v>0.6</v>
      </c>
      <c r="AK79" s="600" t="str">
        <f t="shared" si="9"/>
        <v>Mo</v>
      </c>
      <c r="AL79" s="600" t="str">
        <f t="shared" si="8"/>
        <v/>
      </c>
      <c r="AM79" s="600"/>
      <c r="AN79" s="600"/>
      <c r="AO79" s="600"/>
      <c r="AP79" s="600"/>
      <c r="AQ79" s="854"/>
      <c r="AR79" s="603"/>
    </row>
    <row r="80" spans="1:44"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599">
        <v>32</v>
      </c>
      <c r="AI80" s="600">
        <v>50</v>
      </c>
      <c r="AJ80" s="601">
        <v>0.6</v>
      </c>
      <c r="AK80" s="600" t="str">
        <f t="shared" si="9"/>
        <v>Mo</v>
      </c>
      <c r="AL80" s="600" t="str">
        <f t="shared" si="8"/>
        <v/>
      </c>
      <c r="AM80" s="600"/>
      <c r="AN80" s="600"/>
      <c r="AO80" s="600"/>
      <c r="AP80" s="600"/>
      <c r="AQ80" s="854"/>
      <c r="AR80" s="603"/>
    </row>
    <row r="81" spans="1:44"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Mo</v>
      </c>
      <c r="AL81" s="11" t="str">
        <f t="shared" si="8"/>
        <v/>
      </c>
      <c r="AM81" s="11"/>
      <c r="AN81" s="11"/>
      <c r="AO81" s="11"/>
      <c r="AP81" s="11"/>
      <c r="AQ81" s="855"/>
      <c r="AR81" s="221"/>
    </row>
    <row r="82" spans="1:44"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599">
        <v>34</v>
      </c>
      <c r="AI82" s="600">
        <v>50</v>
      </c>
      <c r="AJ82" s="601">
        <v>0</v>
      </c>
      <c r="AK82" s="600" t="str">
        <f t="shared" si="9"/>
        <v>Mo</v>
      </c>
      <c r="AL82" s="600" t="str">
        <f t="shared" si="8"/>
        <v/>
      </c>
      <c r="AM82" s="600"/>
      <c r="AN82" s="600"/>
      <c r="AO82" s="600"/>
      <c r="AP82" s="600"/>
      <c r="AQ82" s="854"/>
      <c r="AR82" s="603"/>
    </row>
    <row r="83" spans="1:44"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599">
        <v>34</v>
      </c>
      <c r="AI83" s="600">
        <v>50</v>
      </c>
      <c r="AJ83" s="601">
        <v>0.4</v>
      </c>
      <c r="AK83" s="600" t="str">
        <f t="shared" si="9"/>
        <v>Mo</v>
      </c>
      <c r="AL83" s="600" t="str">
        <f t="shared" si="8"/>
        <v/>
      </c>
      <c r="AM83" s="600"/>
      <c r="AN83" s="600"/>
      <c r="AO83" s="600"/>
      <c r="AP83" s="600"/>
      <c r="AQ83" s="854"/>
      <c r="AR83" s="603"/>
    </row>
    <row r="84" spans="1:44"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599">
        <v>34</v>
      </c>
      <c r="AI84" s="600">
        <v>50</v>
      </c>
      <c r="AJ84" s="601">
        <v>0.4</v>
      </c>
      <c r="AK84" s="600" t="str">
        <f t="shared" si="9"/>
        <v>Mo</v>
      </c>
      <c r="AL84" s="600" t="str">
        <f t="shared" si="8"/>
        <v/>
      </c>
      <c r="AM84" s="600"/>
      <c r="AN84" s="600"/>
      <c r="AO84" s="600"/>
      <c r="AP84" s="600"/>
      <c r="AQ84" s="854"/>
      <c r="AR84" s="603"/>
    </row>
    <row r="85" spans="1:44" ht="14.1" customHeight="1">
      <c r="A85" s="17">
        <v>13</v>
      </c>
      <c r="B85" s="67"/>
      <c r="C85" s="68" t="s">
        <v>148</v>
      </c>
      <c r="D85" s="68"/>
      <c r="E85" s="68" t="s">
        <v>127</v>
      </c>
      <c r="F85" s="68"/>
      <c r="G85" s="68"/>
      <c r="H85" s="68"/>
      <c r="I85" s="68"/>
      <c r="J85" s="68"/>
      <c r="K85" s="68"/>
      <c r="L85" s="148" t="str">
        <f t="shared" si="10"/>
        <v>TBD</v>
      </c>
      <c r="M85" s="104" t="str">
        <f t="shared" si="11"/>
        <v/>
      </c>
      <c r="O85" s="273">
        <f>IF(OR(R172="",R172=1),IF(U175&gt;=160,1,2),3)</f>
        <v>1</v>
      </c>
      <c r="P85" s="21" t="s">
        <v>122</v>
      </c>
      <c r="Y85" s="32"/>
      <c r="AA85" s="35" t="s">
        <v>160</v>
      </c>
      <c r="AB85" s="65">
        <v>2.3223554914248874</v>
      </c>
      <c r="AD85" s="116" t="e">
        <f>IF(X265="","",X265)</f>
        <v>#N/A</v>
      </c>
      <c r="AH85" s="599">
        <v>34</v>
      </c>
      <c r="AI85" s="600">
        <v>50</v>
      </c>
      <c r="AJ85" s="601">
        <v>0.5</v>
      </c>
      <c r="AK85" s="600" t="str">
        <f t="shared" si="9"/>
        <v>Mo</v>
      </c>
      <c r="AL85" s="600" t="str">
        <f t="shared" si="8"/>
        <v/>
      </c>
      <c r="AM85" s="600"/>
      <c r="AN85" s="600"/>
      <c r="AO85" s="600"/>
      <c r="AP85" s="600"/>
      <c r="AQ85" s="854"/>
      <c r="AR85" s="603"/>
    </row>
    <row r="86" spans="1:44"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599">
        <v>34</v>
      </c>
      <c r="AI86" s="600">
        <v>50</v>
      </c>
      <c r="AJ86" s="601">
        <v>0.5</v>
      </c>
      <c r="AK86" s="600" t="str">
        <f t="shared" si="9"/>
        <v>Mo</v>
      </c>
      <c r="AL86" s="600" t="str">
        <f t="shared" si="8"/>
        <v/>
      </c>
      <c r="AM86" s="600"/>
      <c r="AN86" s="600"/>
      <c r="AO86" s="600"/>
      <c r="AP86" s="600"/>
      <c r="AQ86" s="854"/>
      <c r="AR86" s="603"/>
    </row>
    <row r="87" spans="1:44"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599">
        <v>34</v>
      </c>
      <c r="AI87" s="600">
        <v>50</v>
      </c>
      <c r="AJ87" s="601">
        <v>0.6</v>
      </c>
      <c r="AK87" s="600" t="str">
        <f t="shared" si="9"/>
        <v>Mo</v>
      </c>
      <c r="AL87" s="600" t="str">
        <f t="shared" si="8"/>
        <v/>
      </c>
      <c r="AM87" s="600"/>
      <c r="AN87" s="600"/>
      <c r="AO87" s="600"/>
      <c r="AP87" s="600"/>
      <c r="AQ87" s="854"/>
      <c r="AR87" s="603"/>
    </row>
    <row r="88" spans="1:44"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v>0.12114819218253589</v>
      </c>
      <c r="AD88" s="117" t="str">
        <f>IF(S399="","",S399)</f>
        <v/>
      </c>
      <c r="AH88" s="599">
        <v>34</v>
      </c>
      <c r="AI88" s="600">
        <v>50</v>
      </c>
      <c r="AJ88" s="601">
        <v>0.6</v>
      </c>
      <c r="AK88" s="600" t="str">
        <f t="shared" si="9"/>
        <v>Mo</v>
      </c>
      <c r="AL88" s="600" t="str">
        <f t="shared" si="8"/>
        <v/>
      </c>
      <c r="AM88" s="600"/>
      <c r="AN88" s="600"/>
      <c r="AO88" s="600"/>
      <c r="AP88" s="600"/>
      <c r="AQ88" s="854"/>
      <c r="AR88" s="603"/>
    </row>
    <row r="89" spans="1:44" ht="14.1" customHeight="1">
      <c r="A89" s="17">
        <v>17</v>
      </c>
      <c r="B89" s="67"/>
      <c r="C89" s="333"/>
      <c r="D89" s="68"/>
      <c r="E89" s="68" t="s">
        <v>137</v>
      </c>
      <c r="F89" s="68"/>
      <c r="G89" s="68"/>
      <c r="H89" s="68"/>
      <c r="I89" s="68"/>
      <c r="J89" s="68"/>
      <c r="K89" s="68"/>
      <c r="L89" s="148" t="str">
        <f t="shared" si="10"/>
        <v>TBD</v>
      </c>
      <c r="M89" s="104" t="str">
        <f t="shared" si="11"/>
        <v/>
      </c>
      <c r="O89" s="96"/>
      <c r="P89" s="21" t="s">
        <v>130</v>
      </c>
      <c r="Y89" s="32"/>
      <c r="AA89" s="35" t="s">
        <v>517</v>
      </c>
      <c r="AB89" s="65">
        <v>11.920722611722631</v>
      </c>
      <c r="AD89" s="116" t="str">
        <f>IF(T399="","",T399)</f>
        <v/>
      </c>
      <c r="AH89" s="206">
        <v>36</v>
      </c>
      <c r="AI89" s="11">
        <v>50</v>
      </c>
      <c r="AJ89" s="106">
        <v>0</v>
      </c>
      <c r="AK89" s="11" t="str">
        <f t="shared" si="9"/>
        <v>Mo</v>
      </c>
      <c r="AL89" s="11" t="str">
        <f t="shared" si="8"/>
        <v/>
      </c>
      <c r="AM89" s="11"/>
      <c r="AN89" s="11"/>
      <c r="AO89" s="11"/>
      <c r="AP89" s="11"/>
      <c r="AQ89" s="855"/>
      <c r="AR89" s="221"/>
    </row>
    <row r="90" spans="1:44"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2">
        <v>0</v>
      </c>
      <c r="AK90" s="208" t="str">
        <f t="shared" si="9"/>
        <v>Mo</v>
      </c>
      <c r="AL90" s="208" t="str">
        <f t="shared" si="8"/>
        <v/>
      </c>
      <c r="AM90" s="208"/>
      <c r="AN90" s="208"/>
      <c r="AO90" s="208"/>
      <c r="AP90" s="208"/>
      <c r="AQ90" s="857"/>
      <c r="AR90" s="177"/>
    </row>
    <row r="91" spans="1:44"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1">
        <v>0</v>
      </c>
      <c r="AK91" s="205" t="str">
        <f>IF($V$22="","",$V$22)</f>
        <v/>
      </c>
      <c r="AL91" s="205" t="str">
        <f>IF($V$25="","",$V$25)</f>
        <v/>
      </c>
      <c r="AM91" s="205"/>
      <c r="AN91" s="205"/>
      <c r="AO91" s="205"/>
      <c r="AP91" s="205"/>
      <c r="AQ91" s="858"/>
      <c r="AR91" s="176"/>
    </row>
    <row r="92" spans="1:44"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4">
        <v>28</v>
      </c>
      <c r="AI92" s="605">
        <v>50</v>
      </c>
      <c r="AJ92" s="606">
        <v>0</v>
      </c>
      <c r="AK92" s="605" t="str">
        <f t="shared" ref="AK92:AK132" si="12">IF($V$22="","",$V$22)</f>
        <v/>
      </c>
      <c r="AL92" s="605" t="str">
        <f t="shared" ref="AL92:AL132" si="13">IF($V$25="","",$V$25)</f>
        <v/>
      </c>
      <c r="AM92" s="605"/>
      <c r="AN92" s="605"/>
      <c r="AO92" s="605"/>
      <c r="AP92" s="605"/>
      <c r="AQ92" s="859"/>
      <c r="AR92" s="607"/>
    </row>
    <row r="93" spans="1:44"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4">
        <v>28</v>
      </c>
      <c r="AI93" s="605">
        <v>50</v>
      </c>
      <c r="AJ93" s="606">
        <v>0</v>
      </c>
      <c r="AK93" s="605" t="str">
        <f t="shared" si="12"/>
        <v/>
      </c>
      <c r="AL93" s="605" t="str">
        <f t="shared" si="13"/>
        <v/>
      </c>
      <c r="AM93" s="605"/>
      <c r="AN93" s="605"/>
      <c r="AO93" s="605"/>
      <c r="AP93" s="605"/>
      <c r="AQ93" s="859"/>
      <c r="AR93" s="607"/>
    </row>
    <row r="94" spans="1:44"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4">
        <v>28</v>
      </c>
      <c r="AI94" s="605">
        <v>50</v>
      </c>
      <c r="AJ94" s="606">
        <v>0</v>
      </c>
      <c r="AK94" s="605" t="str">
        <f t="shared" si="12"/>
        <v/>
      </c>
      <c r="AL94" s="605" t="str">
        <f t="shared" si="13"/>
        <v/>
      </c>
      <c r="AM94" s="605"/>
      <c r="AN94" s="605"/>
      <c r="AO94" s="605"/>
      <c r="AP94" s="605"/>
      <c r="AQ94" s="859"/>
      <c r="AR94" s="607"/>
    </row>
    <row r="95" spans="1:44"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4">
        <v>28</v>
      </c>
      <c r="AI95" s="605">
        <v>50</v>
      </c>
      <c r="AJ95" s="606">
        <v>0.5</v>
      </c>
      <c r="AK95" s="605" t="str">
        <f t="shared" si="12"/>
        <v/>
      </c>
      <c r="AL95" s="605" t="str">
        <f t="shared" si="13"/>
        <v/>
      </c>
      <c r="AM95" s="605"/>
      <c r="AN95" s="605"/>
      <c r="AO95" s="605"/>
      <c r="AP95" s="605"/>
      <c r="AQ95" s="859"/>
      <c r="AR95" s="607"/>
    </row>
    <row r="96" spans="1:44"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4">
        <v>28</v>
      </c>
      <c r="AI96" s="605">
        <v>50</v>
      </c>
      <c r="AJ96" s="606">
        <v>0.5</v>
      </c>
      <c r="AK96" s="605" t="str">
        <f t="shared" si="12"/>
        <v/>
      </c>
      <c r="AL96" s="605" t="str">
        <f t="shared" si="13"/>
        <v/>
      </c>
      <c r="AM96" s="605"/>
      <c r="AN96" s="605"/>
      <c r="AO96" s="605"/>
      <c r="AP96" s="605"/>
      <c r="AQ96" s="859"/>
      <c r="AR96" s="607"/>
    </row>
    <row r="97" spans="1:44"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4">
        <v>28</v>
      </c>
      <c r="AI97" s="605">
        <v>50</v>
      </c>
      <c r="AJ97" s="606">
        <v>0.6</v>
      </c>
      <c r="AK97" s="605" t="str">
        <f t="shared" si="12"/>
        <v/>
      </c>
      <c r="AL97" s="605" t="str">
        <f t="shared" si="13"/>
        <v/>
      </c>
      <c r="AM97" s="605"/>
      <c r="AN97" s="605"/>
      <c r="AO97" s="605"/>
      <c r="AP97" s="605"/>
      <c r="AQ97" s="859"/>
      <c r="AR97" s="607"/>
    </row>
    <row r="98" spans="1:44"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4">
        <v>28</v>
      </c>
      <c r="AI98" s="605">
        <v>50</v>
      </c>
      <c r="AJ98" s="606">
        <v>0.6</v>
      </c>
      <c r="AK98" s="605" t="str">
        <f t="shared" si="12"/>
        <v/>
      </c>
      <c r="AL98" s="605" t="str">
        <f t="shared" si="13"/>
        <v/>
      </c>
      <c r="AM98" s="605"/>
      <c r="AN98" s="605"/>
      <c r="AO98" s="605"/>
      <c r="AP98" s="605"/>
      <c r="AQ98" s="859"/>
      <c r="AR98" s="607"/>
    </row>
    <row r="99" spans="1:44" ht="14.1" customHeight="1">
      <c r="A99" s="17">
        <v>27</v>
      </c>
      <c r="B99" s="67"/>
      <c r="C99" s="68" t="s">
        <v>182</v>
      </c>
      <c r="D99" s="68"/>
      <c r="E99" s="68" t="s">
        <v>157</v>
      </c>
      <c r="F99" s="68"/>
      <c r="G99" s="68"/>
      <c r="H99" s="68"/>
      <c r="I99" s="68"/>
      <c r="J99" s="68"/>
      <c r="K99" s="68"/>
      <c r="L99" s="148" t="str">
        <f t="shared" si="10"/>
        <v>NA</v>
      </c>
      <c r="M99" s="104" t="str">
        <f t="shared" si="11"/>
        <v/>
      </c>
      <c r="O99" s="96"/>
      <c r="P99" s="21" t="s">
        <v>152</v>
      </c>
      <c r="Y99" s="32"/>
      <c r="AA99" s="35" t="s">
        <v>186</v>
      </c>
      <c r="AB99" s="65"/>
      <c r="AD99" s="66" t="str">
        <f>IF(U432="","",U432)</f>
        <v/>
      </c>
      <c r="AH99" s="604">
        <v>28</v>
      </c>
      <c r="AI99" s="605">
        <v>50</v>
      </c>
      <c r="AJ99" s="606">
        <v>0.7</v>
      </c>
      <c r="AK99" s="605" t="str">
        <f t="shared" si="12"/>
        <v/>
      </c>
      <c r="AL99" s="605" t="str">
        <f t="shared" si="13"/>
        <v/>
      </c>
      <c r="AM99" s="605"/>
      <c r="AN99" s="605"/>
      <c r="AO99" s="605"/>
      <c r="AP99" s="605"/>
      <c r="AQ99" s="859"/>
      <c r="AR99" s="607"/>
    </row>
    <row r="100" spans="1:44" ht="14.1" customHeight="1">
      <c r="A100" s="17">
        <v>28</v>
      </c>
      <c r="B100" s="67"/>
      <c r="C100" s="333"/>
      <c r="D100" s="68"/>
      <c r="E100" s="68" t="s">
        <v>159</v>
      </c>
      <c r="F100" s="68"/>
      <c r="G100" s="68"/>
      <c r="H100" s="68"/>
      <c r="I100" s="68"/>
      <c r="J100" s="68"/>
      <c r="K100" s="68"/>
      <c r="L100" s="148" t="str">
        <f t="shared" si="10"/>
        <v>NA</v>
      </c>
      <c r="M100" s="104" t="str">
        <f t="shared" si="11"/>
        <v/>
      </c>
      <c r="O100" s="96"/>
      <c r="P100" s="21" t="s">
        <v>154</v>
      </c>
      <c r="Y100" s="32"/>
      <c r="AA100" s="35" t="s">
        <v>188</v>
      </c>
      <c r="AB100" s="65"/>
      <c r="AD100" s="66" t="str">
        <f>IF(U433="","",U433)</f>
        <v/>
      </c>
      <c r="AH100" s="604">
        <v>28</v>
      </c>
      <c r="AI100" s="605">
        <v>50</v>
      </c>
      <c r="AJ100" s="606">
        <v>0.7</v>
      </c>
      <c r="AK100" s="605" t="str">
        <f t="shared" si="12"/>
        <v/>
      </c>
      <c r="AL100" s="605" t="str">
        <f t="shared" si="13"/>
        <v/>
      </c>
      <c r="AM100" s="605"/>
      <c r="AN100" s="605"/>
      <c r="AO100" s="605"/>
      <c r="AP100" s="605"/>
      <c r="AQ100" s="859"/>
      <c r="AR100" s="607"/>
    </row>
    <row r="101" spans="1:44"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855"/>
      <c r="AR101" s="221"/>
    </row>
    <row r="102" spans="1:44" ht="14.1" customHeight="1">
      <c r="A102" s="17">
        <v>30</v>
      </c>
      <c r="B102" s="67"/>
      <c r="C102" s="68" t="s">
        <v>187</v>
      </c>
      <c r="D102" s="68"/>
      <c r="E102" s="68" t="s">
        <v>165</v>
      </c>
      <c r="F102" s="68"/>
      <c r="G102" s="68"/>
      <c r="H102" s="68"/>
      <c r="I102" s="68"/>
      <c r="J102" s="68"/>
      <c r="K102" s="68"/>
      <c r="L102" s="148" t="str">
        <f t="shared" si="10"/>
        <v>NA</v>
      </c>
      <c r="M102" s="104" t="str">
        <f t="shared" si="11"/>
        <v/>
      </c>
      <c r="O102" s="96">
        <v>3</v>
      </c>
      <c r="P102" s="21" t="s">
        <v>157</v>
      </c>
      <c r="Y102" s="32"/>
      <c r="AA102" s="75" t="s">
        <v>193</v>
      </c>
      <c r="AH102" s="604">
        <v>30</v>
      </c>
      <c r="AI102" s="605">
        <v>50</v>
      </c>
      <c r="AJ102" s="606">
        <v>0</v>
      </c>
      <c r="AK102" s="605" t="str">
        <f t="shared" si="12"/>
        <v/>
      </c>
      <c r="AL102" s="605" t="str">
        <f t="shared" si="13"/>
        <v/>
      </c>
      <c r="AM102" s="605"/>
      <c r="AN102" s="605"/>
      <c r="AO102" s="605"/>
      <c r="AP102" s="605"/>
      <c r="AQ102" s="859"/>
      <c r="AR102" s="607"/>
    </row>
    <row r="103" spans="1:44" ht="14.1" customHeight="1">
      <c r="A103" s="17">
        <v>31</v>
      </c>
      <c r="B103" s="67"/>
      <c r="C103" s="68" t="s">
        <v>189</v>
      </c>
      <c r="D103" s="68"/>
      <c r="E103" s="68" t="s">
        <v>168</v>
      </c>
      <c r="F103" s="68"/>
      <c r="G103" s="68"/>
      <c r="H103" s="68"/>
      <c r="I103" s="68"/>
      <c r="J103" s="68"/>
      <c r="K103" s="68"/>
      <c r="L103" s="148" t="str">
        <f t="shared" si="10"/>
        <v>NA</v>
      </c>
      <c r="M103" s="104" t="str">
        <f t="shared" si="11"/>
        <v/>
      </c>
      <c r="O103" s="96">
        <v>3</v>
      </c>
      <c r="P103" s="21" t="s">
        <v>159</v>
      </c>
      <c r="Y103" s="32"/>
      <c r="AA103" s="35" t="s">
        <v>172</v>
      </c>
      <c r="AB103" s="65">
        <v>28</v>
      </c>
      <c r="AD103" s="66" t="str">
        <f>IF(Q448="","",Q448)</f>
        <v/>
      </c>
      <c r="AH103" s="604">
        <v>30</v>
      </c>
      <c r="AI103" s="605">
        <v>50</v>
      </c>
      <c r="AJ103" s="606">
        <v>0.5</v>
      </c>
      <c r="AK103" s="605" t="str">
        <f t="shared" si="12"/>
        <v/>
      </c>
      <c r="AL103" s="605" t="str">
        <f t="shared" si="13"/>
        <v/>
      </c>
      <c r="AM103" s="605"/>
      <c r="AN103" s="605"/>
      <c r="AO103" s="605"/>
      <c r="AP103" s="605"/>
      <c r="AQ103" s="859"/>
      <c r="AR103" s="607"/>
    </row>
    <row r="104" spans="1:44" ht="14.1" customHeight="1">
      <c r="A104" s="17">
        <v>32</v>
      </c>
      <c r="B104" s="67"/>
      <c r="C104" s="68" t="s">
        <v>191</v>
      </c>
      <c r="D104" s="68"/>
      <c r="E104" s="68" t="s">
        <v>192</v>
      </c>
      <c r="F104" s="68"/>
      <c r="G104" s="68"/>
      <c r="H104" s="68"/>
      <c r="I104" s="68"/>
      <c r="J104" s="68"/>
      <c r="K104" s="68"/>
      <c r="L104" s="148" t="str">
        <f t="shared" si="10"/>
        <v>NA</v>
      </c>
      <c r="M104" s="104" t="str">
        <f t="shared" si="11"/>
        <v/>
      </c>
      <c r="O104" s="96"/>
      <c r="P104" s="21" t="s">
        <v>162</v>
      </c>
      <c r="Y104" s="32"/>
      <c r="AA104" s="35" t="s">
        <v>175</v>
      </c>
      <c r="AB104" s="65">
        <v>93</v>
      </c>
      <c r="AD104" s="66" t="str">
        <f>IF(Q449="","",Q449)</f>
        <v/>
      </c>
      <c r="AH104" s="604">
        <v>30</v>
      </c>
      <c r="AI104" s="605">
        <v>50</v>
      </c>
      <c r="AJ104" s="606">
        <v>0.5</v>
      </c>
      <c r="AK104" s="605" t="str">
        <f t="shared" si="12"/>
        <v/>
      </c>
      <c r="AL104" s="605" t="str">
        <f t="shared" si="13"/>
        <v/>
      </c>
      <c r="AM104" s="605"/>
      <c r="AN104" s="605"/>
      <c r="AO104" s="605"/>
      <c r="AP104" s="605"/>
      <c r="AQ104" s="859"/>
      <c r="AR104" s="607"/>
    </row>
    <row r="105" spans="1:44" ht="14.1" customHeight="1">
      <c r="A105" s="17">
        <v>33</v>
      </c>
      <c r="B105" s="67"/>
      <c r="C105" s="68" t="s">
        <v>194</v>
      </c>
      <c r="D105" s="68"/>
      <c r="E105" s="68" t="s">
        <v>174</v>
      </c>
      <c r="F105" s="68"/>
      <c r="G105" s="68"/>
      <c r="H105" s="68"/>
      <c r="I105" s="68"/>
      <c r="J105" s="68"/>
      <c r="K105" s="68"/>
      <c r="L105" s="148" t="str">
        <f t="shared" si="10"/>
        <v>NA</v>
      </c>
      <c r="M105" s="104" t="str">
        <f t="shared" si="11"/>
        <v/>
      </c>
      <c r="O105" s="96">
        <v>3</v>
      </c>
      <c r="P105" s="21" t="s">
        <v>165</v>
      </c>
      <c r="Y105" s="32"/>
      <c r="AA105" s="35" t="s">
        <v>186</v>
      </c>
      <c r="AB105" s="65">
        <v>4</v>
      </c>
      <c r="AD105" s="66" t="str">
        <f>IF(Q450="","",Q450)</f>
        <v/>
      </c>
      <c r="AH105" s="604">
        <v>30</v>
      </c>
      <c r="AI105" s="605">
        <v>50</v>
      </c>
      <c r="AJ105" s="606">
        <v>0.6</v>
      </c>
      <c r="AK105" s="605" t="str">
        <f t="shared" si="12"/>
        <v/>
      </c>
      <c r="AL105" s="605" t="str">
        <f t="shared" si="13"/>
        <v/>
      </c>
      <c r="AM105" s="605"/>
      <c r="AN105" s="605"/>
      <c r="AO105" s="605"/>
      <c r="AP105" s="605"/>
      <c r="AQ105" s="859"/>
      <c r="AR105" s="607"/>
    </row>
    <row r="106" spans="1:44" ht="14.1" customHeight="1">
      <c r="A106" s="17">
        <v>34</v>
      </c>
      <c r="B106" s="67"/>
      <c r="C106" s="68" t="s">
        <v>195</v>
      </c>
      <c r="D106" s="68"/>
      <c r="E106" s="68" t="s">
        <v>177</v>
      </c>
      <c r="F106" s="68"/>
      <c r="G106" s="68"/>
      <c r="H106" s="68"/>
      <c r="I106" s="68"/>
      <c r="J106" s="68"/>
      <c r="K106" s="68"/>
      <c r="L106" s="148" t="str">
        <f t="shared" si="10"/>
        <v>TBD</v>
      </c>
      <c r="M106" s="104" t="str">
        <f t="shared" si="11"/>
        <v/>
      </c>
      <c r="O106" s="96">
        <v>3</v>
      </c>
      <c r="P106" s="21" t="s">
        <v>168</v>
      </c>
      <c r="Y106" s="32"/>
      <c r="AA106" s="35" t="s">
        <v>188</v>
      </c>
      <c r="AB106" s="65">
        <v>3</v>
      </c>
      <c r="AD106" s="66" t="str">
        <f>IF(Q451="","",Q451)</f>
        <v/>
      </c>
      <c r="AH106" s="604">
        <v>30</v>
      </c>
      <c r="AI106" s="605">
        <v>50</v>
      </c>
      <c r="AJ106" s="606">
        <v>0.6</v>
      </c>
      <c r="AK106" s="605" t="str">
        <f t="shared" si="12"/>
        <v/>
      </c>
      <c r="AL106" s="605" t="str">
        <f t="shared" si="13"/>
        <v/>
      </c>
      <c r="AM106" s="605"/>
      <c r="AN106" s="605"/>
      <c r="AO106" s="605"/>
      <c r="AP106" s="605"/>
      <c r="AQ106" s="859"/>
      <c r="AR106" s="607"/>
    </row>
    <row r="107" spans="1:44" ht="14.1" customHeight="1">
      <c r="A107" s="17">
        <v>35</v>
      </c>
      <c r="B107" s="67"/>
      <c r="C107" s="68" t="s">
        <v>196</v>
      </c>
      <c r="D107" s="68"/>
      <c r="E107" s="68" t="s">
        <v>180</v>
      </c>
      <c r="F107" s="68"/>
      <c r="G107" s="68"/>
      <c r="H107" s="68"/>
      <c r="I107" s="68"/>
      <c r="J107" s="68"/>
      <c r="K107" s="68"/>
      <c r="L107" s="148" t="str">
        <f t="shared" si="10"/>
        <v>TBD</v>
      </c>
      <c r="M107" s="104" t="str">
        <f t="shared" si="11"/>
        <v/>
      </c>
      <c r="O107" s="96">
        <v>3</v>
      </c>
      <c r="P107" s="21" t="s">
        <v>171</v>
      </c>
      <c r="Y107" s="32"/>
      <c r="AA107" s="35" t="s">
        <v>190</v>
      </c>
      <c r="AB107" s="65">
        <v>4</v>
      </c>
      <c r="AD107" s="66" t="str">
        <f>IF(Q452="","",Q452)</f>
        <v/>
      </c>
      <c r="AH107" s="604">
        <v>30</v>
      </c>
      <c r="AI107" s="605">
        <v>50</v>
      </c>
      <c r="AJ107" s="606">
        <v>0.7</v>
      </c>
      <c r="AK107" s="605" t="str">
        <f t="shared" si="12"/>
        <v/>
      </c>
      <c r="AL107" s="605" t="str">
        <f t="shared" si="13"/>
        <v/>
      </c>
      <c r="AM107" s="605"/>
      <c r="AN107" s="605"/>
      <c r="AO107" s="605"/>
      <c r="AP107" s="605"/>
      <c r="AQ107" s="859"/>
      <c r="AR107" s="607"/>
    </row>
    <row r="108" spans="1:44" ht="14.1" customHeight="1">
      <c r="A108" s="17">
        <v>36</v>
      </c>
      <c r="B108" s="67"/>
      <c r="C108" s="68"/>
      <c r="D108" s="68"/>
      <c r="E108" s="68"/>
      <c r="F108" s="68"/>
      <c r="G108" s="68"/>
      <c r="H108" s="68"/>
      <c r="I108" s="68"/>
      <c r="J108" s="68"/>
      <c r="K108" s="68"/>
      <c r="L108" s="68"/>
      <c r="M108" s="69"/>
      <c r="O108" s="96">
        <v>3</v>
      </c>
      <c r="P108" s="21" t="s">
        <v>174</v>
      </c>
      <c r="Y108" s="32"/>
      <c r="AA108" s="35" t="s">
        <v>172</v>
      </c>
      <c r="AB108" s="65"/>
      <c r="AD108" s="66" t="str">
        <f>IF(R448="","",R448)</f>
        <v/>
      </c>
      <c r="AH108" s="604">
        <v>30</v>
      </c>
      <c r="AI108" s="605">
        <v>50</v>
      </c>
      <c r="AJ108" s="606">
        <v>0.7</v>
      </c>
      <c r="AK108" s="605" t="str">
        <f t="shared" si="12"/>
        <v/>
      </c>
      <c r="AL108" s="605" t="str">
        <f t="shared" si="13"/>
        <v/>
      </c>
      <c r="AM108" s="605"/>
      <c r="AN108" s="605"/>
      <c r="AO108" s="605"/>
      <c r="AP108" s="605"/>
      <c r="AQ108" s="859"/>
      <c r="AR108" s="607"/>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855"/>
      <c r="AR109" s="221"/>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4">
        <v>32</v>
      </c>
      <c r="AI110" s="605">
        <v>50</v>
      </c>
      <c r="AJ110" s="606">
        <v>0</v>
      </c>
      <c r="AK110" s="605" t="str">
        <f t="shared" si="12"/>
        <v/>
      </c>
      <c r="AL110" s="605" t="str">
        <f t="shared" si="13"/>
        <v/>
      </c>
      <c r="AM110" s="605"/>
      <c r="AN110" s="605"/>
      <c r="AO110" s="605"/>
      <c r="AP110" s="605"/>
      <c r="AQ110" s="859"/>
      <c r="AR110" s="607"/>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8"/>
      <c r="T111" s="75" t="s">
        <v>528</v>
      </c>
      <c r="Y111" s="32"/>
      <c r="AA111" s="35" t="s">
        <v>188</v>
      </c>
      <c r="AB111" s="65"/>
      <c r="AD111" s="66" t="str">
        <f>IF(R451="","",R451)</f>
        <v/>
      </c>
      <c r="AH111" s="604">
        <v>32</v>
      </c>
      <c r="AI111" s="605">
        <v>50</v>
      </c>
      <c r="AJ111" s="606">
        <v>0.5</v>
      </c>
      <c r="AK111" s="605" t="str">
        <f t="shared" si="12"/>
        <v/>
      </c>
      <c r="AL111" s="605" t="str">
        <f t="shared" si="13"/>
        <v/>
      </c>
      <c r="AM111" s="605"/>
      <c r="AN111" s="605"/>
      <c r="AO111" s="605"/>
      <c r="AP111" s="605"/>
      <c r="AQ111" s="859"/>
      <c r="AR111" s="607"/>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4">
        <v>32</v>
      </c>
      <c r="AI112" s="605">
        <v>50</v>
      </c>
      <c r="AJ112" s="606">
        <v>0.5</v>
      </c>
      <c r="AK112" s="605" t="str">
        <f t="shared" si="12"/>
        <v/>
      </c>
      <c r="AL112" s="605" t="str">
        <f t="shared" si="13"/>
        <v/>
      </c>
      <c r="AM112" s="605"/>
      <c r="AN112" s="605"/>
      <c r="AO112" s="605"/>
      <c r="AP112" s="605"/>
      <c r="AQ112" s="859"/>
      <c r="AR112" s="607"/>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4">
        <v>32</v>
      </c>
      <c r="AI113" s="605">
        <v>50</v>
      </c>
      <c r="AJ113" s="606">
        <v>0.6</v>
      </c>
      <c r="AK113" s="605" t="str">
        <f t="shared" si="12"/>
        <v/>
      </c>
      <c r="AL113" s="605" t="str">
        <f t="shared" si="13"/>
        <v/>
      </c>
      <c r="AM113" s="605"/>
      <c r="AN113" s="605"/>
      <c r="AO113" s="605"/>
      <c r="AP113" s="605"/>
      <c r="AQ113" s="859"/>
      <c r="AR113" s="607"/>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4">
        <v>32</v>
      </c>
      <c r="AI114" s="605">
        <v>50</v>
      </c>
      <c r="AJ114" s="606">
        <v>0.6</v>
      </c>
      <c r="AK114" s="605" t="str">
        <f t="shared" si="12"/>
        <v/>
      </c>
      <c r="AL114" s="605" t="str">
        <f t="shared" si="13"/>
        <v/>
      </c>
      <c r="AM114" s="605"/>
      <c r="AN114" s="605"/>
      <c r="AO114" s="605"/>
      <c r="AP114" s="605"/>
      <c r="AQ114" s="859"/>
      <c r="AR114" s="607"/>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4">
        <v>32</v>
      </c>
      <c r="AI115" s="605">
        <v>50</v>
      </c>
      <c r="AJ115" s="606">
        <v>0.7</v>
      </c>
      <c r="AK115" s="605" t="str">
        <f t="shared" si="12"/>
        <v/>
      </c>
      <c r="AL115" s="605" t="str">
        <f t="shared" si="13"/>
        <v/>
      </c>
      <c r="AM115" s="605"/>
      <c r="AN115" s="605"/>
      <c r="AO115" s="605"/>
      <c r="AP115" s="605"/>
      <c r="AQ115" s="859"/>
      <c r="AR115" s="607"/>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4">
        <v>32</v>
      </c>
      <c r="AI116" s="605">
        <v>50</v>
      </c>
      <c r="AJ116" s="606">
        <v>0.7</v>
      </c>
      <c r="AK116" s="605" t="str">
        <f t="shared" si="12"/>
        <v/>
      </c>
      <c r="AL116" s="605" t="str">
        <f t="shared" si="13"/>
        <v/>
      </c>
      <c r="AM116" s="605"/>
      <c r="AN116" s="605"/>
      <c r="AO116" s="605"/>
      <c r="AP116" s="605"/>
      <c r="AQ116" s="859"/>
      <c r="AR116" s="607"/>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855"/>
      <c r="AR117" s="221"/>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4">
        <v>34</v>
      </c>
      <c r="AI118" s="605">
        <v>50</v>
      </c>
      <c r="AJ118" s="606">
        <v>0</v>
      </c>
      <c r="AK118" s="605" t="str">
        <f t="shared" si="12"/>
        <v/>
      </c>
      <c r="AL118" s="605" t="str">
        <f t="shared" si="13"/>
        <v/>
      </c>
      <c r="AM118" s="605"/>
      <c r="AN118" s="605"/>
      <c r="AO118" s="605"/>
      <c r="AP118" s="605"/>
      <c r="AQ118" s="859"/>
      <c r="AR118" s="607"/>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9" t="s">
        <v>185</v>
      </c>
      <c r="AA119" s="35" t="s">
        <v>198</v>
      </c>
      <c r="AB119" s="65"/>
      <c r="AD119" s="66" t="str">
        <f>IF(T462="","",T462)</f>
        <v/>
      </c>
      <c r="AH119" s="604">
        <v>34</v>
      </c>
      <c r="AI119" s="605">
        <v>50</v>
      </c>
      <c r="AJ119" s="606">
        <v>0.5</v>
      </c>
      <c r="AK119" s="605" t="str">
        <f t="shared" si="12"/>
        <v/>
      </c>
      <c r="AL119" s="605" t="str">
        <f t="shared" si="13"/>
        <v/>
      </c>
      <c r="AM119" s="605"/>
      <c r="AN119" s="605"/>
      <c r="AO119" s="605"/>
      <c r="AP119" s="605"/>
      <c r="AQ119" s="859"/>
      <c r="AR119" s="607"/>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4">
        <v>34</v>
      </c>
      <c r="AI120" s="605">
        <v>50</v>
      </c>
      <c r="AJ120" s="606">
        <v>0.5</v>
      </c>
      <c r="AK120" s="605" t="str">
        <f t="shared" si="12"/>
        <v/>
      </c>
      <c r="AL120" s="605" t="str">
        <f t="shared" si="13"/>
        <v/>
      </c>
      <c r="AM120" s="605"/>
      <c r="AN120" s="605"/>
      <c r="AO120" s="605"/>
      <c r="AP120" s="605"/>
      <c r="AQ120" s="859"/>
      <c r="AR120" s="607"/>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77" t="s">
        <v>64</v>
      </c>
      <c r="Q121" s="978"/>
      <c r="R121" s="979"/>
      <c r="S121" s="977" t="s">
        <v>515</v>
      </c>
      <c r="T121" s="978"/>
      <c r="U121" s="979"/>
      <c r="V121" s="977" t="s">
        <v>66</v>
      </c>
      <c r="W121" s="978"/>
      <c r="X121" s="983"/>
      <c r="Y121" s="32"/>
      <c r="AA121" s="35" t="s">
        <v>603</v>
      </c>
      <c r="AB121" s="65"/>
      <c r="AD121" s="66" t="str">
        <f>IF(S274="","",S274)</f>
        <v/>
      </c>
      <c r="AH121" s="604">
        <v>34</v>
      </c>
      <c r="AI121" s="605">
        <v>50</v>
      </c>
      <c r="AJ121" s="606">
        <v>0.6</v>
      </c>
      <c r="AK121" s="605" t="str">
        <f t="shared" si="12"/>
        <v/>
      </c>
      <c r="AL121" s="605" t="str">
        <f t="shared" si="13"/>
        <v/>
      </c>
      <c r="AM121" s="605"/>
      <c r="AN121" s="605"/>
      <c r="AO121" s="605"/>
      <c r="AP121" s="605"/>
      <c r="AQ121" s="859"/>
      <c r="AR121" s="607"/>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80"/>
      <c r="Q122" s="981"/>
      <c r="R122" s="982"/>
      <c r="S122" s="980"/>
      <c r="T122" s="981"/>
      <c r="U122" s="982"/>
      <c r="V122" s="980"/>
      <c r="W122" s="981"/>
      <c r="X122" s="984"/>
      <c r="Y122" s="32"/>
      <c r="AA122" s="35" t="s">
        <v>604</v>
      </c>
      <c r="AB122" s="65"/>
      <c r="AD122" s="66" t="str">
        <f>IF(S275="","",S275)</f>
        <v/>
      </c>
      <c r="AH122" s="604">
        <v>34</v>
      </c>
      <c r="AI122" s="605">
        <v>50</v>
      </c>
      <c r="AJ122" s="606">
        <v>0.6</v>
      </c>
      <c r="AK122" s="605" t="str">
        <f t="shared" si="12"/>
        <v/>
      </c>
      <c r="AL122" s="605" t="str">
        <f t="shared" si="13"/>
        <v/>
      </c>
      <c r="AM122" s="605"/>
      <c r="AN122" s="605"/>
      <c r="AO122" s="605"/>
      <c r="AP122" s="605"/>
      <c r="AQ122" s="859"/>
      <c r="AR122" s="607"/>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4">
        <v>34</v>
      </c>
      <c r="AI123" s="605">
        <v>50</v>
      </c>
      <c r="AJ123" s="606">
        <v>0.7</v>
      </c>
      <c r="AK123" s="605" t="str">
        <f t="shared" si="12"/>
        <v/>
      </c>
      <c r="AL123" s="605" t="str">
        <f t="shared" si="13"/>
        <v/>
      </c>
      <c r="AM123" s="605"/>
      <c r="AN123" s="605"/>
      <c r="AO123" s="605"/>
      <c r="AP123" s="605"/>
      <c r="AQ123" s="859"/>
      <c r="AR123" s="607"/>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4">
        <v>34</v>
      </c>
      <c r="AI124" s="605">
        <v>50</v>
      </c>
      <c r="AJ124" s="606">
        <v>0.7</v>
      </c>
      <c r="AK124" s="605" t="str">
        <f t="shared" si="12"/>
        <v/>
      </c>
      <c r="AL124" s="605" t="str">
        <f t="shared" si="13"/>
        <v/>
      </c>
      <c r="AM124" s="605"/>
      <c r="AN124" s="605"/>
      <c r="AO124" s="605"/>
      <c r="AP124" s="605"/>
      <c r="AQ124" s="859"/>
      <c r="AR124" s="607"/>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855"/>
      <c r="AR125" s="221"/>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4">
        <v>38</v>
      </c>
      <c r="AI126" s="605">
        <v>50</v>
      </c>
      <c r="AJ126" s="606">
        <v>0</v>
      </c>
      <c r="AK126" s="605" t="str">
        <f t="shared" si="12"/>
        <v/>
      </c>
      <c r="AL126" s="605" t="str">
        <f t="shared" si="13"/>
        <v/>
      </c>
      <c r="AM126" s="605"/>
      <c r="AN126" s="605"/>
      <c r="AO126" s="605"/>
      <c r="AP126" s="605"/>
      <c r="AQ126" s="859"/>
      <c r="AR126" s="607"/>
    </row>
    <row r="127" spans="1:44" ht="14.1" customHeight="1" thickBot="1">
      <c r="A127" s="17">
        <v>55</v>
      </c>
      <c r="B127" s="67"/>
      <c r="C127" s="68"/>
      <c r="D127" s="68"/>
      <c r="E127" s="333"/>
      <c r="F127" s="68"/>
      <c r="G127" s="68"/>
      <c r="H127" s="489"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4">
        <v>38</v>
      </c>
      <c r="AI127" s="605">
        <v>50</v>
      </c>
      <c r="AJ127" s="606">
        <v>0.6</v>
      </c>
      <c r="AK127" s="605" t="str">
        <f t="shared" si="12"/>
        <v/>
      </c>
      <c r="AL127" s="605" t="str">
        <f t="shared" si="13"/>
        <v/>
      </c>
      <c r="AM127" s="605"/>
      <c r="AN127" s="605"/>
      <c r="AO127" s="605"/>
      <c r="AP127" s="605"/>
      <c r="AQ127" s="859"/>
      <c r="AR127" s="607"/>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4">
        <v>38</v>
      </c>
      <c r="AI128" s="605">
        <v>50</v>
      </c>
      <c r="AJ128" s="606">
        <v>0.6</v>
      </c>
      <c r="AK128" s="605" t="str">
        <f t="shared" si="12"/>
        <v/>
      </c>
      <c r="AL128" s="605" t="str">
        <f t="shared" si="13"/>
        <v/>
      </c>
      <c r="AM128" s="605"/>
      <c r="AN128" s="605"/>
      <c r="AO128" s="605"/>
      <c r="AP128" s="605"/>
      <c r="AQ128" s="859"/>
      <c r="AR128" s="607"/>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77" t="s">
        <v>64</v>
      </c>
      <c r="Q129" s="978"/>
      <c r="R129" s="979"/>
      <c r="S129" s="977" t="s">
        <v>515</v>
      </c>
      <c r="T129" s="978"/>
      <c r="U129" s="979"/>
      <c r="V129" s="985" t="s">
        <v>66</v>
      </c>
      <c r="W129" s="986"/>
      <c r="X129" s="987"/>
      <c r="Y129" s="32"/>
      <c r="AA129" s="35" t="s">
        <v>611</v>
      </c>
      <c r="AB129" s="65"/>
      <c r="AD129" s="66" t="str">
        <f>IF(Q315="","",Q315)</f>
        <v/>
      </c>
      <c r="AH129" s="604">
        <v>38</v>
      </c>
      <c r="AI129" s="605">
        <v>50</v>
      </c>
      <c r="AJ129" s="606">
        <v>0.7</v>
      </c>
      <c r="AK129" s="605" t="str">
        <f t="shared" si="12"/>
        <v/>
      </c>
      <c r="AL129" s="605" t="str">
        <f t="shared" si="13"/>
        <v/>
      </c>
      <c r="AM129" s="605"/>
      <c r="AN129" s="605"/>
      <c r="AO129" s="605"/>
      <c r="AP129" s="605"/>
      <c r="AQ129" s="859"/>
      <c r="AR129" s="607"/>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80"/>
      <c r="Q130" s="981"/>
      <c r="R130" s="982"/>
      <c r="S130" s="980"/>
      <c r="T130" s="981"/>
      <c r="U130" s="982"/>
      <c r="V130" s="988"/>
      <c r="W130" s="964"/>
      <c r="X130" s="989"/>
      <c r="Y130" s="32"/>
      <c r="AA130" s="21" t="s">
        <v>612</v>
      </c>
      <c r="AB130" s="65"/>
      <c r="AD130" s="66" t="str">
        <f>IF(Q349="","",Q349)</f>
        <v/>
      </c>
      <c r="AH130" s="604">
        <v>38</v>
      </c>
      <c r="AI130" s="605">
        <v>50</v>
      </c>
      <c r="AJ130" s="606">
        <v>0.7</v>
      </c>
      <c r="AK130" s="605" t="str">
        <f t="shared" si="12"/>
        <v/>
      </c>
      <c r="AL130" s="605" t="str">
        <f t="shared" si="13"/>
        <v/>
      </c>
      <c r="AM130" s="605"/>
      <c r="AN130" s="605"/>
      <c r="AO130" s="605"/>
      <c r="AP130" s="605"/>
      <c r="AQ130" s="859"/>
      <c r="AR130" s="607"/>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4">
        <v>38</v>
      </c>
      <c r="AI131" s="605">
        <v>50</v>
      </c>
      <c r="AJ131" s="606">
        <v>0.8</v>
      </c>
      <c r="AK131" s="605" t="str">
        <f t="shared" si="12"/>
        <v/>
      </c>
      <c r="AL131" s="605" t="str">
        <f t="shared" si="13"/>
        <v/>
      </c>
      <c r="AM131" s="605"/>
      <c r="AN131" s="605"/>
      <c r="AO131" s="605"/>
      <c r="AP131" s="605"/>
      <c r="AQ131" s="859"/>
      <c r="AR131" s="607"/>
    </row>
    <row r="132" spans="1:44"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08">
        <v>38</v>
      </c>
      <c r="AI132" s="609">
        <v>50</v>
      </c>
      <c r="AJ132" s="610">
        <v>0.8</v>
      </c>
      <c r="AK132" s="609" t="str">
        <f t="shared" si="12"/>
        <v/>
      </c>
      <c r="AL132" s="609" t="str">
        <f t="shared" si="13"/>
        <v/>
      </c>
      <c r="AM132" s="609"/>
      <c r="AN132" s="609"/>
      <c r="AO132" s="609"/>
      <c r="AP132" s="609"/>
      <c r="AQ132" s="860"/>
      <c r="AR132" s="611"/>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4" ht="14.1" customHeight="1">
      <c r="A134" s="17">
        <v>62</v>
      </c>
      <c r="B134" s="67"/>
      <c r="C134" s="68"/>
      <c r="D134" s="68"/>
      <c r="E134" s="68"/>
      <c r="F134" s="68"/>
      <c r="G134" s="68"/>
      <c r="H134" s="489"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4"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4"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4"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9" t="s">
        <v>72</v>
      </c>
      <c r="AA137" s="35" t="s">
        <v>186</v>
      </c>
      <c r="AB137" s="65"/>
      <c r="AD137" s="66" t="str">
        <f>IF(P357="","",P357)</f>
        <v/>
      </c>
    </row>
    <row r="138" spans="1:44"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730</v>
      </c>
      <c r="T138" s="23"/>
      <c r="U138" s="23"/>
      <c r="V138" s="23"/>
      <c r="W138" s="23"/>
      <c r="X138" s="23"/>
      <c r="Y138" s="24"/>
      <c r="AA138" s="35" t="s">
        <v>188</v>
      </c>
      <c r="AB138" s="65"/>
      <c r="AD138" s="66" t="str">
        <f>IF(P358="","",P358)</f>
        <v/>
      </c>
    </row>
    <row r="139" spans="1:44"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878"/>
      <c r="T139" s="4"/>
      <c r="Y139" s="32"/>
      <c r="AA139" s="35" t="s">
        <v>190</v>
      </c>
      <c r="AB139" s="65"/>
      <c r="AD139" s="66" t="str">
        <f>IF(P359="","",P359)</f>
        <v/>
      </c>
    </row>
    <row r="140" spans="1:44"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878"/>
      <c r="T140" s="4"/>
      <c r="Y140" s="32"/>
      <c r="AA140" s="35" t="s">
        <v>595</v>
      </c>
    </row>
    <row r="141" spans="1:44"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5">
        <f>IF($P$7="","",$P$7)</f>
        <v>43273</v>
      </c>
      <c r="E143" s="27"/>
      <c r="F143" s="27"/>
      <c r="G143" s="27"/>
      <c r="H143" s="27"/>
      <c r="I143" s="27"/>
      <c r="J143" s="27"/>
      <c r="K143" s="27"/>
      <c r="L143" s="109" t="s">
        <v>11</v>
      </c>
      <c r="M143" s="376" t="str">
        <f>IF($X$7="","",$X$7)</f>
        <v>Eugene Mah</v>
      </c>
      <c r="O143" s="30"/>
      <c r="P143" s="113" t="s">
        <v>203</v>
      </c>
      <c r="Q143" s="138" t="s">
        <v>204</v>
      </c>
      <c r="Y143" s="32"/>
      <c r="AA143" s="35" t="s">
        <v>190</v>
      </c>
      <c r="AB143" s="65"/>
      <c r="AD143" s="66" t="str">
        <f>IF(Q359="","",Q359)</f>
        <v/>
      </c>
    </row>
    <row r="144" spans="1:44" ht="14.1" customHeight="1">
      <c r="A144" s="17">
        <v>72</v>
      </c>
      <c r="C144" s="109" t="s">
        <v>120</v>
      </c>
      <c r="D144" s="376" t="str">
        <f>IF($R$14="","",$R$14)</f>
        <v>1C07</v>
      </c>
      <c r="E144" s="27"/>
      <c r="F144" s="27"/>
      <c r="G144" s="27"/>
      <c r="H144" s="27"/>
      <c r="I144" s="27"/>
      <c r="J144" s="27"/>
      <c r="K144" s="27"/>
      <c r="L144" s="109" t="s">
        <v>36</v>
      </c>
      <c r="M144" s="376">
        <f>IF($R$13="","",$R$13)</f>
        <v>2302</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78" t="s">
        <v>207</v>
      </c>
      <c r="R146" s="578"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78">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5" t="str">
        <f>IF(R139="","",R139)</f>
        <v/>
      </c>
      <c r="G148" s="68"/>
      <c r="H148" s="162" t="s">
        <v>217</v>
      </c>
      <c r="I148" s="144" t="str">
        <f>IF(R142="","",R142)</f>
        <v/>
      </c>
      <c r="J148" s="68"/>
      <c r="K148" s="68"/>
      <c r="L148" s="68"/>
      <c r="M148" s="69"/>
      <c r="O148" s="30"/>
      <c r="P148" s="578">
        <v>2</v>
      </c>
      <c r="Q148" s="137"/>
      <c r="R148" s="140" t="str">
        <f t="shared" si="17"/>
        <v/>
      </c>
      <c r="Y148" s="32"/>
      <c r="AA148" s="35" t="s">
        <v>597</v>
      </c>
    </row>
    <row r="149" spans="1:30" ht="14.1" customHeight="1" thickBot="1">
      <c r="A149" s="17">
        <v>5</v>
      </c>
      <c r="B149" s="67"/>
      <c r="C149" s="68"/>
      <c r="D149" s="68"/>
      <c r="E149" s="162" t="s">
        <v>201</v>
      </c>
      <c r="F149" s="433" t="str">
        <f>IF(R140="","",R140)</f>
        <v/>
      </c>
      <c r="G149" s="577"/>
      <c r="H149" s="577"/>
      <c r="I149" s="68"/>
      <c r="J149" s="68"/>
      <c r="K149" s="68"/>
      <c r="L149" s="68"/>
      <c r="M149" s="69"/>
      <c r="O149" s="30"/>
      <c r="P149" s="578">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4" t="str">
        <f>IF(R141="","",IF(R141=1,"Pass","Fail"))</f>
        <v/>
      </c>
      <c r="G150" s="577"/>
      <c r="H150" s="68"/>
      <c r="I150" s="68"/>
      <c r="J150" s="68"/>
      <c r="K150" s="68"/>
      <c r="L150" s="68"/>
      <c r="M150" s="69"/>
      <c r="O150" s="30"/>
      <c r="P150" s="578">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78">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78">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78">
        <v>6</v>
      </c>
      <c r="Q153" s="137"/>
      <c r="R153" s="140" t="str">
        <f t="shared" si="17"/>
        <v/>
      </c>
      <c r="U153" s="138" t="s">
        <v>212</v>
      </c>
      <c r="Y153" s="32"/>
    </row>
    <row r="154" spans="1:30" ht="14.1" customHeight="1" thickBot="1">
      <c r="A154" s="17">
        <v>10</v>
      </c>
      <c r="B154" s="67"/>
      <c r="C154" s="386" t="s">
        <v>206</v>
      </c>
      <c r="D154" s="418" t="s">
        <v>207</v>
      </c>
      <c r="E154" s="419" t="s">
        <v>208</v>
      </c>
      <c r="F154" s="68"/>
      <c r="G154" s="68"/>
      <c r="H154" s="333"/>
      <c r="I154" s="162" t="s">
        <v>221</v>
      </c>
      <c r="J154" s="377" t="str">
        <f>IF(O156="","TBD",IF(O156=1,"YES",IF(O156=3,"NA","")))</f>
        <v>TBD</v>
      </c>
      <c r="K154" s="68"/>
      <c r="L154" s="148" t="str">
        <f>IF(O156=2,"NO","")</f>
        <v/>
      </c>
      <c r="M154" s="69"/>
      <c r="O154" s="30"/>
      <c r="P154" s="578">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222</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214</v>
      </c>
      <c r="J156" s="377"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8">
        <v>4</v>
      </c>
      <c r="D157" s="310" t="str">
        <f t="shared" si="18"/>
        <v/>
      </c>
      <c r="E157" s="339"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8">
        <v>4</v>
      </c>
      <c r="D158" s="310" t="str">
        <f t="shared" si="18"/>
        <v/>
      </c>
      <c r="E158" s="339" t="str">
        <f t="shared" si="18"/>
        <v/>
      </c>
      <c r="F158" s="68"/>
      <c r="G158" s="68"/>
      <c r="H158" s="68"/>
      <c r="I158" s="162" t="s">
        <v>210</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216</v>
      </c>
      <c r="Y159" s="32"/>
    </row>
    <row r="160" spans="1:30" ht="14.1" customHeight="1">
      <c r="A160" s="17">
        <v>16</v>
      </c>
      <c r="B160" s="67"/>
      <c r="C160" s="338">
        <v>4</v>
      </c>
      <c r="D160" s="310" t="str">
        <f t="shared" si="18"/>
        <v/>
      </c>
      <c r="E160" s="339"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8">
        <v>6</v>
      </c>
      <c r="D161" s="310" t="str">
        <f t="shared" si="18"/>
        <v/>
      </c>
      <c r="E161" s="339"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8" t="str">
        <f t="shared" ref="D165:F167" si="19">IF(Q160="","",Q160)</f>
        <v>Mo</v>
      </c>
      <c r="E165" s="379" t="str">
        <f t="shared" si="19"/>
        <v>Mo</v>
      </c>
      <c r="F165" s="380" t="str">
        <f t="shared" si="19"/>
        <v>W</v>
      </c>
      <c r="G165" s="68"/>
      <c r="H165" s="577"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1" t="str">
        <f t="shared" si="19"/>
        <v>Mo</v>
      </c>
      <c r="E166" s="16" t="str">
        <f t="shared" si="19"/>
        <v>Rh</v>
      </c>
      <c r="F166" s="382" t="str">
        <f t="shared" si="19"/>
        <v>Rh</v>
      </c>
      <c r="G166" s="68"/>
      <c r="H166" s="577"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1" t="str">
        <f t="shared" si="19"/>
        <v/>
      </c>
      <c r="E167" s="16" t="str">
        <f t="shared" si="19"/>
        <v/>
      </c>
      <c r="F167" s="382" t="str">
        <f t="shared" si="19"/>
        <v/>
      </c>
      <c r="G167" s="68"/>
      <c r="H167" s="577" t="str">
        <f>IF(T161="","",T161)</f>
        <v/>
      </c>
      <c r="I167" s="68"/>
      <c r="J167" s="68"/>
      <c r="K167" s="68"/>
      <c r="L167" s="68"/>
      <c r="M167" s="69"/>
      <c r="O167" s="30"/>
      <c r="P167" s="4"/>
      <c r="Q167" s="4"/>
      <c r="R167" s="4"/>
      <c r="S167" s="4"/>
      <c r="T167" s="4"/>
      <c r="Y167" s="32"/>
    </row>
    <row r="168" spans="1:25" ht="14.1" customHeight="1">
      <c r="A168" s="17">
        <v>24</v>
      </c>
      <c r="B168" s="67"/>
      <c r="C168" s="162" t="s">
        <v>172</v>
      </c>
      <c r="D168" s="381" t="str">
        <f t="shared" ref="D168:F171" si="20">IF(Q162="","",Q162)</f>
        <v/>
      </c>
      <c r="E168" s="16" t="str">
        <f t="shared" si="20"/>
        <v/>
      </c>
      <c r="F168" s="382" t="str">
        <f t="shared" si="20"/>
        <v/>
      </c>
      <c r="G168" s="68"/>
      <c r="H168" s="577"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1" t="str">
        <f t="shared" si="20"/>
        <v/>
      </c>
      <c r="E169" s="16" t="str">
        <f t="shared" si="20"/>
        <v/>
      </c>
      <c r="F169" s="382" t="str">
        <f t="shared" si="20"/>
        <v/>
      </c>
      <c r="G169" s="68"/>
      <c r="H169" s="577"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1" t="str">
        <f t="shared" si="20"/>
        <v/>
      </c>
      <c r="E170" s="16" t="str">
        <f t="shared" si="20"/>
        <v/>
      </c>
      <c r="F170" s="382" t="str">
        <f t="shared" si="20"/>
        <v/>
      </c>
      <c r="G170" s="68"/>
      <c r="H170" s="577"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3" t="str">
        <f t="shared" si="20"/>
        <v/>
      </c>
      <c r="E171" s="384" t="str">
        <f t="shared" si="20"/>
        <v/>
      </c>
      <c r="F171" s="385" t="str">
        <f t="shared" si="20"/>
        <v/>
      </c>
      <c r="G171" s="68"/>
      <c r="H171" s="577"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7" t="str">
        <f>IF(T165="","",T165)</f>
        <v/>
      </c>
      <c r="I172" s="68"/>
      <c r="J172" s="68"/>
      <c r="K172" s="68"/>
      <c r="L172" s="68"/>
      <c r="M172" s="69"/>
      <c r="O172" s="139" t="s">
        <v>226</v>
      </c>
      <c r="R172" s="137">
        <v>1</v>
      </c>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68" t="s">
        <v>227</v>
      </c>
      <c r="Q173" s="968"/>
      <c r="R173" s="968"/>
      <c r="S173" s="968"/>
      <c r="U173" s="577" t="s">
        <v>228</v>
      </c>
      <c r="V173" s="577"/>
      <c r="Y173" s="32"/>
    </row>
    <row r="174" spans="1:25" ht="14.1" customHeight="1">
      <c r="A174" s="17">
        <v>30</v>
      </c>
      <c r="B174" s="67"/>
      <c r="C174" s="68"/>
      <c r="D174" s="491"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4" t="s">
        <v>233</v>
      </c>
      <c r="V174" s="577"/>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217</v>
      </c>
      <c r="X175" s="296" t="str">
        <f>IF($R$172=1,IF(U175&gt;=160,"PASS","FAIL"),"NA")</f>
        <v>PASS</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68" t="s">
        <v>227</v>
      </c>
      <c r="E179" s="968"/>
      <c r="F179" s="968"/>
      <c r="G179" s="968"/>
      <c r="H179" s="68"/>
      <c r="I179" s="577" t="s">
        <v>228</v>
      </c>
      <c r="J179" s="577"/>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9"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217</v>
      </c>
      <c r="L181" s="144" t="str">
        <f>IF(X175="","",X175)</f>
        <v>PASS</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61" t="s">
        <v>239</v>
      </c>
      <c r="R182" s="961"/>
      <c r="S182" s="961"/>
      <c r="T182" s="4"/>
      <c r="U182" s="961" t="s">
        <v>239</v>
      </c>
      <c r="V182" s="961"/>
      <c r="W182" s="961"/>
      <c r="X182" s="4"/>
      <c r="Y182" s="32"/>
    </row>
    <row r="183" spans="1:25" ht="14.1" customHeight="1" thickBot="1">
      <c r="A183" s="17">
        <v>39</v>
      </c>
      <c r="B183" s="159"/>
      <c r="C183" s="41"/>
      <c r="D183" s="41"/>
      <c r="E183" s="41"/>
      <c r="F183" s="41"/>
      <c r="G183" s="41"/>
      <c r="H183" s="41"/>
      <c r="I183" s="41"/>
      <c r="J183" s="41"/>
      <c r="K183" s="41"/>
      <c r="L183" s="41"/>
      <c r="M183" s="160"/>
      <c r="O183" s="30"/>
      <c r="P183" s="68"/>
      <c r="Q183" s="578" t="s">
        <v>240</v>
      </c>
      <c r="R183" s="578" t="s">
        <v>241</v>
      </c>
      <c r="S183" s="107" t="s">
        <v>242</v>
      </c>
      <c r="T183" s="4"/>
      <c r="U183" s="578" t="s">
        <v>240</v>
      </c>
      <c r="V183" s="578" t="s">
        <v>241</v>
      </c>
      <c r="W183" s="107" t="s">
        <v>242</v>
      </c>
      <c r="X183" s="4"/>
      <c r="Y183" s="32"/>
    </row>
    <row r="184" spans="1:25" ht="14.1" customHeight="1">
      <c r="A184" s="17">
        <v>40</v>
      </c>
      <c r="B184" s="492"/>
      <c r="C184" s="63" t="s">
        <v>235</v>
      </c>
      <c r="D184" s="23"/>
      <c r="E184" s="23"/>
      <c r="F184" s="23"/>
      <c r="G184" s="63"/>
      <c r="H184" s="63" t="s">
        <v>251</v>
      </c>
      <c r="I184" s="23"/>
      <c r="J184" s="23"/>
      <c r="K184" s="23"/>
      <c r="L184" s="23"/>
      <c r="M184" s="472"/>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23" t="str">
        <f>IF(Q179="","",Q179)</f>
        <v/>
      </c>
      <c r="J185" s="68"/>
      <c r="K185" s="162" t="s">
        <v>94</v>
      </c>
      <c r="L185" s="723"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65" t="s">
        <v>239</v>
      </c>
      <c r="E186" s="966"/>
      <c r="F186" s="967"/>
      <c r="G186" s="162"/>
      <c r="H186" s="965" t="s">
        <v>239</v>
      </c>
      <c r="I186" s="966"/>
      <c r="J186" s="967"/>
      <c r="K186" s="965" t="s">
        <v>239</v>
      </c>
      <c r="L186" s="966"/>
      <c r="M186" s="969"/>
      <c r="O186" s="161"/>
      <c r="P186" s="162" t="s">
        <v>245</v>
      </c>
      <c r="Q186" s="166"/>
      <c r="R186" s="167"/>
      <c r="S186" s="168"/>
      <c r="T186" s="4"/>
      <c r="U186" s="166"/>
      <c r="V186" s="167"/>
      <c r="W186" s="168"/>
      <c r="X186" s="4"/>
      <c r="Y186" s="32"/>
    </row>
    <row r="187" spans="1:25" ht="14.1" customHeight="1" thickBot="1">
      <c r="A187" s="17">
        <v>43</v>
      </c>
      <c r="B187" s="67"/>
      <c r="C187" s="333"/>
      <c r="D187" s="338" t="s">
        <v>240</v>
      </c>
      <c r="E187" s="296" t="s">
        <v>241</v>
      </c>
      <c r="F187" s="339" t="s">
        <v>242</v>
      </c>
      <c r="G187" s="107"/>
      <c r="H187" s="338" t="s">
        <v>240</v>
      </c>
      <c r="I187" s="296" t="s">
        <v>241</v>
      </c>
      <c r="J187" s="339" t="s">
        <v>242</v>
      </c>
      <c r="K187" s="338" t="s">
        <v>240</v>
      </c>
      <c r="L187" s="296" t="s">
        <v>241</v>
      </c>
      <c r="M187" s="493" t="s">
        <v>242</v>
      </c>
      <c r="O187" s="161"/>
      <c r="P187" s="162" t="s">
        <v>246</v>
      </c>
      <c r="Q187" s="170"/>
      <c r="R187" s="171"/>
      <c r="S187" s="172"/>
      <c r="T187" s="4"/>
      <c r="U187" s="170"/>
      <c r="V187" s="171"/>
      <c r="W187" s="172"/>
      <c r="Y187" s="32"/>
    </row>
    <row r="188" spans="1:25" ht="14.1" customHeight="1">
      <c r="A188" s="17">
        <v>44</v>
      </c>
      <c r="B188" s="67"/>
      <c r="C188" s="162" t="s">
        <v>243</v>
      </c>
      <c r="D188" s="349" t="str">
        <f>IF(Q184="","",Q184)</f>
        <v/>
      </c>
      <c r="E188" s="310" t="str">
        <f t="shared" ref="E188:F188" si="21">IF(R184="","",R184)</f>
        <v/>
      </c>
      <c r="F188" s="350" t="str">
        <f t="shared" si="21"/>
        <v/>
      </c>
      <c r="G188" s="348" t="s">
        <v>243</v>
      </c>
      <c r="H188" s="340" t="str">
        <f t="shared" ref="H188:J193" si="22">IF(Q196="","",Q196)</f>
        <v/>
      </c>
      <c r="I188" s="337" t="str">
        <f t="shared" si="22"/>
        <v/>
      </c>
      <c r="J188" s="341" t="str">
        <f t="shared" si="22"/>
        <v/>
      </c>
      <c r="K188" s="345" t="str">
        <f t="shared" ref="K188:M193" si="23">IF(U196="","",U196)</f>
        <v/>
      </c>
      <c r="L188" s="336" t="str">
        <f t="shared" si="23"/>
        <v/>
      </c>
      <c r="M188" s="494"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9" t="str">
        <f t="shared" ref="D189:F193" si="24">IF(Q185="","",Q185)</f>
        <v/>
      </c>
      <c r="E189" s="310" t="str">
        <f t="shared" si="24"/>
        <v/>
      </c>
      <c r="F189" s="350" t="str">
        <f t="shared" si="24"/>
        <v/>
      </c>
      <c r="G189" s="348" t="s">
        <v>244</v>
      </c>
      <c r="H189" s="340" t="str">
        <f t="shared" si="22"/>
        <v/>
      </c>
      <c r="I189" s="337" t="str">
        <f t="shared" si="22"/>
        <v/>
      </c>
      <c r="J189" s="341" t="str">
        <f t="shared" si="22"/>
        <v/>
      </c>
      <c r="K189" s="345" t="str">
        <f t="shared" si="23"/>
        <v/>
      </c>
      <c r="L189" s="336" t="str">
        <f t="shared" si="23"/>
        <v/>
      </c>
      <c r="M189" s="494"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9" t="str">
        <f t="shared" si="24"/>
        <v/>
      </c>
      <c r="E190" s="310" t="str">
        <f t="shared" si="24"/>
        <v/>
      </c>
      <c r="F190" s="350" t="str">
        <f t="shared" si="24"/>
        <v/>
      </c>
      <c r="G190" s="348" t="s">
        <v>245</v>
      </c>
      <c r="H190" s="340" t="str">
        <f t="shared" si="22"/>
        <v/>
      </c>
      <c r="I190" s="337" t="str">
        <f t="shared" si="22"/>
        <v/>
      </c>
      <c r="J190" s="341" t="str">
        <f t="shared" si="22"/>
        <v/>
      </c>
      <c r="K190" s="345" t="str">
        <f t="shared" si="23"/>
        <v/>
      </c>
      <c r="L190" s="336" t="str">
        <f t="shared" si="23"/>
        <v/>
      </c>
      <c r="M190" s="494" t="str">
        <f t="shared" si="23"/>
        <v/>
      </c>
      <c r="O190" s="30"/>
      <c r="P190" s="113" t="s">
        <v>203</v>
      </c>
      <c r="Q190" s="138" t="s">
        <v>635</v>
      </c>
      <c r="R190" s="4"/>
      <c r="X190" s="4"/>
      <c r="Y190" s="32"/>
    </row>
    <row r="191" spans="1:25" ht="14.1" customHeight="1" thickBot="1">
      <c r="A191" s="17">
        <v>47</v>
      </c>
      <c r="B191" s="67"/>
      <c r="C191" s="162" t="s">
        <v>246</v>
      </c>
      <c r="D191" s="351" t="str">
        <f t="shared" si="24"/>
        <v/>
      </c>
      <c r="E191" s="352" t="str">
        <f t="shared" si="24"/>
        <v/>
      </c>
      <c r="F191" s="353" t="str">
        <f t="shared" si="24"/>
        <v/>
      </c>
      <c r="G191" s="348" t="s">
        <v>246</v>
      </c>
      <c r="H191" s="342" t="str">
        <f t="shared" si="22"/>
        <v/>
      </c>
      <c r="I191" s="343" t="str">
        <f t="shared" si="22"/>
        <v/>
      </c>
      <c r="J191" s="344" t="str">
        <f t="shared" si="22"/>
        <v/>
      </c>
      <c r="K191" s="346" t="str">
        <f t="shared" si="23"/>
        <v/>
      </c>
      <c r="L191" s="347" t="str">
        <f t="shared" si="23"/>
        <v/>
      </c>
      <c r="M191" s="495" t="str">
        <f t="shared" si="23"/>
        <v/>
      </c>
      <c r="O191" s="30"/>
      <c r="P191" s="27"/>
      <c r="Q191" s="138" t="s">
        <v>636</v>
      </c>
      <c r="R191" s="4"/>
      <c r="S191" s="4"/>
      <c r="T191" s="4"/>
      <c r="U191" s="4"/>
      <c r="V191" s="4"/>
      <c r="W191" s="4"/>
      <c r="X191" s="4"/>
      <c r="Y191" s="32"/>
    </row>
    <row r="192" spans="1:25" ht="14.1" customHeight="1">
      <c r="A192" s="17">
        <v>48</v>
      </c>
      <c r="B192" s="67"/>
      <c r="C192" s="162" t="s">
        <v>247</v>
      </c>
      <c r="D192" s="359" t="str">
        <f t="shared" si="24"/>
        <v/>
      </c>
      <c r="E192" s="360" t="str">
        <f t="shared" si="24"/>
        <v/>
      </c>
      <c r="F192" s="361" t="str">
        <f t="shared" si="24"/>
        <v/>
      </c>
      <c r="G192" s="348" t="s">
        <v>256</v>
      </c>
      <c r="H192" s="365" t="str">
        <f t="shared" si="22"/>
        <v/>
      </c>
      <c r="I192" s="366" t="str">
        <f t="shared" si="22"/>
        <v/>
      </c>
      <c r="J192" s="367" t="str">
        <f t="shared" si="22"/>
        <v/>
      </c>
      <c r="K192" s="362" t="str">
        <f t="shared" si="23"/>
        <v/>
      </c>
      <c r="L192" s="363" t="str">
        <f t="shared" si="23"/>
        <v/>
      </c>
      <c r="M192" s="496" t="str">
        <f t="shared" si="23"/>
        <v/>
      </c>
      <c r="O192" s="30"/>
      <c r="P192" s="4"/>
      <c r="Q192" s="4"/>
      <c r="R192" s="4"/>
      <c r="S192" s="4"/>
      <c r="T192" s="4"/>
      <c r="U192" s="4"/>
      <c r="V192" s="4"/>
      <c r="W192" s="4"/>
      <c r="Y192" s="32"/>
    </row>
    <row r="193" spans="1:29" ht="14.1" customHeight="1" thickBot="1">
      <c r="A193" s="17">
        <v>49</v>
      </c>
      <c r="B193" s="67"/>
      <c r="C193" s="162" t="s">
        <v>248</v>
      </c>
      <c r="D193" s="351" t="str">
        <f t="shared" si="24"/>
        <v/>
      </c>
      <c r="E193" s="352" t="str">
        <f t="shared" si="24"/>
        <v/>
      </c>
      <c r="F193" s="353" t="str">
        <f t="shared" si="24"/>
        <v/>
      </c>
      <c r="G193" s="348" t="s">
        <v>257</v>
      </c>
      <c r="H193" s="342" t="str">
        <f t="shared" si="22"/>
        <v/>
      </c>
      <c r="I193" s="343" t="str">
        <f t="shared" si="22"/>
        <v/>
      </c>
      <c r="J193" s="344" t="str">
        <f t="shared" si="22"/>
        <v/>
      </c>
      <c r="K193" s="346" t="str">
        <f t="shared" si="23"/>
        <v/>
      </c>
      <c r="L193" s="347" t="str">
        <f t="shared" si="23"/>
        <v/>
      </c>
      <c r="M193" s="495" t="str">
        <f t="shared" si="23"/>
        <v/>
      </c>
      <c r="O193" s="139" t="s">
        <v>251</v>
      </c>
      <c r="Y193" s="32"/>
    </row>
    <row r="194" spans="1:29" ht="14.1" customHeight="1" thickBot="1">
      <c r="A194" s="17">
        <v>50</v>
      </c>
      <c r="B194" s="67"/>
      <c r="C194" s="162" t="s">
        <v>94</v>
      </c>
      <c r="D194" s="107" t="str">
        <f>IF(U179="","",U179)</f>
        <v/>
      </c>
      <c r="E194" s="68"/>
      <c r="F194" s="68"/>
      <c r="G194" s="68"/>
      <c r="H194" s="335" t="str">
        <f>IF(MAX(D192:F193,D199:F200)&gt;13,"Fail","Pass")</f>
        <v>Pass</v>
      </c>
      <c r="I194" s="68" t="s">
        <v>520</v>
      </c>
      <c r="J194" s="68"/>
      <c r="K194" s="68"/>
      <c r="L194" s="68"/>
      <c r="M194" s="69"/>
      <c r="O194" s="161"/>
      <c r="P194" s="68"/>
      <c r="Q194" s="961" t="s">
        <v>239</v>
      </c>
      <c r="R194" s="961"/>
      <c r="S194" s="961"/>
      <c r="T194" s="4"/>
      <c r="U194" s="961" t="s">
        <v>239</v>
      </c>
      <c r="V194" s="961"/>
      <c r="W194" s="961"/>
      <c r="X194" s="4"/>
      <c r="Y194" s="32"/>
    </row>
    <row r="195" spans="1:29" ht="14.1" customHeight="1" thickBot="1">
      <c r="A195" s="17">
        <v>51</v>
      </c>
      <c r="B195" s="67"/>
      <c r="C195" s="162" t="s">
        <v>243</v>
      </c>
      <c r="D195" s="354" t="str">
        <f>IF(U184="","",U184)</f>
        <v/>
      </c>
      <c r="E195" s="355" t="str">
        <f t="shared" ref="E195:F200" si="25">IF(V184="","",V184)</f>
        <v/>
      </c>
      <c r="F195" s="356" t="str">
        <f t="shared" si="25"/>
        <v/>
      </c>
      <c r="G195" s="68"/>
      <c r="H195" s="335" t="str">
        <f>IF(MAX(H188:M191)&gt;13,"Fail","Pass")</f>
        <v>Pass</v>
      </c>
      <c r="I195" s="68" t="s">
        <v>521</v>
      </c>
      <c r="J195" s="68"/>
      <c r="K195" s="68"/>
      <c r="L195" s="68"/>
      <c r="M195" s="69"/>
      <c r="O195" s="161"/>
      <c r="P195" s="68"/>
      <c r="Q195" s="747" t="s">
        <v>240</v>
      </c>
      <c r="R195" s="747" t="s">
        <v>241</v>
      </c>
      <c r="S195" s="723" t="s">
        <v>242</v>
      </c>
      <c r="T195" s="4"/>
      <c r="U195" s="747" t="s">
        <v>240</v>
      </c>
      <c r="V195" s="747" t="s">
        <v>241</v>
      </c>
      <c r="W195" s="723" t="s">
        <v>242</v>
      </c>
      <c r="X195" s="4"/>
      <c r="Y195" s="32"/>
    </row>
    <row r="196" spans="1:29" ht="14.1" customHeight="1">
      <c r="A196" s="17">
        <v>52</v>
      </c>
      <c r="B196" s="67"/>
      <c r="C196" s="162" t="s">
        <v>244</v>
      </c>
      <c r="D196" s="345" t="str">
        <f t="shared" ref="D196:D200" si="26">IF(U185="","",U185)</f>
        <v/>
      </c>
      <c r="E196" s="336" t="str">
        <f t="shared" si="25"/>
        <v/>
      </c>
      <c r="F196" s="357" t="str">
        <f t="shared" si="25"/>
        <v/>
      </c>
      <c r="G196" s="68"/>
      <c r="H196" s="335"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5" t="str">
        <f t="shared" si="26"/>
        <v/>
      </c>
      <c r="E197" s="336" t="str">
        <f t="shared" si="25"/>
        <v/>
      </c>
      <c r="F197" s="357"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6" t="str">
        <f t="shared" si="26"/>
        <v/>
      </c>
      <c r="E198" s="347" t="str">
        <f t="shared" si="25"/>
        <v/>
      </c>
      <c r="F198" s="358"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2" t="str">
        <f t="shared" si="26"/>
        <v/>
      </c>
      <c r="E199" s="363" t="str">
        <f t="shared" si="25"/>
        <v/>
      </c>
      <c r="F199" s="364" t="str">
        <f t="shared" si="25"/>
        <v/>
      </c>
      <c r="G199" s="371"/>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6" t="str">
        <f t="shared" si="26"/>
        <v/>
      </c>
      <c r="E200" s="347" t="str">
        <f t="shared" si="25"/>
        <v/>
      </c>
      <c r="F200" s="358"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2"/>
      <c r="C202" s="373"/>
      <c r="D202" s="373"/>
      <c r="E202" s="373"/>
      <c r="F202" s="373"/>
      <c r="G202" s="368"/>
      <c r="H202" s="368" t="s">
        <v>641</v>
      </c>
      <c r="I202" s="373"/>
      <c r="J202" s="373"/>
      <c r="K202" s="373"/>
      <c r="L202" s="373"/>
      <c r="M202" s="374"/>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9" t="str">
        <f t="shared" ref="D204:E207" si="27">IF(Q207="","",Q207)</f>
        <v/>
      </c>
      <c r="E204" s="390"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1" t="str">
        <f t="shared" si="27"/>
        <v/>
      </c>
      <c r="E205" s="392"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1" t="str">
        <f t="shared" si="27"/>
        <v/>
      </c>
      <c r="E206" s="392" t="str">
        <f t="shared" si="27"/>
        <v/>
      </c>
      <c r="F206" s="68"/>
      <c r="G206" s="3"/>
      <c r="H206" s="193"/>
      <c r="I206" s="68"/>
      <c r="J206" s="68"/>
      <c r="K206" s="68"/>
      <c r="L206" s="68"/>
      <c r="M206" s="69"/>
      <c r="O206" s="139" t="s">
        <v>260</v>
      </c>
      <c r="Y206" s="32"/>
    </row>
    <row r="207" spans="1:29" ht="14.1" customHeight="1" thickBot="1">
      <c r="A207" s="17">
        <v>63</v>
      </c>
      <c r="B207" s="67"/>
      <c r="C207" s="162" t="s">
        <v>262</v>
      </c>
      <c r="D207" s="393" t="str">
        <f t="shared" si="27"/>
        <v/>
      </c>
      <c r="E207" s="394"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78"/>
      <c r="AB208" s="578"/>
      <c r="AC208" s="578"/>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78"/>
      <c r="AB209" s="578"/>
      <c r="AC209" s="578"/>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78"/>
      <c r="AB210" s="578"/>
      <c r="AC210" s="578"/>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78"/>
      <c r="AB211" s="578"/>
      <c r="AC211" s="578"/>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78"/>
      <c r="AB212" s="578"/>
      <c r="AC212" s="578"/>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78"/>
      <c r="AB213" s="578"/>
      <c r="AC213" s="578"/>
    </row>
    <row r="214" spans="1:29" ht="14.1" customHeight="1" thickBot="1">
      <c r="A214" s="17">
        <v>70</v>
      </c>
      <c r="B214" s="80"/>
      <c r="C214" s="81"/>
      <c r="D214" s="81"/>
      <c r="E214" s="81"/>
      <c r="F214" s="81"/>
      <c r="G214" s="81"/>
      <c r="H214" s="81"/>
      <c r="I214" s="81"/>
      <c r="J214" s="81"/>
      <c r="K214" s="81"/>
      <c r="L214" s="81"/>
      <c r="M214" s="82"/>
      <c r="O214" s="139" t="s">
        <v>264</v>
      </c>
      <c r="Y214" s="32"/>
      <c r="AA214" s="578"/>
      <c r="AB214" s="578"/>
      <c r="AC214" s="578"/>
    </row>
    <row r="215" spans="1:29" ht="14.1" customHeight="1" thickTop="1">
      <c r="A215" s="17">
        <v>71</v>
      </c>
      <c r="C215" s="109" t="s">
        <v>10</v>
      </c>
      <c r="D215" s="375">
        <f>IF($P$7="","",$P$7)</f>
        <v>43273</v>
      </c>
      <c r="E215" s="27"/>
      <c r="F215" s="27"/>
      <c r="G215" s="27"/>
      <c r="H215" s="27"/>
      <c r="I215" s="27"/>
      <c r="J215" s="27"/>
      <c r="K215" s="27"/>
      <c r="L215" s="109" t="s">
        <v>11</v>
      </c>
      <c r="M215" s="376" t="str">
        <f>IF($X$7="","",$X$7)</f>
        <v>Eugene Mah</v>
      </c>
      <c r="O215" s="30" t="s">
        <v>265</v>
      </c>
      <c r="P215" s="137"/>
      <c r="R215" s="35" t="s">
        <v>266</v>
      </c>
      <c r="S215" s="137"/>
      <c r="U215" s="21" t="s">
        <v>94</v>
      </c>
      <c r="V215" s="137"/>
      <c r="Y215" s="32"/>
      <c r="AA215" s="578"/>
      <c r="AB215" s="578"/>
      <c r="AC215" s="578"/>
    </row>
    <row r="216" spans="1:29" ht="14.1" customHeight="1">
      <c r="A216" s="17">
        <v>72</v>
      </c>
      <c r="C216" s="109" t="s">
        <v>120</v>
      </c>
      <c r="D216" s="376" t="str">
        <f>IF($R$14="","",$R$14)</f>
        <v>1C07</v>
      </c>
      <c r="E216" s="27"/>
      <c r="F216" s="27"/>
      <c r="G216" s="27"/>
      <c r="H216" s="27"/>
      <c r="I216" s="27"/>
      <c r="J216" s="27"/>
      <c r="K216" s="27"/>
      <c r="L216" s="109" t="s">
        <v>36</v>
      </c>
      <c r="M216" s="376">
        <f>IF($R$13="","",$R$13)</f>
        <v>2302</v>
      </c>
      <c r="O216" s="30"/>
      <c r="P216" s="750" t="s">
        <v>69</v>
      </c>
      <c r="U216" s="750"/>
      <c r="W216" s="4"/>
      <c r="Y216" s="32"/>
      <c r="AA216" s="578"/>
      <c r="AB216" s="578"/>
      <c r="AC216" s="578"/>
    </row>
    <row r="217" spans="1:29" ht="14.1" customHeight="1" thickBot="1">
      <c r="A217" s="17">
        <v>1</v>
      </c>
      <c r="M217" s="112" t="str">
        <f>$H$2</f>
        <v>Medical University of South Carolina</v>
      </c>
      <c r="O217" s="30"/>
      <c r="P217" s="750" t="s">
        <v>267</v>
      </c>
      <c r="Q217" s="750" t="s">
        <v>494</v>
      </c>
      <c r="R217" s="750" t="s">
        <v>268</v>
      </c>
      <c r="S217" s="750" t="s">
        <v>71</v>
      </c>
      <c r="T217" s="750" t="s">
        <v>269</v>
      </c>
      <c r="U217" s="750"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3"/>
      <c r="K221" s="68"/>
      <c r="L221" s="68"/>
      <c r="M221" s="69"/>
      <c r="O221" s="30"/>
      <c r="P221"/>
      <c r="Q221"/>
      <c r="R221"/>
      <c r="S221"/>
      <c r="T221"/>
      <c r="U221"/>
      <c r="V221" s="4"/>
      <c r="W221" s="68" t="s">
        <v>217</v>
      </c>
      <c r="X221" s="377"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3"/>
      <c r="K222" s="68"/>
      <c r="L222" s="68"/>
      <c r="M222" s="69"/>
      <c r="O222" s="30"/>
      <c r="P222" s="113" t="s">
        <v>203</v>
      </c>
      <c r="Q222" s="138" t="s">
        <v>276</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271</v>
      </c>
      <c r="K223" s="303" t="str">
        <f>IF(X218="","",X218)</f>
        <v/>
      </c>
      <c r="L223" s="68"/>
      <c r="M223" s="69"/>
      <c r="O223" s="30"/>
      <c r="P223" s="4"/>
      <c r="Q223" s="138" t="s">
        <v>277</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272</v>
      </c>
      <c r="K224" s="303" t="str">
        <f>IF(X219="","",X219)</f>
        <v/>
      </c>
      <c r="L224" s="68"/>
      <c r="M224" s="69"/>
      <c r="O224" s="96"/>
      <c r="P224" s="21" t="s">
        <v>278</v>
      </c>
      <c r="Q224" s="4"/>
      <c r="R224" s="4"/>
      <c r="S224" s="4"/>
      <c r="T224" s="4"/>
      <c r="U224" s="4"/>
      <c r="V224" s="4"/>
      <c r="W224" s="4"/>
      <c r="Y224" s="32"/>
    </row>
    <row r="225" spans="1:27" ht="14.1" customHeight="1" thickBot="1">
      <c r="A225" s="17">
        <v>9</v>
      </c>
      <c r="B225" s="67"/>
      <c r="C225" s="393">
        <f t="shared" si="28"/>
        <v>6</v>
      </c>
      <c r="D225" s="398" t="str">
        <f t="shared" si="28"/>
        <v/>
      </c>
      <c r="E225" s="740" t="str">
        <f t="shared" si="28"/>
        <v/>
      </c>
      <c r="F225" s="740" t="str">
        <f t="shared" si="28"/>
        <v/>
      </c>
      <c r="G225" s="740" t="str">
        <f t="shared" si="28"/>
        <v/>
      </c>
      <c r="H225" s="741" t="str">
        <f t="shared" si="28"/>
        <v/>
      </c>
      <c r="I225" s="334"/>
      <c r="J225" s="162" t="s">
        <v>273</v>
      </c>
      <c r="K225" s="399"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9"/>
      <c r="F226" s="369"/>
      <c r="G226" s="369"/>
      <c r="H226" s="742"/>
      <c r="I226" s="334"/>
      <c r="J226" s="68" t="s">
        <v>217</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4"/>
      <c r="J227" s="333"/>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265</v>
      </c>
      <c r="P228" s="137"/>
      <c r="R228" s="21" t="s">
        <v>94</v>
      </c>
      <c r="S228" s="137"/>
      <c r="T228" s="162" t="s">
        <v>172</v>
      </c>
      <c r="U228" s="137"/>
      <c r="Y228" s="32"/>
    </row>
    <row r="229" spans="1:27" ht="14.1" customHeight="1" thickBot="1">
      <c r="A229" s="17">
        <v>13</v>
      </c>
      <c r="B229" s="67"/>
      <c r="C229" s="377" t="str">
        <f>IF(O224="","TBD",IF(O224=1,"YES",IF(O224=3,"NA","")))</f>
        <v>TBD</v>
      </c>
      <c r="D229" s="68" t="s">
        <v>278</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279</v>
      </c>
      <c r="E230" s="107"/>
      <c r="F230" s="107"/>
      <c r="G230" s="107"/>
      <c r="H230" s="107"/>
      <c r="I230" s="107"/>
      <c r="J230" s="334"/>
      <c r="K230" s="333"/>
      <c r="L230" s="68"/>
      <c r="M230" s="69"/>
      <c r="O230" s="30"/>
      <c r="P230" s="752"/>
      <c r="R230" s="35"/>
      <c r="S230" s="752"/>
      <c r="T230" s="750"/>
      <c r="U230" s="4"/>
      <c r="V230" s="750" t="s">
        <v>281</v>
      </c>
      <c r="Y230" s="32"/>
    </row>
    <row r="231" spans="1:27" ht="14.1" customHeight="1" thickBot="1">
      <c r="A231" s="17">
        <v>15</v>
      </c>
      <c r="B231" s="372"/>
      <c r="C231" s="373"/>
      <c r="D231" s="373"/>
      <c r="E231" s="373"/>
      <c r="F231" s="373"/>
      <c r="G231" s="429"/>
      <c r="H231" s="430"/>
      <c r="I231" s="373"/>
      <c r="J231" s="373"/>
      <c r="K231" s="431"/>
      <c r="L231" s="373"/>
      <c r="M231" s="374"/>
      <c r="O231" s="30"/>
      <c r="P231" s="750" t="s">
        <v>71</v>
      </c>
      <c r="Q231" s="750" t="s">
        <v>282</v>
      </c>
      <c r="R231" s="750" t="s">
        <v>283</v>
      </c>
      <c r="S231" s="750" t="s">
        <v>284</v>
      </c>
      <c r="T231" s="750" t="s">
        <v>285</v>
      </c>
      <c r="U231" s="750" t="s">
        <v>286</v>
      </c>
      <c r="V231" s="21" t="s">
        <v>26</v>
      </c>
      <c r="X231" s="750"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17"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18"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18" t="str">
        <f t="shared" si="29"/>
        <v/>
      </c>
      <c r="X234" s="212" t="str">
        <f>IF(OR(Q234="",$Q$237=""),"",ABS(Q234-$Q$237)/$Q$237)</f>
        <v/>
      </c>
      <c r="Y234" s="213" t="str">
        <f>IF(OR(T234="",$T$237=""),"",ABS(T234-$T$237)/$T$237)</f>
        <v/>
      </c>
      <c r="AA234" s="236"/>
    </row>
    <row r="235" spans="1:27" ht="14.1" customHeight="1" thickBot="1">
      <c r="A235" s="17">
        <v>19</v>
      </c>
      <c r="B235" s="67"/>
      <c r="C235" s="68"/>
      <c r="D235" s="577"/>
      <c r="E235" s="68"/>
      <c r="F235" s="162"/>
      <c r="G235" s="577"/>
      <c r="H235" s="107"/>
      <c r="I235" s="333"/>
      <c r="J235" s="68" t="s">
        <v>281</v>
      </c>
      <c r="K235" s="68"/>
      <c r="L235" s="68"/>
      <c r="M235" s="69"/>
      <c r="O235" s="30"/>
      <c r="P235" s="166"/>
      <c r="Q235" s="167"/>
      <c r="R235" s="167"/>
      <c r="S235" s="167"/>
      <c r="T235" s="70" t="str">
        <f>IF(OR(R235="",S235=""),"",(R235-50)/S235)</f>
        <v/>
      </c>
      <c r="U235" s="71" t="str">
        <f>IF(OR(Q235="",R235="",S235=""),"",(R235-Q235)/S235)</f>
        <v/>
      </c>
      <c r="V235" s="718" t="str">
        <f t="shared" si="29"/>
        <v/>
      </c>
      <c r="X235" s="212" t="str">
        <f>IF(OR(Q235="",$Q$237=""),"",ABS(Q235-$Q$237)/$Q$237)</f>
        <v/>
      </c>
      <c r="Y235" s="213" t="str">
        <f>IF(OR(T235="",$T$237=""),"",ABS(T235-$T$237)/$T$237)</f>
        <v/>
      </c>
      <c r="AA235" s="236"/>
    </row>
    <row r="236" spans="1:27" ht="14.1" customHeight="1" thickBot="1">
      <c r="A236" s="17">
        <v>20</v>
      </c>
      <c r="B236" s="67"/>
      <c r="C236" s="68"/>
      <c r="D236" s="449" t="s">
        <v>71</v>
      </c>
      <c r="E236" s="427" t="s">
        <v>282</v>
      </c>
      <c r="F236" s="427" t="s">
        <v>283</v>
      </c>
      <c r="G236" s="427" t="s">
        <v>284</v>
      </c>
      <c r="H236" s="427" t="s">
        <v>285</v>
      </c>
      <c r="I236" s="427" t="s">
        <v>286</v>
      </c>
      <c r="J236" s="428" t="s">
        <v>26</v>
      </c>
      <c r="K236" s="386" t="s">
        <v>287</v>
      </c>
      <c r="L236" s="401" t="s">
        <v>288</v>
      </c>
      <c r="M236" s="69"/>
      <c r="O236" s="30"/>
      <c r="P236" s="214"/>
      <c r="Q236" s="215"/>
      <c r="R236" s="215"/>
      <c r="S236" s="215"/>
      <c r="T236" s="216" t="str">
        <f>IF(OR(R236="",S236=""),"",(R236-50)/S236)</f>
        <v/>
      </c>
      <c r="U236" s="217" t="str">
        <f>IF(OR(Q236="",R236="",S236=""),"",(R236-Q236)/S236)</f>
        <v/>
      </c>
      <c r="V236" s="719" t="str">
        <f t="shared" si="29"/>
        <v/>
      </c>
      <c r="X236" s="212" t="str">
        <f>IF(OR(Q236="",$Q$237=""),"",ABS(Q236-$Q$237)/$Q$237)</f>
        <v/>
      </c>
      <c r="Y236" s="213" t="str">
        <f>IF(OR(T236="",$T$237=""),"",ABS(T236-$T$237)/$T$237)</f>
        <v/>
      </c>
      <c r="AA236" s="236"/>
    </row>
    <row r="237" spans="1:27" ht="14.1" customHeight="1" thickBot="1">
      <c r="A237" s="17">
        <v>21</v>
      </c>
      <c r="B237" s="67"/>
      <c r="C237" s="68"/>
      <c r="D237" s="424" t="str">
        <f t="shared" ref="D237:J244" si="30">IF(P232="","",P232)</f>
        <v/>
      </c>
      <c r="E237" s="425" t="str">
        <f t="shared" si="30"/>
        <v/>
      </c>
      <c r="F237" s="425" t="str">
        <f t="shared" si="30"/>
        <v/>
      </c>
      <c r="G237" s="425" t="str">
        <f t="shared" si="30"/>
        <v/>
      </c>
      <c r="H237" s="425" t="str">
        <f t="shared" si="30"/>
        <v/>
      </c>
      <c r="I237" s="425" t="str">
        <f t="shared" si="30"/>
        <v/>
      </c>
      <c r="J237" s="426" t="str">
        <f t="shared" si="30"/>
        <v/>
      </c>
      <c r="K237" s="415" t="str">
        <f t="shared" ref="K237:L243" si="31">IF(X232="","",X232)</f>
        <v/>
      </c>
      <c r="L237" s="420"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2" t="str">
        <f t="shared" si="30"/>
        <v/>
      </c>
      <c r="E238" s="400" t="str">
        <f t="shared" si="30"/>
        <v/>
      </c>
      <c r="F238" s="400" t="str">
        <f t="shared" si="30"/>
        <v/>
      </c>
      <c r="G238" s="400" t="str">
        <f t="shared" si="30"/>
        <v/>
      </c>
      <c r="H238" s="400" t="str">
        <f t="shared" si="30"/>
        <v/>
      </c>
      <c r="I238" s="400" t="str">
        <f t="shared" si="30"/>
        <v/>
      </c>
      <c r="J238" s="403" t="str">
        <f t="shared" si="30"/>
        <v/>
      </c>
      <c r="K238" s="415" t="str">
        <f t="shared" si="31"/>
        <v/>
      </c>
      <c r="L238" s="420"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2" t="str">
        <f t="shared" si="30"/>
        <v/>
      </c>
      <c r="E239" s="400" t="str">
        <f t="shared" si="30"/>
        <v/>
      </c>
      <c r="F239" s="400" t="str">
        <f t="shared" si="30"/>
        <v/>
      </c>
      <c r="G239" s="400" t="str">
        <f t="shared" si="30"/>
        <v/>
      </c>
      <c r="H239" s="400" t="str">
        <f t="shared" si="30"/>
        <v/>
      </c>
      <c r="I239" s="400" t="str">
        <f t="shared" si="30"/>
        <v/>
      </c>
      <c r="J239" s="403" t="str">
        <f t="shared" si="30"/>
        <v/>
      </c>
      <c r="K239" s="415" t="str">
        <f t="shared" si="31"/>
        <v/>
      </c>
      <c r="L239" s="420"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750"/>
      <c r="Y239" s="209"/>
      <c r="AA239" s="236"/>
    </row>
    <row r="240" spans="1:27" ht="14.1" customHeight="1" thickBot="1">
      <c r="A240" s="17">
        <v>24</v>
      </c>
      <c r="B240" s="67"/>
      <c r="C240" s="68"/>
      <c r="D240" s="402" t="str">
        <f t="shared" si="30"/>
        <v/>
      </c>
      <c r="E240" s="400" t="str">
        <f t="shared" si="30"/>
        <v/>
      </c>
      <c r="F240" s="400" t="str">
        <f t="shared" si="30"/>
        <v/>
      </c>
      <c r="G240" s="400" t="str">
        <f t="shared" si="30"/>
        <v/>
      </c>
      <c r="H240" s="400" t="str">
        <f t="shared" si="30"/>
        <v/>
      </c>
      <c r="I240" s="400" t="str">
        <f t="shared" si="30"/>
        <v/>
      </c>
      <c r="J240" s="403" t="str">
        <f t="shared" si="30"/>
        <v/>
      </c>
      <c r="K240" s="415" t="str">
        <f t="shared" si="31"/>
        <v/>
      </c>
      <c r="L240" s="420"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30"/>
        <v/>
      </c>
      <c r="E241" s="405" t="str">
        <f t="shared" si="30"/>
        <v/>
      </c>
      <c r="F241" s="405" t="str">
        <f t="shared" si="30"/>
        <v/>
      </c>
      <c r="G241" s="405" t="str">
        <f t="shared" si="30"/>
        <v/>
      </c>
      <c r="H241" s="405" t="str">
        <f t="shared" si="30"/>
        <v/>
      </c>
      <c r="I241" s="405" t="str">
        <f t="shared" si="30"/>
        <v/>
      </c>
      <c r="J241" s="406" t="str">
        <f t="shared" si="30"/>
        <v/>
      </c>
      <c r="K241" s="416" t="str">
        <f t="shared" si="31"/>
        <v/>
      </c>
      <c r="L241" s="432"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1" t="s">
        <v>271</v>
      </c>
      <c r="D242" s="407" t="str">
        <f t="shared" si="30"/>
        <v/>
      </c>
      <c r="E242" s="408" t="str">
        <f t="shared" si="30"/>
        <v/>
      </c>
      <c r="F242" s="408" t="str">
        <f t="shared" si="30"/>
        <v/>
      </c>
      <c r="G242" s="408" t="str">
        <f t="shared" si="30"/>
        <v/>
      </c>
      <c r="H242" s="408" t="str">
        <f t="shared" si="30"/>
        <v/>
      </c>
      <c r="I242" s="408" t="str">
        <f t="shared" si="30"/>
        <v/>
      </c>
      <c r="J242" s="409" t="str">
        <f t="shared" si="30"/>
        <v/>
      </c>
      <c r="K242" s="417" t="str">
        <f t="shared" si="31"/>
        <v/>
      </c>
      <c r="L242" s="417" t="str">
        <f t="shared" si="31"/>
        <v/>
      </c>
      <c r="M242" s="69"/>
      <c r="O242" s="30"/>
      <c r="P242" s="68"/>
      <c r="Q242" s="101" t="s">
        <v>293</v>
      </c>
      <c r="R242" s="68"/>
      <c r="S242" s="68"/>
      <c r="T242" s="68"/>
      <c r="U242" s="68"/>
      <c r="V242" s="68"/>
      <c r="W242" s="68"/>
      <c r="X242" s="68"/>
      <c r="Y242" s="32"/>
    </row>
    <row r="243" spans="1:27" ht="14.1" customHeight="1" thickBot="1">
      <c r="A243" s="17">
        <v>27</v>
      </c>
      <c r="B243" s="67"/>
      <c r="C243" s="451" t="s">
        <v>272</v>
      </c>
      <c r="D243" s="402" t="str">
        <f t="shared" si="30"/>
        <v/>
      </c>
      <c r="E243" s="400" t="str">
        <f t="shared" si="30"/>
        <v/>
      </c>
      <c r="F243" s="400" t="str">
        <f t="shared" si="30"/>
        <v/>
      </c>
      <c r="G243" s="400" t="str">
        <f t="shared" si="30"/>
        <v/>
      </c>
      <c r="H243" s="400" t="str">
        <f t="shared" si="30"/>
        <v/>
      </c>
      <c r="I243" s="400" t="str">
        <f t="shared" si="30"/>
        <v/>
      </c>
      <c r="J243" s="403" t="str">
        <f t="shared" si="30"/>
        <v/>
      </c>
      <c r="K243" s="417" t="str">
        <f t="shared" si="31"/>
        <v/>
      </c>
      <c r="L243" s="417"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10" t="str">
        <f t="shared" si="30"/>
        <v/>
      </c>
      <c r="E244" s="411" t="str">
        <f t="shared" si="30"/>
        <v/>
      </c>
      <c r="F244" s="411" t="str">
        <f t="shared" si="30"/>
        <v/>
      </c>
      <c r="G244" s="411" t="str">
        <f t="shared" si="30"/>
        <v/>
      </c>
      <c r="H244" s="411" t="str">
        <f t="shared" si="30"/>
        <v/>
      </c>
      <c r="I244" s="411" t="str">
        <f t="shared" si="30"/>
        <v/>
      </c>
      <c r="J244" s="412"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70</v>
      </c>
      <c r="Q245" s="233" t="s">
        <v>236</v>
      </c>
      <c r="R245" s="233" t="s">
        <v>261</v>
      </c>
      <c r="S245" s="233" t="s">
        <v>237</v>
      </c>
      <c r="T245" s="4"/>
      <c r="U245" s="961" t="s">
        <v>295</v>
      </c>
      <c r="V245" s="961"/>
      <c r="W245" s="961"/>
      <c r="X245" s="4"/>
      <c r="Y245" s="234"/>
      <c r="Z245" s="578"/>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78"/>
      <c r="AA246" s="4"/>
    </row>
    <row r="247" spans="1:27" ht="14.1" customHeight="1">
      <c r="A247" s="17">
        <v>31</v>
      </c>
      <c r="B247" s="67"/>
      <c r="C247" s="68"/>
      <c r="D247" s="101" t="s">
        <v>293</v>
      </c>
      <c r="E247" s="68"/>
      <c r="F247" s="68"/>
      <c r="G247" s="68"/>
      <c r="H247" s="68"/>
      <c r="I247" s="68"/>
      <c r="J247" s="68"/>
      <c r="K247" s="68"/>
      <c r="L247" s="68"/>
      <c r="M247" s="69"/>
      <c r="O247" s="186"/>
      <c r="P247" s="235" t="s">
        <v>71</v>
      </c>
      <c r="Q247" s="569" t="str">
        <f>IF(Q163="","",Q163)</f>
        <v/>
      </c>
      <c r="R247" s="569" t="str">
        <f>IF(R163="","",R163)</f>
        <v/>
      </c>
      <c r="S247" s="569" t="str">
        <f>IF(S163="","",S163)</f>
        <v/>
      </c>
      <c r="T247" s="4"/>
      <c r="U247" s="181" t="str">
        <f>IF(Q248="","",ABS(Q248-Q$253)/Q$253)</f>
        <v/>
      </c>
      <c r="V247" s="181" t="str">
        <f>IF(R248="","",ABS(R248-R$253)/R$253)</f>
        <v/>
      </c>
      <c r="W247" s="181" t="str">
        <f>IF(S248="","",ABS(S248-S$253)/S$253)</f>
        <v/>
      </c>
      <c r="X247" s="4"/>
      <c r="Y247" s="234"/>
      <c r="Z247" s="578"/>
      <c r="AA247" s="27"/>
    </row>
    <row r="248" spans="1:27" ht="14.1" customHeight="1" thickBot="1">
      <c r="A248" s="17">
        <v>32</v>
      </c>
      <c r="B248" s="159"/>
      <c r="C248" s="41"/>
      <c r="D248" s="41"/>
      <c r="E248" s="41"/>
      <c r="F248" s="41"/>
      <c r="G248" s="41"/>
      <c r="H248" s="41"/>
      <c r="I248" s="41"/>
      <c r="J248" s="41"/>
      <c r="K248" s="41"/>
      <c r="L248" s="41"/>
      <c r="M248" s="160"/>
      <c r="O248" s="186"/>
      <c r="P248" s="232" t="s">
        <v>296</v>
      </c>
      <c r="Q248" s="730"/>
      <c r="R248" s="730"/>
      <c r="S248" s="730"/>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31"/>
      <c r="R249" s="731"/>
      <c r="S249" s="731"/>
      <c r="T249" s="4"/>
      <c r="U249" s="181" t="str">
        <f t="shared" si="35"/>
        <v/>
      </c>
      <c r="V249" s="181" t="str">
        <f t="shared" si="36"/>
        <v/>
      </c>
      <c r="W249" s="181" t="str">
        <f t="shared" si="37"/>
        <v/>
      </c>
      <c r="X249" s="4"/>
      <c r="Y249" s="234"/>
    </row>
    <row r="250" spans="1:27" ht="14.1" customHeight="1">
      <c r="A250" s="17">
        <v>34</v>
      </c>
      <c r="B250" s="67"/>
      <c r="C250" s="421" t="s">
        <v>70</v>
      </c>
      <c r="D250" s="418" t="s">
        <v>236</v>
      </c>
      <c r="E250" s="418" t="s">
        <v>261</v>
      </c>
      <c r="F250" s="419" t="s">
        <v>237</v>
      </c>
      <c r="G250" s="68"/>
      <c r="H250" s="965" t="s">
        <v>295</v>
      </c>
      <c r="I250" s="966"/>
      <c r="J250" s="967"/>
      <c r="K250" s="68"/>
      <c r="L250" s="68"/>
      <c r="M250" s="69"/>
      <c r="O250" s="186"/>
      <c r="P250" s="235" t="s">
        <v>299</v>
      </c>
      <c r="Q250" s="731"/>
      <c r="R250" s="731"/>
      <c r="S250" s="731"/>
      <c r="T250" s="4"/>
      <c r="U250" s="181" t="str">
        <f t="shared" si="35"/>
        <v/>
      </c>
      <c r="V250" s="181" t="str">
        <f t="shared" si="36"/>
        <v/>
      </c>
      <c r="W250" s="181" t="str">
        <f t="shared" si="37"/>
        <v/>
      </c>
      <c r="X250" s="4"/>
      <c r="Y250" s="234"/>
    </row>
    <row r="251" spans="1:27" ht="14.1" customHeight="1">
      <c r="A251" s="17">
        <v>35</v>
      </c>
      <c r="B251" s="67"/>
      <c r="C251" s="422" t="s">
        <v>268</v>
      </c>
      <c r="D251" s="296">
        <v>28</v>
      </c>
      <c r="E251" s="296">
        <v>28</v>
      </c>
      <c r="F251" s="339">
        <v>28</v>
      </c>
      <c r="G251" s="68"/>
      <c r="H251" s="338" t="s">
        <v>236</v>
      </c>
      <c r="I251" s="296" t="s">
        <v>261</v>
      </c>
      <c r="J251" s="339" t="s">
        <v>237</v>
      </c>
      <c r="K251" s="68"/>
      <c r="L251" s="68"/>
      <c r="M251" s="69"/>
      <c r="O251" s="186"/>
      <c r="P251" s="235" t="s">
        <v>301</v>
      </c>
      <c r="Q251" s="731"/>
      <c r="R251" s="731"/>
      <c r="S251" s="731"/>
      <c r="T251" s="4"/>
      <c r="U251" s="181" t="str">
        <f t="shared" si="35"/>
        <v/>
      </c>
      <c r="V251" s="181" t="str">
        <f t="shared" si="36"/>
        <v/>
      </c>
      <c r="W251" s="181" t="str">
        <f t="shared" si="37"/>
        <v/>
      </c>
      <c r="X251" s="4"/>
      <c r="Y251" s="234"/>
    </row>
    <row r="252" spans="1:27" ht="14.1" customHeight="1">
      <c r="A252" s="17">
        <v>36</v>
      </c>
      <c r="B252" s="67"/>
      <c r="C252" s="422" t="s">
        <v>71</v>
      </c>
      <c r="D252" s="296" t="str">
        <f t="shared" ref="D252:D260" si="38">IF(Q247="","",Q247)</f>
        <v/>
      </c>
      <c r="E252" s="296" t="str">
        <f t="shared" ref="E252:E260" si="39">IF(R247="","",R247)</f>
        <v/>
      </c>
      <c r="F252" s="339" t="str">
        <f t="shared" ref="F252:F260" si="40">IF(S247="","",S247)</f>
        <v/>
      </c>
      <c r="G252" s="68"/>
      <c r="H252" s="870" t="str">
        <f t="shared" ref="H252:J256" si="41">IF(U247="","",U247)</f>
        <v/>
      </c>
      <c r="I252" s="871" t="str">
        <f t="shared" si="41"/>
        <v/>
      </c>
      <c r="J252" s="872" t="str">
        <f t="shared" si="41"/>
        <v/>
      </c>
      <c r="K252" s="68"/>
      <c r="L252" s="68"/>
      <c r="M252" s="69"/>
      <c r="O252" s="186"/>
      <c r="P252" s="235" t="s">
        <v>305</v>
      </c>
      <c r="Q252" s="731"/>
      <c r="R252" s="731"/>
      <c r="S252" s="731"/>
      <c r="T252" s="4"/>
      <c r="U252" s="4"/>
      <c r="V252" s="4"/>
      <c r="W252" s="4"/>
      <c r="X252" s="4"/>
      <c r="Y252" s="234"/>
    </row>
    <row r="253" spans="1:27" ht="14.1" customHeight="1">
      <c r="A253" s="17">
        <v>37</v>
      </c>
      <c r="B253" s="67"/>
      <c r="C253" s="422" t="s">
        <v>296</v>
      </c>
      <c r="D253" s="400" t="str">
        <f t="shared" si="38"/>
        <v/>
      </c>
      <c r="E253" s="296" t="str">
        <f t="shared" si="39"/>
        <v/>
      </c>
      <c r="F253" s="339" t="str">
        <f t="shared" si="40"/>
        <v/>
      </c>
      <c r="G253" s="68"/>
      <c r="H253" s="870" t="str">
        <f t="shared" si="41"/>
        <v/>
      </c>
      <c r="I253" s="871" t="str">
        <f t="shared" si="41"/>
        <v/>
      </c>
      <c r="J253" s="872"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298</v>
      </c>
      <c r="D254" s="400" t="str">
        <f t="shared" si="38"/>
        <v/>
      </c>
      <c r="E254" s="296" t="str">
        <f t="shared" si="39"/>
        <v/>
      </c>
      <c r="F254" s="339" t="str">
        <f t="shared" si="40"/>
        <v/>
      </c>
      <c r="G254" s="68"/>
      <c r="H254" s="870" t="str">
        <f t="shared" si="41"/>
        <v/>
      </c>
      <c r="I254" s="871" t="str">
        <f t="shared" si="41"/>
        <v/>
      </c>
      <c r="J254" s="872" t="str">
        <f t="shared" si="41"/>
        <v/>
      </c>
      <c r="K254" s="68"/>
      <c r="L254" s="68"/>
      <c r="M254" s="69"/>
      <c r="O254" s="186"/>
      <c r="P254" s="235" t="s">
        <v>309</v>
      </c>
      <c r="Q254" s="243" t="str">
        <f>IF(U247="","",MAX(U247:U251))</f>
        <v/>
      </c>
      <c r="R254" s="243" t="str">
        <f t="shared" ref="R254:S254" si="42">IF(V247="","",MAX(V247:V251))</f>
        <v/>
      </c>
      <c r="S254" s="243" t="str">
        <f t="shared" si="42"/>
        <v/>
      </c>
      <c r="T254" s="4"/>
      <c r="U254" s="4"/>
      <c r="V254" s="4"/>
      <c r="W254" s="4"/>
      <c r="X254" s="4"/>
      <c r="Y254" s="234"/>
    </row>
    <row r="255" spans="1:27" ht="14.1" customHeight="1">
      <c r="A255" s="17">
        <v>39</v>
      </c>
      <c r="B255" s="67"/>
      <c r="C255" s="422" t="s">
        <v>299</v>
      </c>
      <c r="D255" s="400" t="str">
        <f t="shared" si="38"/>
        <v/>
      </c>
      <c r="E255" s="296" t="str">
        <f t="shared" si="39"/>
        <v/>
      </c>
      <c r="F255" s="339" t="str">
        <f t="shared" si="40"/>
        <v/>
      </c>
      <c r="G255" s="68"/>
      <c r="H255" s="870" t="str">
        <f t="shared" si="41"/>
        <v/>
      </c>
      <c r="I255" s="871" t="str">
        <f t="shared" si="41"/>
        <v/>
      </c>
      <c r="J255" s="872"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2" t="s">
        <v>301</v>
      </c>
      <c r="D256" s="400" t="str">
        <f t="shared" si="38"/>
        <v/>
      </c>
      <c r="E256" s="296" t="str">
        <f t="shared" si="39"/>
        <v/>
      </c>
      <c r="F256" s="339" t="str">
        <f t="shared" si="40"/>
        <v/>
      </c>
      <c r="G256" s="68"/>
      <c r="H256" s="873" t="str">
        <f t="shared" si="41"/>
        <v/>
      </c>
      <c r="I256" s="874" t="str">
        <f t="shared" si="41"/>
        <v/>
      </c>
      <c r="J256" s="875"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2" t="s">
        <v>305</v>
      </c>
      <c r="D257" s="400" t="str">
        <f t="shared" si="38"/>
        <v/>
      </c>
      <c r="E257" s="296" t="str">
        <f t="shared" si="39"/>
        <v/>
      </c>
      <c r="F257" s="339"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307</v>
      </c>
      <c r="D258" s="400" t="str">
        <f t="shared" si="38"/>
        <v/>
      </c>
      <c r="E258" s="296" t="str">
        <f t="shared" si="39"/>
        <v/>
      </c>
      <c r="F258" s="339" t="str">
        <f t="shared" si="40"/>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3" t="s">
        <v>309</v>
      </c>
      <c r="D259" s="411" t="str">
        <f t="shared" si="38"/>
        <v/>
      </c>
      <c r="E259" s="411" t="str">
        <f t="shared" si="39"/>
        <v/>
      </c>
      <c r="F259" s="412" t="str">
        <f t="shared" si="40"/>
        <v/>
      </c>
      <c r="G259" s="68"/>
      <c r="H259" s="68"/>
      <c r="I259" s="68"/>
      <c r="J259" s="68"/>
      <c r="K259" s="68"/>
      <c r="L259" s="68"/>
      <c r="M259" s="69"/>
      <c r="O259" s="30"/>
      <c r="P259" s="162" t="s">
        <v>297</v>
      </c>
      <c r="Q259" s="1"/>
      <c r="R259" s="68"/>
      <c r="S259" s="162" t="s">
        <v>172</v>
      </c>
      <c r="T259" s="137"/>
      <c r="U259" s="68"/>
      <c r="V259" s="333"/>
      <c r="W259" s="333"/>
      <c r="X259" s="68"/>
      <c r="Y259" s="32"/>
      <c r="AA259" s="4"/>
    </row>
    <row r="260" spans="1:37" ht="14.1" customHeight="1" thickBot="1">
      <c r="A260" s="17">
        <v>44</v>
      </c>
      <c r="B260" s="67"/>
      <c r="C260" s="68"/>
      <c r="D260" s="377" t="str">
        <f t="shared" si="38"/>
        <v/>
      </c>
      <c r="E260" s="377" t="str">
        <f t="shared" si="39"/>
        <v/>
      </c>
      <c r="F260" s="377"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78"/>
      <c r="AE260" s="578"/>
      <c r="AF260" s="578"/>
      <c r="AG260" s="578"/>
      <c r="AH260" s="578"/>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23"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23" t="s">
        <v>71</v>
      </c>
      <c r="R262" s="723" t="s">
        <v>283</v>
      </c>
      <c r="S262" s="723" t="s">
        <v>275</v>
      </c>
      <c r="T262" s="723" t="s">
        <v>302</v>
      </c>
      <c r="U262" s="723" t="s">
        <v>303</v>
      </c>
      <c r="V262" s="68"/>
      <c r="W262" s="162" t="s">
        <v>304</v>
      </c>
      <c r="X262" s="270"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1" t="e">
        <f>IF(Q263="","",Q263/$T$260)</f>
        <v>#DIV/0!</v>
      </c>
      <c r="U263" s="303" t="e">
        <f>IF(Q263="","",($T$259^2*HLOOKUP($Q$260,Tables!$D$70:$F$72,2)+HLOOKUP(Sheet1!$Q$260,Tables!$D$70:$F$72,3))*Q263)</f>
        <v>#N/A</v>
      </c>
      <c r="V263" s="68"/>
      <c r="W263" s="162" t="s">
        <v>306</v>
      </c>
      <c r="X263" s="270" t="e">
        <f>IF(U267="","",U267)</f>
        <v>#N/A</v>
      </c>
      <c r="Y263" s="32"/>
      <c r="AA263" s="4"/>
    </row>
    <row r="264" spans="1:37" ht="14.1" customHeight="1">
      <c r="A264" s="17">
        <v>48</v>
      </c>
      <c r="B264" s="67"/>
      <c r="C264" s="162" t="s">
        <v>297</v>
      </c>
      <c r="D264" s="746"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1" t="e">
        <f>IF(Q264="","",Q264/$T$260)</f>
        <v>#DIV/0!</v>
      </c>
      <c r="U264" s="303" t="e">
        <f>IF(Q264="","",($T$259^2*HLOOKUP($Q$260,Tables!$D$70:$F$72,2)+HLOOKUP(Sheet1!$Q$260,Tables!$D$70:$F$72,3))*Q264)</f>
        <v>#N/A</v>
      </c>
      <c r="V264" s="68"/>
      <c r="W264" s="162" t="s">
        <v>308</v>
      </c>
      <c r="X264" s="253"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1" t="e">
        <f>IF(Q265="","",Q265/$T$260)</f>
        <v>#DIV/0!</v>
      </c>
      <c r="U265" s="303" t="e">
        <f>IF(Q265="","",($T$259^2*HLOOKUP($Q$260,Tables!$D$70:$F$72,2)+HLOOKUP(Sheet1!$Q$260,Tables!$D$70:$F$72,3))*Q265)</f>
        <v>#N/A</v>
      </c>
      <c r="V265" s="68"/>
      <c r="W265" s="162" t="s">
        <v>310</v>
      </c>
      <c r="X265" s="254"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1" t="e">
        <f>IF(Q266="","",Q266/$T$260)</f>
        <v>#DIV/0!</v>
      </c>
      <c r="U266" s="303" t="e">
        <f>IF(Q266="","",($T$259^2*HLOOKUP($Q$260,Tables!$D$70:$F$72,2)+HLOOKUP(Sheet1!$Q$260,Tables!$D$70:$F$72,3))*Q266)</f>
        <v>#N/A</v>
      </c>
      <c r="V266" s="68"/>
      <c r="W266" s="162" t="s">
        <v>311</v>
      </c>
      <c r="X266" s="255">
        <f>IF(AB85="","",AB85)</f>
        <v>2.3223554914248874</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6">
        <f>IF(OR(R263="",R264="",R265="",R266=""),"",AVERAGE(R263:R266))</f>
        <v>0</v>
      </c>
      <c r="S267" s="71" t="str">
        <f>IF(OR(S263="",S264="",S265="",S266=""),"",AVERAGE(S263:S266))</f>
        <v/>
      </c>
      <c r="T267" s="257" t="e">
        <f>IF(OR(T263="",T264="",T265="",T266=""),"",AVERAGE(T263:T266))</f>
        <v>#DIV/0!</v>
      </c>
      <c r="U267" s="302" t="e">
        <f>IF(OR(U263="",U264="",U265="",U266=""),"",AVERAGE(U263:U266))</f>
        <v>#N/A</v>
      </c>
      <c r="V267" s="68"/>
      <c r="W267" s="162" t="s">
        <v>313</v>
      </c>
      <c r="X267" s="258" t="e">
        <f>IF(OR(X265="",X266=""),"",(X265-X266)/X266)</f>
        <v>#N/A</v>
      </c>
      <c r="Y267" s="32"/>
    </row>
    <row r="268" spans="1:37" ht="14.1" customHeight="1">
      <c r="A268" s="17">
        <v>52</v>
      </c>
      <c r="B268" s="67"/>
      <c r="C268" s="68"/>
      <c r="D268" s="237">
        <f t="shared" ref="D268:H273" si="47">IF(Q263="","",Q263)</f>
        <v>0</v>
      </c>
      <c r="E268" s="571">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1" t="e">
        <f>IF(Q267="","",_xlfn.STDEV.S(Q263:Q266)/Q267)</f>
        <v>#DIV/0!</v>
      </c>
      <c r="R268" s="251" t="e">
        <f>IF(R267="","",_xlfn.STDEV.S(R263:R266)/R267)</f>
        <v>#DIV/0!</v>
      </c>
      <c r="S268" s="251" t="str">
        <f>IF(S267="","",_xlfn.STDEV.S(S263:S266)/S267)</f>
        <v/>
      </c>
      <c r="T268" s="251" t="e">
        <f>IF(T267="","",_xlfn.STDEV.S(T263:T266)/T267)</f>
        <v>#DIV/0!</v>
      </c>
      <c r="U268" s="251" t="e">
        <f>IF(U267="","",_xlfn.STDEV.S(U263:U266)/U267)</f>
        <v>#N/A</v>
      </c>
      <c r="V268" s="68"/>
      <c r="W268" s="333"/>
      <c r="X268" s="333"/>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8"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9" t="e">
        <f>IF(OR(X265="",Q267=""),"",3/(X265/Q267))</f>
        <v>#N/A</v>
      </c>
      <c r="Y270" s="32"/>
    </row>
    <row r="271" spans="1:37" ht="14.1" customHeight="1" thickBot="1">
      <c r="A271" s="17">
        <v>55</v>
      </c>
      <c r="B271" s="67"/>
      <c r="C271" s="68"/>
      <c r="D271" s="244">
        <f t="shared" si="47"/>
        <v>0</v>
      </c>
      <c r="E271" s="572">
        <f t="shared" si="47"/>
        <v>0</v>
      </c>
      <c r="F271" s="208" t="str">
        <f t="shared" si="47"/>
        <v/>
      </c>
      <c r="G271" s="245" t="e">
        <f t="shared" si="47"/>
        <v>#DIV/0!</v>
      </c>
      <c r="H271" s="246" t="e">
        <f t="shared" si="47"/>
        <v>#N/A</v>
      </c>
      <c r="I271" s="68"/>
      <c r="J271" s="162" t="s">
        <v>311</v>
      </c>
      <c r="K271" s="142">
        <f t="shared" si="46"/>
        <v>2.3223554914248874</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7" t="e">
        <f t="shared" si="46"/>
        <v>#N/A</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720" t="s">
        <v>561</v>
      </c>
      <c r="Q273" s="721" t="s">
        <v>268</v>
      </c>
      <c r="R273" s="721" t="s">
        <v>71</v>
      </c>
      <c r="S273" s="721" t="s">
        <v>275</v>
      </c>
      <c r="T273" s="677" t="s">
        <v>602</v>
      </c>
      <c r="U273" s="721" t="s">
        <v>562</v>
      </c>
      <c r="V273" s="722"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8" t="e">
        <f>IF(X269="","",X269)</f>
        <v>#N/A</v>
      </c>
      <c r="L274" s="68"/>
      <c r="M274" s="69"/>
      <c r="O274" s="30"/>
      <c r="P274" s="338">
        <v>20</v>
      </c>
      <c r="Q274" s="296">
        <v>26</v>
      </c>
      <c r="R274" s="686"/>
      <c r="S274" s="686"/>
      <c r="T274" s="862"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9" t="e">
        <f>IF(X270="","",X270)</f>
        <v>#N/A</v>
      </c>
      <c r="L275" s="68"/>
      <c r="M275" s="69"/>
      <c r="O275" s="30"/>
      <c r="P275" s="338">
        <v>40</v>
      </c>
      <c r="Q275" s="296">
        <v>28</v>
      </c>
      <c r="R275" s="686"/>
      <c r="S275" s="686"/>
      <c r="T275" s="862"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7"/>
      <c r="S276" s="687"/>
      <c r="T276" s="863" t="str">
        <f>IF(AB123="","",AB123)</f>
        <v/>
      </c>
      <c r="U276" s="679">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88" t="s">
        <v>561</v>
      </c>
      <c r="D278" s="689" t="s">
        <v>268</v>
      </c>
      <c r="E278" s="689" t="s">
        <v>71</v>
      </c>
      <c r="F278" s="689" t="s">
        <v>275</v>
      </c>
      <c r="G278" s="689" t="s">
        <v>562</v>
      </c>
      <c r="H278" s="690" t="s">
        <v>290</v>
      </c>
      <c r="I278" s="68"/>
      <c r="J278" s="162"/>
      <c r="K278" s="723"/>
      <c r="L278" s="68"/>
      <c r="M278" s="69" t="s">
        <v>730</v>
      </c>
      <c r="O278" s="462"/>
      <c r="P278" s="68"/>
      <c r="Q278" s="68"/>
      <c r="R278" s="68"/>
      <c r="S278" s="68"/>
      <c r="T278" s="68"/>
      <c r="U278" s="68"/>
      <c r="V278" s="68"/>
      <c r="W278" s="68"/>
      <c r="X278" s="68"/>
      <c r="Y278" s="767"/>
      <c r="Z278"/>
      <c r="AA278"/>
      <c r="AB278"/>
      <c r="AC278"/>
      <c r="AD278"/>
      <c r="AE278"/>
      <c r="AF278"/>
      <c r="AG278"/>
      <c r="AH278"/>
      <c r="AI278"/>
      <c r="AJ278"/>
      <c r="AK278"/>
    </row>
    <row r="279" spans="1:37" ht="14.1" customHeight="1" thickBot="1">
      <c r="A279" s="17">
        <v>63</v>
      </c>
      <c r="B279" s="67"/>
      <c r="C279" s="338">
        <v>20</v>
      </c>
      <c r="D279" s="296">
        <v>26</v>
      </c>
      <c r="E279" s="296" t="str">
        <f t="shared" ref="E279:F281" si="48">IF(R274="","",R274)</f>
        <v/>
      </c>
      <c r="F279" s="296" t="str">
        <f t="shared" si="48"/>
        <v/>
      </c>
      <c r="G279" s="400">
        <f>IF(U274="","",U274)</f>
        <v>1.1000000000000001</v>
      </c>
      <c r="H279" s="339" t="str">
        <f>IF(V274="","",V274)</f>
        <v/>
      </c>
      <c r="I279" s="68"/>
      <c r="J279" s="68"/>
      <c r="K279" s="723" t="s">
        <v>268</v>
      </c>
      <c r="L279" s="723" t="s">
        <v>71</v>
      </c>
      <c r="M279" s="260" t="s">
        <v>628</v>
      </c>
      <c r="O279" s="768" t="s">
        <v>645</v>
      </c>
      <c r="P279" s="162"/>
      <c r="Q279" s="723"/>
      <c r="R279" s="68"/>
      <c r="S279" s="68"/>
      <c r="T279" s="68"/>
      <c r="U279" s="68"/>
      <c r="V279" s="68"/>
      <c r="W279" s="68"/>
      <c r="X279" s="68"/>
      <c r="Y279" s="767"/>
      <c r="Z279"/>
      <c r="AA279"/>
      <c r="AB279"/>
      <c r="AC279"/>
      <c r="AD279"/>
      <c r="AE279"/>
      <c r="AF279"/>
      <c r="AG279"/>
      <c r="AH279"/>
      <c r="AI279"/>
      <c r="AJ279"/>
      <c r="AK279"/>
    </row>
    <row r="280" spans="1:37" ht="14.1" customHeight="1">
      <c r="A280" s="17">
        <v>64</v>
      </c>
      <c r="B280" s="67"/>
      <c r="C280" s="338">
        <v>40</v>
      </c>
      <c r="D280" s="296">
        <v>28</v>
      </c>
      <c r="E280" s="296" t="str">
        <f t="shared" si="48"/>
        <v/>
      </c>
      <c r="F280" s="296" t="str">
        <f t="shared" si="48"/>
        <v/>
      </c>
      <c r="G280" s="400">
        <f t="shared" ref="G280:G281" si="49">IF(U275="","",U275)</f>
        <v>2.2000000000000002</v>
      </c>
      <c r="H280" s="339" t="str">
        <f>IF(V275="","",V275)</f>
        <v/>
      </c>
      <c r="I280" s="68"/>
      <c r="J280" s="162" t="s">
        <v>625</v>
      </c>
      <c r="K280" s="720">
        <f>IF(Q304="","",Q304)</f>
        <v>0</v>
      </c>
      <c r="L280" s="721" t="str">
        <f>IF(R304="","",R304)</f>
        <v/>
      </c>
      <c r="M280" s="474" t="str">
        <f>IF(T304="","",T304)</f>
        <v/>
      </c>
      <c r="O280" s="462"/>
      <c r="P280" s="146" t="s">
        <v>631</v>
      </c>
      <c r="Q280" s="68"/>
      <c r="R280" s="68"/>
      <c r="S280" s="723" t="s">
        <v>274</v>
      </c>
      <c r="T280" s="68"/>
      <c r="U280" s="68" t="s">
        <v>300</v>
      </c>
      <c r="V280" s="723"/>
      <c r="W280" s="68"/>
      <c r="X280" s="68"/>
      <c r="Y280" s="767"/>
      <c r="Z280"/>
      <c r="AA280"/>
      <c r="AB280"/>
      <c r="AC280"/>
      <c r="AD280"/>
      <c r="AE280"/>
      <c r="AF280"/>
      <c r="AG280"/>
      <c r="AH280"/>
      <c r="AI280"/>
      <c r="AJ280"/>
      <c r="AK280"/>
    </row>
    <row r="281" spans="1:37" ht="14.1" customHeight="1" thickBot="1">
      <c r="A281" s="17">
        <v>65</v>
      </c>
      <c r="B281" s="67"/>
      <c r="C281" s="387">
        <v>60</v>
      </c>
      <c r="D281" s="443">
        <v>30</v>
      </c>
      <c r="E281" s="443" t="str">
        <f t="shared" si="48"/>
        <v/>
      </c>
      <c r="F281" s="443" t="str">
        <f t="shared" si="48"/>
        <v/>
      </c>
      <c r="G281" s="679">
        <f t="shared" si="49"/>
        <v>4.7</v>
      </c>
      <c r="H281" s="388" t="str">
        <f>IF(V276="","",V276)</f>
        <v/>
      </c>
      <c r="I281" s="68"/>
      <c r="J281" s="162" t="s">
        <v>626</v>
      </c>
      <c r="K281" s="387">
        <f>IF(Q305="","",Q305)</f>
        <v>0</v>
      </c>
      <c r="L281" s="443" t="str">
        <f>IF(R305="","",R305)</f>
        <v/>
      </c>
      <c r="M281" s="476" t="str">
        <f>IF(T305="","",T305)</f>
        <v/>
      </c>
      <c r="O281" s="462"/>
      <c r="P281" s="68"/>
      <c r="Q281" s="723" t="s">
        <v>71</v>
      </c>
      <c r="R281" s="723" t="s">
        <v>283</v>
      </c>
      <c r="S281" s="723" t="s">
        <v>275</v>
      </c>
      <c r="T281" s="723" t="s">
        <v>302</v>
      </c>
      <c r="U281" s="723" t="s">
        <v>303</v>
      </c>
      <c r="V281" s="723"/>
      <c r="W281" s="162" t="s">
        <v>304</v>
      </c>
      <c r="X281" s="270" t="str">
        <f>IF($T$259="","",$T$259*HLOOKUP($Q$260,Tables!$D$83:$F$85,2)+HLOOKUP(Sheet1!$Q$260,Tables!$D$83:$F$85,3))</f>
        <v/>
      </c>
      <c r="Y281" s="767"/>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76" t="str">
        <f>IF(T306="","",T306)</f>
        <v/>
      </c>
      <c r="O282" s="462"/>
      <c r="P282" s="68"/>
      <c r="Q282" s="145"/>
      <c r="R282" s="145"/>
      <c r="S282" s="145"/>
      <c r="T282" s="301" t="str">
        <f>IF(Q282="","",Q282/$T$260)</f>
        <v/>
      </c>
      <c r="U282" s="303" t="str">
        <f>IF(Q282="","",($T$259^2*HLOOKUP($Q$260,Tables!$D$70:$F$72,2)+HLOOKUP(Sheet1!$Q$260,Tables!$D$70:$F$72,3))*Q282)</f>
        <v/>
      </c>
      <c r="V282" s="68"/>
      <c r="W282" s="162" t="s">
        <v>306</v>
      </c>
      <c r="X282" s="270" t="str">
        <f>IF(U286="","",U286)</f>
        <v/>
      </c>
      <c r="Y282" s="767"/>
      <c r="Z282"/>
      <c r="AA282"/>
      <c r="AB282"/>
      <c r="AC282"/>
      <c r="AD282"/>
      <c r="AE282"/>
      <c r="AF282"/>
      <c r="AG282"/>
      <c r="AH282"/>
      <c r="AI282"/>
      <c r="AJ282"/>
      <c r="AK282"/>
    </row>
    <row r="283" spans="1:37" ht="14.1" customHeight="1" thickBot="1">
      <c r="A283" s="17">
        <v>67</v>
      </c>
      <c r="B283" s="67"/>
      <c r="I283" s="68"/>
      <c r="J283" s="68"/>
      <c r="K283" s="68"/>
      <c r="L283" s="162" t="s">
        <v>217</v>
      </c>
      <c r="M283" s="479" t="str">
        <f>IF(V304="","",V304)</f>
        <v/>
      </c>
      <c r="O283" s="462"/>
      <c r="P283" s="68"/>
      <c r="Q283" s="145"/>
      <c r="R283" s="145"/>
      <c r="S283" s="145"/>
      <c r="T283" s="301" t="str">
        <f>IF(Q283="","",Q283/$T$260)</f>
        <v/>
      </c>
      <c r="U283" s="303" t="str">
        <f>IF(Q283="","",($T$259^2*HLOOKUP($Q$260,Tables!$D$70:$F$72,2)+HLOOKUP(Sheet1!$Q$260,Tables!$D$70:$F$72,3))*Q283)</f>
        <v/>
      </c>
      <c r="V283" s="68"/>
      <c r="W283" s="162" t="s">
        <v>308</v>
      </c>
      <c r="X283" s="253" t="str">
        <f>IF($Q$260="","",HLOOKUP($Q$260,Tables!$A$88:$F$89,2))</f>
        <v/>
      </c>
      <c r="Y283" s="767"/>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IF(Q284="","",($T$259^2*HLOOKUP($Q$260,Tables!$D$70:$F$72,2)+HLOOKUP(Sheet1!$Q$260,Tables!$D$70:$F$72,3))*Q284)</f>
        <v/>
      </c>
      <c r="V284" s="68"/>
      <c r="W284" s="162" t="s">
        <v>310</v>
      </c>
      <c r="X284" s="254" t="str">
        <f>IF(X282="","",X282*Tables!$D$89)</f>
        <v/>
      </c>
      <c r="Y284" s="767"/>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IF(Q285="","",($T$259^2*HLOOKUP($Q$260,Tables!$D$70:$F$72,2)+HLOOKUP(Sheet1!$Q$260,Tables!$D$70:$F$72,3))*Q285)</f>
        <v/>
      </c>
      <c r="V285" s="68"/>
      <c r="W285" s="162" t="s">
        <v>311</v>
      </c>
      <c r="X285" s="255" t="str">
        <f>IF(AB86="","",AB86)</f>
        <v/>
      </c>
      <c r="Y285" s="767"/>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271</v>
      </c>
      <c r="Q286" s="70" t="str">
        <f t="shared" ref="Q286:U286" si="50">IF(OR(Q282="",Q283="",Q284="",Q285=""),"",AVERAGE(Q282:Q285))</f>
        <v/>
      </c>
      <c r="R286" s="256" t="str">
        <f t="shared" si="50"/>
        <v/>
      </c>
      <c r="S286" s="71" t="str">
        <f t="shared" si="50"/>
        <v/>
      </c>
      <c r="T286" s="257" t="str">
        <f t="shared" si="50"/>
        <v/>
      </c>
      <c r="U286" s="302" t="str">
        <f t="shared" si="50"/>
        <v/>
      </c>
      <c r="V286" s="760"/>
      <c r="W286" s="162" t="s">
        <v>313</v>
      </c>
      <c r="X286" s="258" t="str">
        <f>IF(OR(X284="",X285=""),"",(X284-X285)/X285)</f>
        <v/>
      </c>
      <c r="Y286" s="767"/>
      <c r="Z286"/>
      <c r="AA286"/>
      <c r="AB286"/>
      <c r="AC286"/>
      <c r="AD286"/>
      <c r="AE286"/>
      <c r="AF286"/>
      <c r="AG286"/>
      <c r="AH286"/>
      <c r="AI286"/>
      <c r="AJ286"/>
      <c r="AK286"/>
    </row>
    <row r="287" spans="1:37" ht="14.1" customHeight="1" thickTop="1">
      <c r="A287" s="17">
        <v>71</v>
      </c>
      <c r="C287" s="109" t="s">
        <v>10</v>
      </c>
      <c r="D287" s="375">
        <f>IF($P$7="","",$P$7)</f>
        <v>43273</v>
      </c>
      <c r="E287" s="27"/>
      <c r="F287" s="27"/>
      <c r="G287" s="27"/>
      <c r="H287" s="27"/>
      <c r="I287" s="27"/>
      <c r="J287" s="27"/>
      <c r="K287" s="27"/>
      <c r="L287" s="109" t="s">
        <v>11</v>
      </c>
      <c r="M287" s="376" t="str">
        <f>IF($X$7="","",$X$7)</f>
        <v>Eugene Mah</v>
      </c>
      <c r="O287" s="462"/>
      <c r="P287" s="162" t="s">
        <v>273</v>
      </c>
      <c r="Q287" s="251" t="str">
        <f t="shared" ref="Q287:U287" si="51">IF(Q286="","",_xlfn.STDEV.S(Q282:Q285)/Q286)</f>
        <v/>
      </c>
      <c r="R287" s="251" t="str">
        <f t="shared" si="51"/>
        <v/>
      </c>
      <c r="S287" s="251" t="str">
        <f t="shared" si="51"/>
        <v/>
      </c>
      <c r="T287" s="251" t="str">
        <f t="shared" si="51"/>
        <v/>
      </c>
      <c r="U287" s="251" t="str">
        <f t="shared" si="51"/>
        <v/>
      </c>
      <c r="V287" s="761"/>
      <c r="W287" s="333"/>
      <c r="X287" s="333"/>
      <c r="Y287" s="767"/>
      <c r="Z287"/>
      <c r="AA287"/>
      <c r="AB287"/>
      <c r="AC287"/>
      <c r="AD287"/>
      <c r="AE287"/>
      <c r="AF287"/>
      <c r="AG287"/>
      <c r="AH287"/>
      <c r="AI287"/>
      <c r="AJ287"/>
      <c r="AK287"/>
    </row>
    <row r="288" spans="1:37" ht="14.1" customHeight="1">
      <c r="A288" s="17">
        <v>72</v>
      </c>
      <c r="C288" s="109" t="s">
        <v>120</v>
      </c>
      <c r="D288" s="376" t="str">
        <f>IF($R$14="","",$R$14)</f>
        <v>1C07</v>
      </c>
      <c r="E288" s="27"/>
      <c r="F288" s="27"/>
      <c r="G288" s="27"/>
      <c r="H288" s="27"/>
      <c r="I288" s="27"/>
      <c r="J288" s="27"/>
      <c r="K288" s="27"/>
      <c r="L288" s="109" t="s">
        <v>36</v>
      </c>
      <c r="M288" s="376">
        <f>IF($R$13="","",$R$13)</f>
        <v>2302</v>
      </c>
      <c r="O288" s="462"/>
      <c r="P288" s="3" t="s">
        <v>203</v>
      </c>
      <c r="Q288" s="101" t="s">
        <v>314</v>
      </c>
      <c r="R288" s="68"/>
      <c r="S288" s="68"/>
      <c r="T288" s="68"/>
      <c r="U288" s="68"/>
      <c r="V288" s="68"/>
      <c r="W288" s="162" t="s">
        <v>315</v>
      </c>
      <c r="X288" s="248" t="str">
        <f>IF(X284="","",(X284-S286)/S286)</f>
        <v/>
      </c>
      <c r="Y288" s="767"/>
      <c r="Z288"/>
      <c r="AA288"/>
      <c r="AB288"/>
      <c r="AC288"/>
      <c r="AD288"/>
      <c r="AE288"/>
      <c r="AF288"/>
      <c r="AG288"/>
      <c r="AH288"/>
      <c r="AI288"/>
      <c r="AJ288"/>
      <c r="AK288"/>
    </row>
    <row r="289" spans="1:37" ht="14.1" customHeight="1">
      <c r="A289" s="17">
        <v>1</v>
      </c>
      <c r="M289" s="112" t="str">
        <f>$H$2</f>
        <v>Medical University of South Carolina</v>
      </c>
      <c r="O289" s="462"/>
      <c r="P289" s="193"/>
      <c r="Q289" s="101" t="s">
        <v>497</v>
      </c>
      <c r="R289" s="68"/>
      <c r="S289" s="68"/>
      <c r="T289" s="68"/>
      <c r="U289" s="68"/>
      <c r="V289" s="68"/>
      <c r="W289" s="162" t="s">
        <v>317</v>
      </c>
      <c r="X289" s="249" t="str">
        <f>IF(OR(X284="",Q286=""),"",3/(X284/Q286))</f>
        <v/>
      </c>
      <c r="Y289" s="767"/>
      <c r="Z289"/>
      <c r="AA289"/>
      <c r="AB289"/>
      <c r="AC289"/>
      <c r="AD289"/>
      <c r="AE289"/>
      <c r="AF289"/>
      <c r="AG289"/>
      <c r="AH289"/>
      <c r="AI289"/>
      <c r="AJ289"/>
      <c r="AK289"/>
    </row>
    <row r="290" spans="1:37" ht="14.1" customHeight="1" thickBot="1">
      <c r="A290" s="17">
        <v>2</v>
      </c>
      <c r="H290" s="51" t="s">
        <v>72</v>
      </c>
      <c r="M290" s="113" t="str">
        <f>$H$5</f>
        <v>Mammography System Compliance Inspection</v>
      </c>
      <c r="O290" s="462"/>
      <c r="P290" s="68"/>
      <c r="Q290" s="68"/>
      <c r="R290" s="68"/>
      <c r="S290" s="68"/>
      <c r="T290" s="68"/>
      <c r="U290" s="68"/>
      <c r="V290" s="68"/>
      <c r="W290" s="68"/>
      <c r="X290" s="68"/>
      <c r="Y290" s="767"/>
      <c r="Z290"/>
      <c r="AA290"/>
      <c r="AB290"/>
      <c r="AC290"/>
      <c r="AD290"/>
      <c r="AE290"/>
      <c r="AF290"/>
      <c r="AG290"/>
      <c r="AH290"/>
      <c r="AI290"/>
      <c r="AJ290"/>
      <c r="AK290"/>
    </row>
    <row r="291" spans="1:37" ht="14.1" customHeight="1" thickTop="1">
      <c r="A291" s="17">
        <v>3</v>
      </c>
      <c r="B291" s="58"/>
      <c r="C291" s="267" t="s">
        <v>329</v>
      </c>
      <c r="D291" s="268" t="str">
        <f>IF(P367="","",P367)</f>
        <v>Piranha</v>
      </c>
      <c r="E291" s="267" t="s">
        <v>336</v>
      </c>
      <c r="F291" s="497" t="str">
        <f>IF(P368="","",P368)</f>
        <v>CB2-17090320</v>
      </c>
      <c r="G291" s="59"/>
      <c r="H291" s="267" t="s">
        <v>330</v>
      </c>
      <c r="I291" s="962">
        <f>IF(S367="","",S367)</f>
        <v>43014</v>
      </c>
      <c r="J291" s="962"/>
      <c r="K291" s="59"/>
      <c r="L291" s="59"/>
      <c r="M291" s="61"/>
      <c r="O291" s="462"/>
      <c r="P291" s="146" t="s">
        <v>632</v>
      </c>
      <c r="Q291" s="68"/>
      <c r="R291" s="68"/>
      <c r="S291" s="723" t="s">
        <v>274</v>
      </c>
      <c r="T291" s="68"/>
      <c r="U291" s="68" t="s">
        <v>300</v>
      </c>
      <c r="V291" s="723"/>
      <c r="W291" s="68"/>
      <c r="X291" s="68"/>
      <c r="Y291" s="767"/>
      <c r="Z291"/>
      <c r="AA291"/>
      <c r="AB291"/>
      <c r="AC291"/>
      <c r="AD291"/>
      <c r="AE291"/>
      <c r="AF291"/>
      <c r="AG291"/>
      <c r="AH291"/>
      <c r="AI291"/>
      <c r="AJ291"/>
      <c r="AK291"/>
    </row>
    <row r="292" spans="1:37" ht="14.1" customHeight="1">
      <c r="A292" s="17">
        <v>4</v>
      </c>
      <c r="B292" s="67"/>
      <c r="C292" s="4"/>
      <c r="D292" s="4"/>
      <c r="E292" s="4"/>
      <c r="F292" s="4"/>
      <c r="G292" s="4"/>
      <c r="H292" s="162" t="s">
        <v>332</v>
      </c>
      <c r="I292" s="963">
        <f>IF(S368="","",S368)</f>
        <v>43744</v>
      </c>
      <c r="J292" s="963"/>
      <c r="K292" s="4"/>
      <c r="M292" s="69"/>
      <c r="O292" s="462"/>
      <c r="P292" s="68"/>
      <c r="Q292" s="723" t="s">
        <v>71</v>
      </c>
      <c r="R292" s="723" t="s">
        <v>283</v>
      </c>
      <c r="S292" s="723" t="s">
        <v>275</v>
      </c>
      <c r="T292" s="723" t="s">
        <v>302</v>
      </c>
      <c r="U292" s="723" t="s">
        <v>303</v>
      </c>
      <c r="V292" s="723"/>
      <c r="W292" s="162" t="s">
        <v>304</v>
      </c>
      <c r="X292" s="270" t="str">
        <f>IF($T$259="","",$T$259*HLOOKUP($Q$260,Tables!$D$83:$F$85,2)+HLOOKUP(Sheet1!$Q$260,Tables!$D$83:$F$85,3))</f>
        <v/>
      </c>
      <c r="Y292" s="767"/>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2"/>
      <c r="P293" s="68"/>
      <c r="Q293" s="145"/>
      <c r="R293" s="145"/>
      <c r="S293" s="145"/>
      <c r="T293" s="301" t="str">
        <f>IF(Q293="","",Q293/$T$260)</f>
        <v/>
      </c>
      <c r="U293" s="303" t="str">
        <f>IF(Q293="","",($T$259^2*HLOOKUP($Q$260,Tables!$D$70:$F$72,2)+HLOOKUP(Sheet1!$Q$260,Tables!$D$70:$F$72,3))*Q293)</f>
        <v/>
      </c>
      <c r="V293" s="68"/>
      <c r="W293" s="162" t="s">
        <v>306</v>
      </c>
      <c r="X293" s="270" t="str">
        <f>IF(U297="","",U297)</f>
        <v/>
      </c>
      <c r="Y293" s="767"/>
      <c r="Z293"/>
      <c r="AA293"/>
      <c r="AB293"/>
      <c r="AC293"/>
      <c r="AD293"/>
      <c r="AE293"/>
      <c r="AF293"/>
      <c r="AG293"/>
      <c r="AH293"/>
      <c r="AI293"/>
      <c r="AJ293"/>
      <c r="AK293"/>
    </row>
    <row r="294" spans="1:37" ht="14.1" customHeight="1">
      <c r="A294" s="17">
        <v>6</v>
      </c>
      <c r="B294" s="67"/>
      <c r="C294" s="162"/>
      <c r="F294" s="961" t="s">
        <v>333</v>
      </c>
      <c r="G294" s="961"/>
      <c r="H294" s="961"/>
      <c r="I294" s="578"/>
      <c r="J294" s="578"/>
      <c r="K294" s="107"/>
      <c r="M294" s="69"/>
      <c r="O294" s="462"/>
      <c r="P294" s="68"/>
      <c r="Q294" s="145"/>
      <c r="R294" s="145"/>
      <c r="S294" s="145"/>
      <c r="T294" s="301" t="str">
        <f>IF(Q294="","",Q294/$T$260)</f>
        <v/>
      </c>
      <c r="U294" s="303" t="str">
        <f>IF(Q294="","",($T$259^2*HLOOKUP($Q$260,Tables!$D$70:$F$72,2)+HLOOKUP(Sheet1!$Q$260,Tables!$D$70:$F$72,3))*Q294)</f>
        <v/>
      </c>
      <c r="V294" s="68"/>
      <c r="W294" s="162" t="s">
        <v>308</v>
      </c>
      <c r="X294" s="253" t="str">
        <f>IF($Q$260="","",HLOOKUP($Q$260,Tables!$A$88:$F$89,2))</f>
        <v/>
      </c>
      <c r="Y294" s="767"/>
      <c r="Z294"/>
      <c r="AA294"/>
      <c r="AB294"/>
      <c r="AC294"/>
      <c r="AD294"/>
      <c r="AE294"/>
      <c r="AF294"/>
      <c r="AG294"/>
      <c r="AH294"/>
      <c r="AI294"/>
      <c r="AJ294"/>
      <c r="AK294"/>
    </row>
    <row r="295" spans="1:37" ht="14.1" customHeight="1" thickBot="1">
      <c r="A295" s="17">
        <v>7</v>
      </c>
      <c r="B295" s="67"/>
      <c r="C295" s="21" t="s">
        <v>70</v>
      </c>
      <c r="D295" s="578" t="s">
        <v>268</v>
      </c>
      <c r="E295" s="578" t="s">
        <v>71</v>
      </c>
      <c r="F295" s="578" t="s">
        <v>24</v>
      </c>
      <c r="G295" s="578" t="s">
        <v>25</v>
      </c>
      <c r="H295" s="578" t="s">
        <v>26</v>
      </c>
      <c r="I295" s="578" t="s">
        <v>334</v>
      </c>
      <c r="J295" s="578" t="s">
        <v>335</v>
      </c>
      <c r="K295" s="578" t="s">
        <v>495</v>
      </c>
      <c r="M295" s="69"/>
      <c r="O295" s="462"/>
      <c r="P295" s="68"/>
      <c r="Q295" s="145"/>
      <c r="R295" s="145"/>
      <c r="S295" s="145"/>
      <c r="T295" s="301" t="str">
        <f>IF(Q295="","",Q295/$T$260)</f>
        <v/>
      </c>
      <c r="U295" s="303" t="str">
        <f>IF(Q295="","",($T$259^2*HLOOKUP($Q$260,Tables!$D$70:$F$72,2)+HLOOKUP(Sheet1!$Q$260,Tables!$D$70:$F$72,3))*Q295)</f>
        <v/>
      </c>
      <c r="V295" s="68"/>
      <c r="W295" s="162" t="s">
        <v>310</v>
      </c>
      <c r="X295" s="254" t="str">
        <f>IF(X293="","",X293*Tables!$D$89)</f>
        <v/>
      </c>
      <c r="Y295" s="767"/>
      <c r="Z295"/>
      <c r="AA295"/>
      <c r="AB295"/>
      <c r="AC295"/>
      <c r="AD295"/>
      <c r="AE295"/>
      <c r="AF295"/>
      <c r="AG295"/>
      <c r="AH295"/>
      <c r="AI295"/>
      <c r="AJ295"/>
      <c r="AK295"/>
    </row>
    <row r="296" spans="1:37" ht="14.1" customHeight="1">
      <c r="A296" s="17">
        <v>8</v>
      </c>
      <c r="B296" s="67"/>
      <c r="C296" s="436" t="str">
        <f>P371</f>
        <v>Mo/Mo</v>
      </c>
      <c r="D296" s="418">
        <f t="shared" ref="D296:K301" si="52">IF(Q371="","",Q371)</f>
        <v>24</v>
      </c>
      <c r="E296" s="418">
        <f t="shared" si="52"/>
        <v>50</v>
      </c>
      <c r="F296" s="437" t="str">
        <f t="shared" si="52"/>
        <v/>
      </c>
      <c r="G296" s="437" t="str">
        <f t="shared" si="52"/>
        <v/>
      </c>
      <c r="H296" s="437" t="str">
        <f t="shared" si="52"/>
        <v/>
      </c>
      <c r="I296" s="438" t="str">
        <f t="shared" si="52"/>
        <v/>
      </c>
      <c r="J296" s="437" t="str">
        <f t="shared" si="52"/>
        <v/>
      </c>
      <c r="K296" s="439" t="str">
        <f t="shared" si="52"/>
        <v/>
      </c>
      <c r="M296" s="69"/>
      <c r="O296" s="462"/>
      <c r="P296" s="68"/>
      <c r="Q296" s="145"/>
      <c r="R296" s="145"/>
      <c r="S296" s="145"/>
      <c r="T296" s="301" t="str">
        <f>IF(Q296="","",Q296/$T$260)</f>
        <v/>
      </c>
      <c r="U296" s="303" t="str">
        <f>IF(Q296="","",($T$259^2*HLOOKUP($Q$260,Tables!$D$70:$F$72,2)+HLOOKUP(Sheet1!$Q$260,Tables!$D$70:$F$72,3))*Q296)</f>
        <v/>
      </c>
      <c r="V296" s="68"/>
      <c r="W296" s="162" t="s">
        <v>311</v>
      </c>
      <c r="X296" s="255" t="str">
        <f>IF(AB87="","",AB87)</f>
        <v/>
      </c>
      <c r="Y296" s="767"/>
      <c r="Z296"/>
      <c r="AA296"/>
      <c r="AB296"/>
      <c r="AC296"/>
      <c r="AD296"/>
      <c r="AE296"/>
      <c r="AF296"/>
      <c r="AG296"/>
      <c r="AH296"/>
      <c r="AI296"/>
      <c r="AJ296"/>
      <c r="AK296"/>
    </row>
    <row r="297" spans="1:37" ht="14.1" customHeight="1">
      <c r="A297" s="17">
        <v>9</v>
      </c>
      <c r="B297" s="67"/>
      <c r="C297" s="440"/>
      <c r="D297" s="296">
        <f t="shared" si="52"/>
        <v>25</v>
      </c>
      <c r="E297" s="296">
        <f t="shared" si="52"/>
        <v>50</v>
      </c>
      <c r="F297" s="303" t="str">
        <f t="shared" si="52"/>
        <v/>
      </c>
      <c r="G297" s="303" t="str">
        <f t="shared" si="52"/>
        <v/>
      </c>
      <c r="H297" s="303" t="str">
        <f t="shared" si="52"/>
        <v/>
      </c>
      <c r="I297" s="297" t="str">
        <f t="shared" si="52"/>
        <v/>
      </c>
      <c r="J297" s="303" t="str">
        <f t="shared" si="52"/>
        <v/>
      </c>
      <c r="K297" s="420" t="str">
        <f t="shared" si="52"/>
        <v/>
      </c>
      <c r="M297" s="69"/>
      <c r="O297" s="462"/>
      <c r="P297" s="162" t="s">
        <v>271</v>
      </c>
      <c r="Q297" s="70" t="str">
        <f t="shared" ref="Q297:U297" si="53">IF(OR(Q293="",Q294="",Q295="",Q296=""),"",AVERAGE(Q293:Q296))</f>
        <v/>
      </c>
      <c r="R297" s="256" t="str">
        <f t="shared" si="53"/>
        <v/>
      </c>
      <c r="S297" s="71" t="str">
        <f>IF(OR(S293="",S294="",S295="",S296=""),"",AVERAGE(S293:S296))</f>
        <v/>
      </c>
      <c r="T297" s="257" t="str">
        <f t="shared" si="53"/>
        <v/>
      </c>
      <c r="U297" s="302" t="str">
        <f t="shared" si="53"/>
        <v/>
      </c>
      <c r="V297" s="760"/>
      <c r="W297" s="162" t="s">
        <v>313</v>
      </c>
      <c r="X297" s="258" t="str">
        <f>IF(OR(X295="",X296=""),"",(X295-X296)/X296)</f>
        <v/>
      </c>
      <c r="Y297" s="767"/>
      <c r="Z297"/>
      <c r="AA297"/>
      <c r="AB297"/>
      <c r="AC297"/>
      <c r="AD297"/>
      <c r="AE297"/>
      <c r="AF297"/>
      <c r="AG297"/>
      <c r="AH297"/>
      <c r="AI297"/>
      <c r="AJ297"/>
      <c r="AK297"/>
    </row>
    <row r="298" spans="1:37" ht="14.1" customHeight="1">
      <c r="A298" s="17">
        <v>10</v>
      </c>
      <c r="B298" s="67"/>
      <c r="C298" s="440"/>
      <c r="D298" s="296">
        <f t="shared" si="52"/>
        <v>26</v>
      </c>
      <c r="E298" s="296">
        <f t="shared" si="52"/>
        <v>50</v>
      </c>
      <c r="F298" s="303" t="str">
        <f t="shared" si="52"/>
        <v/>
      </c>
      <c r="G298" s="303" t="str">
        <f t="shared" si="52"/>
        <v/>
      </c>
      <c r="H298" s="303" t="str">
        <f t="shared" si="52"/>
        <v/>
      </c>
      <c r="I298" s="297" t="str">
        <f t="shared" si="52"/>
        <v/>
      </c>
      <c r="J298" s="303" t="str">
        <f t="shared" si="52"/>
        <v/>
      </c>
      <c r="K298" s="420" t="str">
        <f t="shared" si="52"/>
        <v/>
      </c>
      <c r="M298" s="69"/>
      <c r="O298" s="462"/>
      <c r="P298" s="162" t="s">
        <v>273</v>
      </c>
      <c r="Q298" s="251" t="str">
        <f t="shared" ref="Q298:U298" si="54">IF(Q297="","",_xlfn.STDEV.S(Q293:Q296)/Q297)</f>
        <v/>
      </c>
      <c r="R298" s="251" t="str">
        <f t="shared" si="54"/>
        <v/>
      </c>
      <c r="S298" s="251" t="str">
        <f t="shared" si="54"/>
        <v/>
      </c>
      <c r="T298" s="251" t="str">
        <f t="shared" si="54"/>
        <v/>
      </c>
      <c r="U298" s="251" t="str">
        <f t="shared" si="54"/>
        <v/>
      </c>
      <c r="V298" s="761"/>
      <c r="W298" s="333"/>
      <c r="X298" s="333"/>
      <c r="Y298" s="767"/>
      <c r="Z298"/>
      <c r="AA298"/>
      <c r="AB298"/>
      <c r="AC298"/>
      <c r="AD298"/>
      <c r="AE298"/>
      <c r="AF298"/>
      <c r="AG298"/>
      <c r="AH298"/>
      <c r="AI298"/>
      <c r="AJ298"/>
      <c r="AK298"/>
    </row>
    <row r="299" spans="1:37" ht="14.1" customHeight="1">
      <c r="A299" s="17">
        <v>11</v>
      </c>
      <c r="B299" s="67"/>
      <c r="C299" s="440"/>
      <c r="D299" s="296">
        <f t="shared" si="52"/>
        <v>28</v>
      </c>
      <c r="E299" s="296">
        <f t="shared" si="52"/>
        <v>50</v>
      </c>
      <c r="F299" s="303" t="str">
        <f t="shared" si="52"/>
        <v/>
      </c>
      <c r="G299" s="303" t="str">
        <f t="shared" si="52"/>
        <v/>
      </c>
      <c r="H299" s="303" t="str">
        <f t="shared" si="52"/>
        <v/>
      </c>
      <c r="I299" s="297" t="str">
        <f t="shared" si="52"/>
        <v/>
      </c>
      <c r="J299" s="303" t="str">
        <f t="shared" si="52"/>
        <v/>
      </c>
      <c r="K299" s="420" t="str">
        <f t="shared" si="52"/>
        <v/>
      </c>
      <c r="M299" s="69"/>
      <c r="O299" s="462"/>
      <c r="P299" s="3" t="s">
        <v>203</v>
      </c>
      <c r="Q299" s="101" t="s">
        <v>314</v>
      </c>
      <c r="R299" s="68"/>
      <c r="S299" s="68"/>
      <c r="T299" s="68"/>
      <c r="U299" s="68"/>
      <c r="V299" s="68"/>
      <c r="W299" s="162" t="s">
        <v>315</v>
      </c>
      <c r="X299" s="248" t="str">
        <f>IF(X295="","",(X295-S297)/S297)</f>
        <v/>
      </c>
      <c r="Y299" s="767"/>
      <c r="Z299"/>
      <c r="AA299"/>
      <c r="AB299"/>
      <c r="AC299"/>
      <c r="AD299"/>
      <c r="AE299"/>
      <c r="AF299"/>
      <c r="AG299"/>
      <c r="AH299"/>
      <c r="AI299"/>
      <c r="AJ299"/>
      <c r="AK299"/>
    </row>
    <row r="300" spans="1:37" ht="14.1" customHeight="1" thickBot="1">
      <c r="A300" s="17">
        <v>12</v>
      </c>
      <c r="B300" s="67"/>
      <c r="C300" s="440"/>
      <c r="D300" s="296">
        <f t="shared" si="52"/>
        <v>30</v>
      </c>
      <c r="E300" s="296">
        <f t="shared" si="52"/>
        <v>50</v>
      </c>
      <c r="F300" s="303" t="str">
        <f t="shared" si="52"/>
        <v/>
      </c>
      <c r="G300" s="303" t="str">
        <f t="shared" si="52"/>
        <v/>
      </c>
      <c r="H300" s="303" t="str">
        <f t="shared" si="52"/>
        <v/>
      </c>
      <c r="I300" s="297" t="str">
        <f t="shared" si="52"/>
        <v/>
      </c>
      <c r="J300" s="303" t="str">
        <f t="shared" si="52"/>
        <v/>
      </c>
      <c r="K300" s="420" t="str">
        <f t="shared" si="52"/>
        <v/>
      </c>
      <c r="M300" s="69"/>
      <c r="O300" s="462"/>
      <c r="P300" s="193"/>
      <c r="Q300" s="101" t="s">
        <v>497</v>
      </c>
      <c r="R300" s="68"/>
      <c r="S300" s="68"/>
      <c r="T300" s="68"/>
      <c r="U300" s="68"/>
      <c r="V300" s="68"/>
      <c r="W300" s="162" t="s">
        <v>317</v>
      </c>
      <c r="X300" s="249" t="str">
        <f>IF(OR(X295="",Q297=""),"",3/(X295/Q297))</f>
        <v/>
      </c>
      <c r="Y300" s="767"/>
      <c r="Z300"/>
      <c r="AA300"/>
      <c r="AB300"/>
      <c r="AC300"/>
      <c r="AD300"/>
      <c r="AE300"/>
      <c r="AF300"/>
      <c r="AG300"/>
      <c r="AH300"/>
      <c r="AI300"/>
      <c r="AJ300"/>
      <c r="AK300"/>
    </row>
    <row r="301" spans="1:37" ht="14.1" customHeight="1" thickBot="1">
      <c r="A301" s="17">
        <v>13</v>
      </c>
      <c r="B301" s="67"/>
      <c r="C301" s="449"/>
      <c r="D301" s="443">
        <f t="shared" si="52"/>
        <v>32</v>
      </c>
      <c r="E301" s="443">
        <f t="shared" si="52"/>
        <v>50</v>
      </c>
      <c r="F301" s="444" t="str">
        <f t="shared" si="52"/>
        <v/>
      </c>
      <c r="G301" s="444" t="str">
        <f t="shared" si="52"/>
        <v/>
      </c>
      <c r="H301" s="444" t="str">
        <f t="shared" si="52"/>
        <v/>
      </c>
      <c r="I301" s="445" t="str">
        <f t="shared" si="52"/>
        <v/>
      </c>
      <c r="J301" s="444" t="str">
        <f t="shared" si="52"/>
        <v/>
      </c>
      <c r="K301" s="412" t="str">
        <f t="shared" si="52"/>
        <v/>
      </c>
      <c r="L301" s="377" t="str">
        <f>IF(K296="","",IF(MAX(K296:K301)&lt;0.05,"Pass","Fail"))</f>
        <v/>
      </c>
      <c r="M301" s="69"/>
      <c r="O301" s="462"/>
      <c r="P301" s="68"/>
      <c r="Q301" s="68"/>
      <c r="R301" s="68"/>
      <c r="S301" s="68"/>
      <c r="T301" s="68"/>
      <c r="U301" s="68"/>
      <c r="V301" s="68"/>
      <c r="W301" s="68"/>
      <c r="X301" s="68"/>
      <c r="Y301" s="767"/>
      <c r="Z301"/>
      <c r="AA301"/>
      <c r="AB301"/>
      <c r="AC301"/>
      <c r="AD301"/>
      <c r="AE301"/>
      <c r="AF301"/>
      <c r="AG301"/>
      <c r="AH301"/>
      <c r="AI301"/>
      <c r="AJ301"/>
      <c r="AK301"/>
    </row>
    <row r="302" spans="1:37" ht="14.1" customHeight="1">
      <c r="A302" s="17">
        <v>14</v>
      </c>
      <c r="B302" s="67"/>
      <c r="C302" s="450" t="str">
        <f>P378</f>
        <v>Mo/</v>
      </c>
      <c r="D302" s="418">
        <f t="shared" ref="D302:K306" si="55">IF(Q378="","",Q378)</f>
        <v>28</v>
      </c>
      <c r="E302" s="418">
        <f t="shared" si="55"/>
        <v>50</v>
      </c>
      <c r="F302" s="437" t="str">
        <f t="shared" si="55"/>
        <v/>
      </c>
      <c r="G302" s="437" t="str">
        <f t="shared" si="55"/>
        <v/>
      </c>
      <c r="H302" s="437" t="str">
        <f t="shared" si="55"/>
        <v/>
      </c>
      <c r="I302" s="438" t="str">
        <f t="shared" si="55"/>
        <v/>
      </c>
      <c r="J302" s="437" t="str">
        <f t="shared" si="55"/>
        <v/>
      </c>
      <c r="K302" s="439" t="str">
        <f t="shared" si="55"/>
        <v/>
      </c>
      <c r="M302" s="69"/>
      <c r="O302" s="462"/>
      <c r="P302" s="68"/>
      <c r="Q302" s="68"/>
      <c r="R302" s="68"/>
      <c r="S302" s="723" t="s">
        <v>274</v>
      </c>
      <c r="T302" s="723" t="s">
        <v>730</v>
      </c>
      <c r="U302" s="68"/>
      <c r="V302" s="68"/>
      <c r="W302" s="68"/>
      <c r="X302" s="68"/>
      <c r="Y302" s="767"/>
      <c r="Z302"/>
      <c r="AA302"/>
      <c r="AB302"/>
      <c r="AC302"/>
      <c r="AD302"/>
      <c r="AE302"/>
      <c r="AF302"/>
      <c r="AG302"/>
      <c r="AH302"/>
      <c r="AI302"/>
      <c r="AJ302"/>
      <c r="AK302"/>
    </row>
    <row r="303" spans="1:37" ht="14.1" customHeight="1" thickBot="1">
      <c r="A303" s="17">
        <v>15</v>
      </c>
      <c r="B303" s="67"/>
      <c r="C303" s="441"/>
      <c r="D303" s="296">
        <f t="shared" si="55"/>
        <v>30</v>
      </c>
      <c r="E303" s="296">
        <f t="shared" si="55"/>
        <v>50</v>
      </c>
      <c r="F303" s="303" t="str">
        <f t="shared" si="55"/>
        <v/>
      </c>
      <c r="G303" s="303" t="str">
        <f t="shared" si="55"/>
        <v/>
      </c>
      <c r="H303" s="303" t="str">
        <f t="shared" si="55"/>
        <v/>
      </c>
      <c r="I303" s="297" t="str">
        <f t="shared" si="55"/>
        <v/>
      </c>
      <c r="J303" s="303" t="str">
        <f t="shared" si="55"/>
        <v/>
      </c>
      <c r="K303" s="420" t="str">
        <f t="shared" si="55"/>
        <v/>
      </c>
      <c r="M303" s="69"/>
      <c r="O303" s="462"/>
      <c r="P303" s="68"/>
      <c r="Q303" s="723" t="s">
        <v>268</v>
      </c>
      <c r="R303" s="723" t="s">
        <v>71</v>
      </c>
      <c r="S303" s="68" t="s">
        <v>628</v>
      </c>
      <c r="T303" s="68" t="s">
        <v>628</v>
      </c>
      <c r="U303" s="68"/>
      <c r="V303" s="68"/>
      <c r="W303" s="68"/>
      <c r="X303" s="68"/>
      <c r="Y303" s="767"/>
      <c r="Z303"/>
      <c r="AA303"/>
      <c r="AB303"/>
      <c r="AC303"/>
      <c r="AD303"/>
      <c r="AE303"/>
      <c r="AF303"/>
      <c r="AG303"/>
      <c r="AH303"/>
      <c r="AI303"/>
      <c r="AJ303"/>
      <c r="AK303"/>
    </row>
    <row r="304" spans="1:37" ht="14.1" customHeight="1" thickBot="1">
      <c r="A304" s="17">
        <v>16</v>
      </c>
      <c r="B304" s="67"/>
      <c r="C304" s="441"/>
      <c r="D304" s="296">
        <f t="shared" si="55"/>
        <v>32</v>
      </c>
      <c r="E304" s="296">
        <f t="shared" si="55"/>
        <v>50</v>
      </c>
      <c r="F304" s="303" t="str">
        <f t="shared" si="55"/>
        <v/>
      </c>
      <c r="G304" s="303" t="str">
        <f t="shared" si="55"/>
        <v/>
      </c>
      <c r="H304" s="303" t="str">
        <f t="shared" si="55"/>
        <v/>
      </c>
      <c r="I304" s="297" t="str">
        <f t="shared" si="55"/>
        <v/>
      </c>
      <c r="J304" s="303" t="str">
        <f t="shared" si="55"/>
        <v/>
      </c>
      <c r="K304" s="420" t="str">
        <f t="shared" si="55"/>
        <v/>
      </c>
      <c r="M304" s="69"/>
      <c r="O304" s="462"/>
      <c r="P304" s="162" t="s">
        <v>625</v>
      </c>
      <c r="Q304" s="762">
        <f>T259</f>
        <v>0</v>
      </c>
      <c r="R304" s="763" t="str">
        <f>Q286</f>
        <v/>
      </c>
      <c r="S304" s="769" t="str">
        <f>S286</f>
        <v/>
      </c>
      <c r="T304" s="765" t="str">
        <f>X284</f>
        <v/>
      </c>
      <c r="U304" s="162" t="s">
        <v>217</v>
      </c>
      <c r="V304" s="377" t="str">
        <f>IF(T306="","",IF(T306&lt;=3,"Pass","Fail"))</f>
        <v/>
      </c>
      <c r="W304" s="68"/>
      <c r="X304" s="68"/>
      <c r="Y304" s="767"/>
      <c r="Z304"/>
      <c r="AA304"/>
      <c r="AB304"/>
      <c r="AC304"/>
      <c r="AD304"/>
      <c r="AE304"/>
      <c r="AF304"/>
      <c r="AG304"/>
      <c r="AH304"/>
      <c r="AI304"/>
      <c r="AJ304"/>
      <c r="AK304"/>
    </row>
    <row r="305" spans="1:37" ht="14.1" customHeight="1" thickBot="1">
      <c r="A305" s="17">
        <v>17</v>
      </c>
      <c r="B305" s="67"/>
      <c r="C305" s="441"/>
      <c r="D305" s="296">
        <f t="shared" si="55"/>
        <v>34</v>
      </c>
      <c r="E305" s="296">
        <f t="shared" si="55"/>
        <v>50</v>
      </c>
      <c r="F305" s="303" t="str">
        <f t="shared" si="55"/>
        <v/>
      </c>
      <c r="G305" s="303" t="str">
        <f t="shared" si="55"/>
        <v/>
      </c>
      <c r="H305" s="303" t="str">
        <f t="shared" si="55"/>
        <v/>
      </c>
      <c r="I305" s="297" t="str">
        <f t="shared" si="55"/>
        <v/>
      </c>
      <c r="J305" s="303" t="str">
        <f t="shared" si="55"/>
        <v/>
      </c>
      <c r="K305" s="420" t="str">
        <f t="shared" si="55"/>
        <v/>
      </c>
      <c r="M305" s="69"/>
      <c r="O305" s="462"/>
      <c r="P305" s="162" t="s">
        <v>626</v>
      </c>
      <c r="Q305" s="351">
        <f>T259</f>
        <v>0</v>
      </c>
      <c r="R305" s="764" t="str">
        <f>Q297</f>
        <v/>
      </c>
      <c r="S305" s="770" t="str">
        <f>S297</f>
        <v/>
      </c>
      <c r="T305" s="766" t="str">
        <f>X295</f>
        <v/>
      </c>
      <c r="U305" s="68"/>
      <c r="V305" s="68"/>
      <c r="W305" s="68"/>
      <c r="X305" s="68"/>
      <c r="Y305" s="767"/>
      <c r="Z305"/>
      <c r="AA305"/>
      <c r="AB305"/>
      <c r="AC305"/>
      <c r="AD305"/>
      <c r="AE305"/>
      <c r="AF305"/>
      <c r="AG305"/>
      <c r="AH305"/>
      <c r="AI305"/>
      <c r="AJ305"/>
      <c r="AK305"/>
    </row>
    <row r="306" spans="1:37" ht="14.1" customHeight="1" thickBot="1">
      <c r="A306" s="17">
        <v>18</v>
      </c>
      <c r="B306" s="67"/>
      <c r="C306" s="442"/>
      <c r="D306" s="443">
        <f t="shared" si="55"/>
        <v>36</v>
      </c>
      <c r="E306" s="443">
        <f t="shared" si="55"/>
        <v>50</v>
      </c>
      <c r="F306" s="444" t="str">
        <f t="shared" si="55"/>
        <v/>
      </c>
      <c r="G306" s="444" t="str">
        <f t="shared" si="55"/>
        <v/>
      </c>
      <c r="H306" s="444" t="str">
        <f t="shared" si="55"/>
        <v/>
      </c>
      <c r="I306" s="445" t="str">
        <f t="shared" si="55"/>
        <v/>
      </c>
      <c r="J306" s="444" t="str">
        <f t="shared" si="55"/>
        <v/>
      </c>
      <c r="K306" s="412" t="str">
        <f t="shared" si="55"/>
        <v/>
      </c>
      <c r="L306" s="723"/>
      <c r="M306" s="69"/>
      <c r="O306" s="462"/>
      <c r="P306" s="68"/>
      <c r="Q306" s="68"/>
      <c r="R306" s="162" t="s">
        <v>629</v>
      </c>
      <c r="S306" s="743" t="str">
        <f>IF(OR(S304="",S305=""),"",S304+S305)</f>
        <v/>
      </c>
      <c r="T306" s="743" t="str">
        <f>IF(OR(T304="",T305=""),"",T304+T305)</f>
        <v/>
      </c>
      <c r="U306" s="68" t="s">
        <v>341</v>
      </c>
      <c r="V306" s="68"/>
      <c r="W306" s="68"/>
      <c r="X306" s="68"/>
      <c r="Y306" s="767"/>
      <c r="Z306"/>
      <c r="AA306"/>
      <c r="AB306"/>
      <c r="AC306"/>
      <c r="AD306"/>
      <c r="AE306"/>
      <c r="AF306"/>
      <c r="AG306"/>
      <c r="AH306"/>
      <c r="AI306"/>
      <c r="AJ306"/>
      <c r="AK306"/>
    </row>
    <row r="307" spans="1:37" ht="14.1" customHeight="1">
      <c r="A307" s="17">
        <v>19</v>
      </c>
      <c r="B307" s="67"/>
      <c r="C307" s="441" t="str">
        <f>P384</f>
        <v>/</v>
      </c>
      <c r="D307" s="414">
        <f t="shared" ref="D307:K311" si="56">IF(Q384="","",Q384)</f>
        <v>28</v>
      </c>
      <c r="E307" s="414">
        <f t="shared" si="56"/>
        <v>50</v>
      </c>
      <c r="F307" s="446" t="str">
        <f t="shared" si="56"/>
        <v/>
      </c>
      <c r="G307" s="446" t="str">
        <f t="shared" si="56"/>
        <v/>
      </c>
      <c r="H307" s="446" t="str">
        <f t="shared" si="56"/>
        <v/>
      </c>
      <c r="I307" s="447" t="str">
        <f t="shared" si="56"/>
        <v/>
      </c>
      <c r="J307" s="446" t="str">
        <f t="shared" si="56"/>
        <v/>
      </c>
      <c r="K307" s="448" t="str">
        <f t="shared" si="56"/>
        <v/>
      </c>
      <c r="M307" s="69"/>
      <c r="O307" s="462"/>
      <c r="P307" s="3" t="s">
        <v>203</v>
      </c>
      <c r="Q307" s="101" t="s">
        <v>314</v>
      </c>
      <c r="R307" s="68"/>
      <c r="S307" s="68"/>
      <c r="T307" s="68"/>
      <c r="U307" s="68"/>
      <c r="V307" s="68"/>
      <c r="W307" s="68"/>
      <c r="X307" s="68"/>
      <c r="Y307" s="767"/>
      <c r="Z307"/>
      <c r="AA307"/>
      <c r="AB307"/>
      <c r="AC307"/>
      <c r="AD307"/>
      <c r="AE307"/>
      <c r="AF307"/>
      <c r="AG307"/>
      <c r="AH307"/>
      <c r="AI307"/>
      <c r="AJ307"/>
      <c r="AK307"/>
    </row>
    <row r="308" spans="1:37" ht="14.1" customHeight="1" thickBot="1">
      <c r="A308" s="17">
        <v>20</v>
      </c>
      <c r="B308" s="67"/>
      <c r="C308" s="441"/>
      <c r="D308" s="296">
        <f t="shared" si="56"/>
        <v>30</v>
      </c>
      <c r="E308" s="296">
        <f t="shared" si="56"/>
        <v>50</v>
      </c>
      <c r="F308" s="303" t="str">
        <f t="shared" si="56"/>
        <v/>
      </c>
      <c r="G308" s="303" t="str">
        <f t="shared" si="56"/>
        <v/>
      </c>
      <c r="H308" s="303" t="str">
        <f t="shared" si="56"/>
        <v/>
      </c>
      <c r="I308" s="297" t="str">
        <f t="shared" si="56"/>
        <v/>
      </c>
      <c r="J308" s="303" t="str">
        <f t="shared" si="56"/>
        <v/>
      </c>
      <c r="K308" s="420"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6"/>
        <v>32</v>
      </c>
      <c r="E309" s="296">
        <f t="shared" si="56"/>
        <v>50</v>
      </c>
      <c r="F309" s="303" t="str">
        <f t="shared" si="56"/>
        <v/>
      </c>
      <c r="G309" s="303" t="str">
        <f t="shared" si="56"/>
        <v/>
      </c>
      <c r="H309" s="303" t="str">
        <f t="shared" si="56"/>
        <v/>
      </c>
      <c r="I309" s="297" t="str">
        <f t="shared" si="56"/>
        <v/>
      </c>
      <c r="J309" s="303" t="str">
        <f t="shared" si="56"/>
        <v/>
      </c>
      <c r="K309" s="420" t="str">
        <f t="shared" si="56"/>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6"/>
        <v>34</v>
      </c>
      <c r="E310" s="296">
        <f t="shared" si="56"/>
        <v>50</v>
      </c>
      <c r="F310" s="303" t="str">
        <f t="shared" si="56"/>
        <v/>
      </c>
      <c r="G310" s="303" t="str">
        <f t="shared" si="56"/>
        <v/>
      </c>
      <c r="H310" s="303" t="str">
        <f t="shared" si="56"/>
        <v/>
      </c>
      <c r="I310" s="297" t="str">
        <f t="shared" si="56"/>
        <v/>
      </c>
      <c r="J310" s="303" t="str">
        <f t="shared" si="56"/>
        <v/>
      </c>
      <c r="K310" s="420" t="str">
        <f t="shared" si="56"/>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6"/>
        <v>38</v>
      </c>
      <c r="E311" s="443">
        <f t="shared" si="56"/>
        <v>50</v>
      </c>
      <c r="F311" s="444" t="str">
        <f t="shared" si="56"/>
        <v/>
      </c>
      <c r="G311" s="444" t="str">
        <f t="shared" si="56"/>
        <v/>
      </c>
      <c r="H311" s="444" t="str">
        <f t="shared" si="56"/>
        <v/>
      </c>
      <c r="I311" s="445" t="str">
        <f t="shared" si="56"/>
        <v/>
      </c>
      <c r="J311" s="444" t="str">
        <f t="shared" si="56"/>
        <v/>
      </c>
      <c r="K311" s="412" t="str">
        <f t="shared" si="56"/>
        <v/>
      </c>
      <c r="L311" s="377" t="str">
        <f>IF(K307="","",IF(MAX(K307:K311)&lt;0.05,"Pass","Fail"))</f>
        <v/>
      </c>
      <c r="M311" s="69"/>
      <c r="O311" s="30"/>
      <c r="P311" s="68"/>
      <c r="Q311" s="162" t="s">
        <v>568</v>
      </c>
      <c r="R311" s="680">
        <v>108</v>
      </c>
      <c r="S311" s="723" t="s">
        <v>320</v>
      </c>
      <c r="T311" s="723"/>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20" t="s">
        <v>566</v>
      </c>
      <c r="Q312" s="721" t="s">
        <v>565</v>
      </c>
      <c r="R312" s="722" t="s">
        <v>290</v>
      </c>
      <c r="S312" s="720" t="s">
        <v>566</v>
      </c>
      <c r="T312" s="722"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1"/>
      <c r="Q313" s="145"/>
      <c r="R313" s="339" t="str">
        <f>IF(OR(P313="",Q313=""),"",IF(AND(ABS($R$310-P313)&lt;=$R$310*0.02,ABS($R$311-Q313)&lt;=$R$311*0.02),"Pass","Fail"))</f>
        <v/>
      </c>
      <c r="S313" s="771" t="str">
        <f>IF(AB124="","",AB124)</f>
        <v/>
      </c>
      <c r="T313" s="772"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1"/>
      <c r="Q314" s="145"/>
      <c r="R314" s="339" t="str">
        <f>IF(OR(P314="",Q314=""),"",IF(AND(ABS($R$310-P314)&lt;=$R$310*0.02,ABS($R$311-Q314)&lt;=$R$311*0.02),"Pass","Fail"))</f>
        <v/>
      </c>
      <c r="S314" s="771" t="str">
        <f>IF(AB126="","",AB126)</f>
        <v/>
      </c>
      <c r="T314" s="772"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2"/>
      <c r="Q315" s="683"/>
      <c r="R315" s="388" t="str">
        <f>IF(OR(P315="",Q315=""),"",IF(AND(ABS($R$310-P315)&lt;=$R$310*0.02,ABS($R$311-Q315)&lt;=$R$311*0.02),"Pass","Fail"))</f>
        <v/>
      </c>
      <c r="S315" s="773" t="str">
        <f>IF(AB128="","",AB128)</f>
        <v/>
      </c>
      <c r="T315" s="774"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95" t="s">
        <v>589</v>
      </c>
      <c r="P319" s="684" t="s">
        <v>585</v>
      </c>
      <c r="Q319" s="748">
        <f>U319-2</f>
        <v>-2</v>
      </c>
      <c r="R319" s="684" t="s">
        <v>584</v>
      </c>
      <c r="S319" s="748">
        <f>U319-1</f>
        <v>-1</v>
      </c>
      <c r="T319" s="684" t="s">
        <v>586</v>
      </c>
      <c r="U319" s="685"/>
      <c r="V319" s="684" t="s">
        <v>587</v>
      </c>
      <c r="W319" s="748">
        <f>U319+1</f>
        <v>1</v>
      </c>
      <c r="X319" s="684" t="s">
        <v>588</v>
      </c>
      <c r="Y319" s="749">
        <f>U319+2</f>
        <v>2</v>
      </c>
      <c r="Z319"/>
      <c r="AA319"/>
      <c r="AB319"/>
      <c r="AC319"/>
      <c r="AD319"/>
      <c r="AE319"/>
      <c r="AF319"/>
      <c r="AG319"/>
      <c r="AH319"/>
      <c r="AI319"/>
      <c r="AJ319"/>
      <c r="AK319"/>
    </row>
    <row r="320" spans="1:37" ht="14.1" customHeight="1">
      <c r="A320" s="17">
        <v>32</v>
      </c>
      <c r="B320" s="67"/>
      <c r="M320" s="69"/>
      <c r="O320" s="696" t="s">
        <v>581</v>
      </c>
      <c r="P320" s="296" t="s">
        <v>577</v>
      </c>
      <c r="Q320" s="296" t="s">
        <v>283</v>
      </c>
      <c r="R320" s="296" t="s">
        <v>577</v>
      </c>
      <c r="S320" s="296" t="s">
        <v>283</v>
      </c>
      <c r="T320" s="296" t="s">
        <v>577</v>
      </c>
      <c r="U320" s="296" t="s">
        <v>283</v>
      </c>
      <c r="V320" s="296" t="s">
        <v>577</v>
      </c>
      <c r="W320" s="296" t="s">
        <v>283</v>
      </c>
      <c r="X320" s="296" t="s">
        <v>577</v>
      </c>
      <c r="Y320" s="706" t="s">
        <v>283</v>
      </c>
      <c r="Z320"/>
      <c r="AA320"/>
      <c r="AB320"/>
      <c r="AC320"/>
      <c r="AD320"/>
      <c r="AE320"/>
      <c r="AF320"/>
      <c r="AG320"/>
      <c r="AH320"/>
      <c r="AI320"/>
      <c r="AJ320"/>
      <c r="AK320"/>
    </row>
    <row r="321" spans="1:37" ht="14.1" customHeight="1">
      <c r="A321" s="17">
        <v>33</v>
      </c>
      <c r="B321" s="67"/>
      <c r="M321" s="69"/>
      <c r="O321" s="697">
        <v>1</v>
      </c>
      <c r="P321" s="686"/>
      <c r="Q321" s="686"/>
      <c r="R321" s="686"/>
      <c r="S321" s="686"/>
      <c r="T321" s="686"/>
      <c r="U321" s="686"/>
      <c r="V321" s="686"/>
      <c r="W321" s="686"/>
      <c r="X321" s="686"/>
      <c r="Y321" s="698"/>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97">
        <v>2</v>
      </c>
      <c r="P322" s="686"/>
      <c r="Q322" s="686"/>
      <c r="R322" s="686"/>
      <c r="S322" s="686"/>
      <c r="T322" s="686"/>
      <c r="U322" s="686"/>
      <c r="V322" s="686"/>
      <c r="W322" s="686"/>
      <c r="X322" s="686"/>
      <c r="Y322" s="698"/>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97">
        <v>3</v>
      </c>
      <c r="P323" s="686"/>
      <c r="Q323" s="686"/>
      <c r="R323" s="686"/>
      <c r="S323" s="686"/>
      <c r="T323" s="686"/>
      <c r="U323" s="686"/>
      <c r="V323" s="686"/>
      <c r="W323" s="686"/>
      <c r="X323" s="686"/>
      <c r="Y323" s="698"/>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97">
        <v>4</v>
      </c>
      <c r="P324" s="686"/>
      <c r="Q324" s="686"/>
      <c r="R324" s="686"/>
      <c r="S324" s="686"/>
      <c r="T324" s="686"/>
      <c r="U324" s="686"/>
      <c r="V324" s="686"/>
      <c r="W324" s="686"/>
      <c r="X324" s="686"/>
      <c r="Y324" s="698"/>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32">
        <v>5</v>
      </c>
      <c r="P325" s="733"/>
      <c r="Q325" s="733"/>
      <c r="R325" s="733"/>
      <c r="S325" s="733"/>
      <c r="T325" s="733"/>
      <c r="U325" s="733"/>
      <c r="V325" s="733"/>
      <c r="W325" s="733"/>
      <c r="X325" s="733"/>
      <c r="Y325" s="734"/>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35">
        <v>6</v>
      </c>
      <c r="P326" s="736"/>
      <c r="Q326" s="737"/>
      <c r="R326" s="736"/>
      <c r="S326" s="737"/>
      <c r="T326" s="736"/>
      <c r="U326" s="737"/>
      <c r="V326" s="736"/>
      <c r="W326" s="737"/>
      <c r="X326" s="736"/>
      <c r="Y326" s="738"/>
    </row>
    <row r="327" spans="1:37" ht="14.1" customHeight="1">
      <c r="A327" s="17">
        <v>39</v>
      </c>
      <c r="B327" s="67"/>
      <c r="C327" s="68"/>
      <c r="D327" s="68"/>
      <c r="E327" s="68"/>
      <c r="F327" s="68"/>
      <c r="G327" s="68"/>
      <c r="H327" s="68"/>
      <c r="I327" s="68"/>
      <c r="J327" s="68"/>
      <c r="K327" s="68"/>
      <c r="L327" s="68"/>
      <c r="M327" s="69"/>
      <c r="O327" s="699" t="s">
        <v>582</v>
      </c>
      <c r="P327" s="684" t="s">
        <v>585</v>
      </c>
      <c r="Q327" s="748">
        <f>U327-2</f>
        <v>-2</v>
      </c>
      <c r="R327" s="684" t="s">
        <v>584</v>
      </c>
      <c r="S327" s="748">
        <f>U327-1</f>
        <v>-1</v>
      </c>
      <c r="T327" s="684" t="s">
        <v>586</v>
      </c>
      <c r="U327" s="685"/>
      <c r="V327" s="684" t="s">
        <v>587</v>
      </c>
      <c r="W327" s="748">
        <f>U327+1</f>
        <v>1</v>
      </c>
      <c r="X327" s="684" t="s">
        <v>588</v>
      </c>
      <c r="Y327" s="749">
        <f>U327+2</f>
        <v>2</v>
      </c>
    </row>
    <row r="328" spans="1:37" ht="14.1" customHeight="1">
      <c r="A328" s="17">
        <v>40</v>
      </c>
      <c r="B328" s="67"/>
      <c r="C328" s="68"/>
      <c r="D328" s="68"/>
      <c r="E328" s="68"/>
      <c r="F328" s="68"/>
      <c r="G328" s="68"/>
      <c r="H328" s="68"/>
      <c r="I328" s="68"/>
      <c r="J328" s="68"/>
      <c r="K328" s="68"/>
      <c r="L328" s="68"/>
      <c r="M328" s="69"/>
      <c r="O328" s="697">
        <v>1</v>
      </c>
      <c r="P328" s="686"/>
      <c r="Q328" s="686"/>
      <c r="R328" s="686"/>
      <c r="S328" s="686"/>
      <c r="T328" s="686"/>
      <c r="U328" s="686"/>
      <c r="V328" s="686"/>
      <c r="W328" s="686"/>
      <c r="X328" s="686"/>
      <c r="Y328" s="698"/>
    </row>
    <row r="329" spans="1:37" ht="14.1" customHeight="1">
      <c r="A329" s="17">
        <v>41</v>
      </c>
      <c r="B329" s="67"/>
      <c r="C329" s="68"/>
      <c r="D329" s="68"/>
      <c r="E329" s="68"/>
      <c r="F329" s="68"/>
      <c r="G329" s="68"/>
      <c r="H329" s="68"/>
      <c r="I329" s="68"/>
      <c r="J329" s="68"/>
      <c r="K329" s="68"/>
      <c r="L329" s="68"/>
      <c r="M329" s="69"/>
      <c r="O329" s="697">
        <v>2</v>
      </c>
      <c r="P329" s="686"/>
      <c r="Q329" s="686"/>
      <c r="R329" s="686"/>
      <c r="S329" s="686"/>
      <c r="T329" s="686"/>
      <c r="U329" s="686"/>
      <c r="V329" s="686"/>
      <c r="W329" s="686"/>
      <c r="X329" s="686"/>
      <c r="Y329" s="698"/>
    </row>
    <row r="330" spans="1:37" ht="14.1" customHeight="1">
      <c r="A330" s="17">
        <v>42</v>
      </c>
      <c r="B330" s="67"/>
      <c r="C330" s="68"/>
      <c r="D330" s="68"/>
      <c r="E330" s="68"/>
      <c r="F330" s="68"/>
      <c r="G330" s="68"/>
      <c r="H330" s="68"/>
      <c r="I330" s="68"/>
      <c r="J330" s="68"/>
      <c r="K330" s="68"/>
      <c r="L330" s="68"/>
      <c r="M330" s="69"/>
      <c r="O330" s="697">
        <v>3</v>
      </c>
      <c r="P330" s="686"/>
      <c r="Q330" s="686"/>
      <c r="R330" s="686"/>
      <c r="S330" s="686"/>
      <c r="T330" s="686"/>
      <c r="U330" s="686"/>
      <c r="V330" s="686"/>
      <c r="W330" s="686"/>
      <c r="X330" s="686"/>
      <c r="Y330" s="698"/>
    </row>
    <row r="331" spans="1:37" ht="14.1" customHeight="1">
      <c r="A331" s="17">
        <v>43</v>
      </c>
      <c r="B331" s="67"/>
      <c r="C331" s="68"/>
      <c r="D331" s="68"/>
      <c r="E331" s="68"/>
      <c r="F331" s="68"/>
      <c r="G331" s="68"/>
      <c r="H331" s="68"/>
      <c r="I331" s="68"/>
      <c r="J331" s="68"/>
      <c r="K331" s="68"/>
      <c r="L331" s="68"/>
      <c r="M331" s="69"/>
      <c r="O331" s="697">
        <v>4</v>
      </c>
      <c r="P331" s="686"/>
      <c r="Q331" s="686"/>
      <c r="R331" s="686"/>
      <c r="S331" s="686"/>
      <c r="T331" s="686"/>
      <c r="U331" s="686"/>
      <c r="V331" s="686"/>
      <c r="W331" s="686"/>
      <c r="X331" s="686"/>
      <c r="Y331" s="698"/>
    </row>
    <row r="332" spans="1:37" ht="14.1" customHeight="1">
      <c r="A332" s="17">
        <v>44</v>
      </c>
      <c r="B332" s="67"/>
      <c r="C332" s="68"/>
      <c r="D332" s="68"/>
      <c r="E332" s="68"/>
      <c r="F332" s="68"/>
      <c r="G332" s="68"/>
      <c r="H332" s="68"/>
      <c r="I332" s="68"/>
      <c r="J332" s="68"/>
      <c r="K332" s="68"/>
      <c r="L332" s="68"/>
      <c r="M332" s="69"/>
      <c r="O332" s="732">
        <v>5</v>
      </c>
      <c r="P332" s="733"/>
      <c r="Q332" s="733"/>
      <c r="R332" s="733"/>
      <c r="S332" s="733"/>
      <c r="T332" s="733"/>
      <c r="U332" s="733"/>
      <c r="V332" s="733"/>
      <c r="W332" s="733"/>
      <c r="X332" s="733"/>
      <c r="Y332" s="734"/>
    </row>
    <row r="333" spans="1:37" ht="14.1" customHeight="1" thickBot="1">
      <c r="A333" s="17">
        <v>45</v>
      </c>
      <c r="B333" s="67"/>
      <c r="C333" s="68"/>
      <c r="D333" s="68"/>
      <c r="E333" s="68"/>
      <c r="F333" s="68"/>
      <c r="G333" s="68"/>
      <c r="H333" s="68"/>
      <c r="I333" s="68"/>
      <c r="J333" s="68"/>
      <c r="K333" s="68"/>
      <c r="L333" s="68"/>
      <c r="M333" s="69"/>
      <c r="O333" s="735">
        <v>6</v>
      </c>
      <c r="P333" s="736"/>
      <c r="Q333" s="737"/>
      <c r="R333" s="736"/>
      <c r="S333" s="737"/>
      <c r="T333" s="736"/>
      <c r="U333" s="737"/>
      <c r="V333" s="736"/>
      <c r="W333" s="737"/>
      <c r="X333" s="736"/>
      <c r="Y333" s="738"/>
    </row>
    <row r="334" spans="1:37" ht="14.1" customHeight="1">
      <c r="A334" s="17">
        <v>46</v>
      </c>
      <c r="B334" s="67"/>
      <c r="C334" s="68"/>
      <c r="D334" s="68"/>
      <c r="E334" s="68"/>
      <c r="F334" s="68"/>
      <c r="G334" s="68"/>
      <c r="H334" s="68"/>
      <c r="I334" s="68"/>
      <c r="J334" s="68"/>
      <c r="K334" s="68"/>
      <c r="L334" s="68"/>
      <c r="M334" s="69"/>
      <c r="O334" s="699" t="s">
        <v>583</v>
      </c>
      <c r="P334" s="684" t="s">
        <v>585</v>
      </c>
      <c r="Q334" s="748">
        <f>U334-2</f>
        <v>-2</v>
      </c>
      <c r="R334" s="684" t="s">
        <v>584</v>
      </c>
      <c r="S334" s="748">
        <f>U334-1</f>
        <v>-1</v>
      </c>
      <c r="T334" s="684" t="s">
        <v>586</v>
      </c>
      <c r="U334" s="685"/>
      <c r="V334" s="684" t="s">
        <v>587</v>
      </c>
      <c r="W334" s="748">
        <f>U334+1</f>
        <v>1</v>
      </c>
      <c r="X334" s="684" t="s">
        <v>588</v>
      </c>
      <c r="Y334" s="749">
        <f>U334+2</f>
        <v>2</v>
      </c>
    </row>
    <row r="335" spans="1:37" ht="14.1" customHeight="1">
      <c r="A335" s="17">
        <v>47</v>
      </c>
      <c r="B335" s="67"/>
      <c r="C335" s="68"/>
      <c r="D335" s="68"/>
      <c r="E335" s="68"/>
      <c r="F335" s="68"/>
      <c r="G335" s="68"/>
      <c r="H335" s="68"/>
      <c r="I335" s="68"/>
      <c r="J335" s="68"/>
      <c r="K335" s="68"/>
      <c r="L335" s="68"/>
      <c r="M335" s="69"/>
      <c r="O335" s="697">
        <v>1</v>
      </c>
      <c r="P335" s="686"/>
      <c r="Q335" s="686"/>
      <c r="R335" s="686"/>
      <c r="S335" s="686"/>
      <c r="T335" s="686"/>
      <c r="U335" s="686"/>
      <c r="V335" s="686"/>
      <c r="W335" s="686"/>
      <c r="X335" s="686"/>
      <c r="Y335" s="698"/>
    </row>
    <row r="336" spans="1:37" ht="14.1" customHeight="1">
      <c r="A336" s="17">
        <v>48</v>
      </c>
      <c r="B336" s="67"/>
      <c r="C336" s="68"/>
      <c r="D336" s="68"/>
      <c r="E336" s="68"/>
      <c r="F336" s="68"/>
      <c r="G336" s="68"/>
      <c r="H336" s="68"/>
      <c r="I336" s="68"/>
      <c r="J336" s="68"/>
      <c r="K336" s="68"/>
      <c r="L336" s="68"/>
      <c r="M336" s="69"/>
      <c r="O336" s="697">
        <v>2</v>
      </c>
      <c r="P336" s="686"/>
      <c r="Q336" s="686"/>
      <c r="R336" s="686"/>
      <c r="S336" s="686"/>
      <c r="T336" s="686"/>
      <c r="U336" s="686"/>
      <c r="V336" s="686"/>
      <c r="W336" s="686"/>
      <c r="X336" s="686"/>
      <c r="Y336" s="698"/>
    </row>
    <row r="337" spans="1:25" ht="14.1" customHeight="1">
      <c r="A337" s="17">
        <v>49</v>
      </c>
      <c r="B337" s="67"/>
      <c r="M337" s="69"/>
      <c r="O337" s="697">
        <v>3</v>
      </c>
      <c r="P337" s="686"/>
      <c r="Q337" s="686"/>
      <c r="R337" s="686"/>
      <c r="S337" s="686"/>
      <c r="T337" s="686"/>
      <c r="U337" s="686"/>
      <c r="V337" s="686"/>
      <c r="W337" s="686"/>
      <c r="X337" s="686"/>
      <c r="Y337" s="698"/>
    </row>
    <row r="338" spans="1:25" ht="14.1" customHeight="1">
      <c r="A338" s="17">
        <v>50</v>
      </c>
      <c r="B338" s="67"/>
      <c r="M338" s="69"/>
      <c r="O338" s="697">
        <v>4</v>
      </c>
      <c r="P338" s="686"/>
      <c r="Q338" s="686"/>
      <c r="R338" s="686"/>
      <c r="S338" s="686"/>
      <c r="T338" s="686"/>
      <c r="U338" s="686"/>
      <c r="V338" s="686"/>
      <c r="W338" s="686"/>
      <c r="X338" s="686"/>
      <c r="Y338" s="698"/>
    </row>
    <row r="339" spans="1:25" ht="14.1" customHeight="1">
      <c r="A339" s="17">
        <v>51</v>
      </c>
      <c r="B339" s="67"/>
      <c r="M339" s="69"/>
      <c r="O339" s="732">
        <v>5</v>
      </c>
      <c r="P339" s="733"/>
      <c r="Q339" s="733"/>
      <c r="R339" s="733"/>
      <c r="S339" s="733"/>
      <c r="T339" s="733"/>
      <c r="U339" s="733"/>
      <c r="V339" s="733"/>
      <c r="W339" s="733"/>
      <c r="X339" s="733"/>
      <c r="Y339" s="734"/>
    </row>
    <row r="340" spans="1:25" ht="14.1" customHeight="1" thickBot="1">
      <c r="A340" s="17">
        <v>52</v>
      </c>
      <c r="B340" s="67"/>
      <c r="M340" s="69"/>
      <c r="O340" s="735">
        <v>6</v>
      </c>
      <c r="P340" s="736"/>
      <c r="Q340" s="737"/>
      <c r="R340" s="736"/>
      <c r="S340" s="737"/>
      <c r="T340" s="736"/>
      <c r="U340" s="737"/>
      <c r="V340" s="736"/>
      <c r="W340" s="737"/>
      <c r="X340" s="736"/>
      <c r="Y340" s="738"/>
    </row>
    <row r="341" spans="1:25" ht="14.1" customHeight="1" thickBot="1">
      <c r="A341" s="17">
        <v>53</v>
      </c>
      <c r="B341" s="67"/>
      <c r="M341" s="69"/>
      <c r="O341" s="880"/>
      <c r="P341" s="881"/>
      <c r="Q341" s="881"/>
      <c r="R341" s="881"/>
      <c r="S341" s="881"/>
      <c r="T341" s="881"/>
      <c r="U341" s="881"/>
      <c r="V341" s="881"/>
      <c r="W341" s="881"/>
      <c r="X341" s="881"/>
      <c r="Y341" s="882"/>
    </row>
    <row r="342" spans="1:25" ht="14.1" customHeight="1" thickBot="1">
      <c r="A342" s="17">
        <v>54</v>
      </c>
      <c r="B342" s="67"/>
      <c r="C342" s="146" t="s">
        <v>339</v>
      </c>
      <c r="D342" s="68"/>
      <c r="E342" s="68"/>
      <c r="F342" s="68"/>
      <c r="G342" s="68"/>
      <c r="H342" s="68"/>
      <c r="I342" s="68"/>
      <c r="J342" s="68"/>
      <c r="K342" s="68"/>
      <c r="L342" s="68"/>
      <c r="M342" s="69"/>
      <c r="O342" s="30"/>
      <c r="P342" s="720" t="s">
        <v>581</v>
      </c>
      <c r="Q342" s="721"/>
      <c r="R342" s="721"/>
      <c r="S342" s="721" t="s">
        <v>582</v>
      </c>
      <c r="T342" s="721"/>
      <c r="U342" s="721"/>
      <c r="V342" s="721" t="s">
        <v>583</v>
      </c>
      <c r="W342" s="721"/>
      <c r="X342" s="722"/>
      <c r="Y342" s="32"/>
    </row>
    <row r="343" spans="1:25" ht="14.1" customHeight="1" thickBot="1">
      <c r="A343" s="17">
        <v>55</v>
      </c>
      <c r="B343" s="67"/>
      <c r="C343" s="162"/>
      <c r="D343" s="320" t="s">
        <v>94</v>
      </c>
      <c r="E343" s="321" t="str">
        <f>Q392</f>
        <v>Mo/Mo</v>
      </c>
      <c r="F343" s="452" t="s">
        <v>172</v>
      </c>
      <c r="G343" s="457">
        <f>S392</f>
        <v>28</v>
      </c>
      <c r="H343" s="24"/>
      <c r="I343" s="320" t="s">
        <v>94</v>
      </c>
      <c r="J343" s="321" t="str">
        <f>V392</f>
        <v>/</v>
      </c>
      <c r="K343" s="322" t="s">
        <v>172</v>
      </c>
      <c r="L343" s="575">
        <f>X392</f>
        <v>28</v>
      </c>
      <c r="M343" s="472"/>
      <c r="O343" s="30"/>
      <c r="P343" s="338" t="s">
        <v>578</v>
      </c>
      <c r="Q343" s="296" t="s">
        <v>579</v>
      </c>
      <c r="R343" s="296" t="s">
        <v>580</v>
      </c>
      <c r="S343" s="296" t="s">
        <v>578</v>
      </c>
      <c r="T343" s="296" t="s">
        <v>579</v>
      </c>
      <c r="U343" s="296" t="s">
        <v>580</v>
      </c>
      <c r="V343" s="296" t="s">
        <v>578</v>
      </c>
      <c r="W343" s="296" t="s">
        <v>579</v>
      </c>
      <c r="X343" s="339" t="s">
        <v>580</v>
      </c>
      <c r="Y343" s="32"/>
    </row>
    <row r="344" spans="1:25" ht="14.1" customHeight="1">
      <c r="A344" s="17">
        <v>56</v>
      </c>
      <c r="B344" s="67"/>
      <c r="C344" s="162"/>
      <c r="D344" s="462"/>
      <c r="E344" s="68"/>
      <c r="F344" s="162" t="s">
        <v>218</v>
      </c>
      <c r="G344" s="576">
        <f>S393</f>
        <v>50</v>
      </c>
      <c r="H344" s="209"/>
      <c r="I344" s="68"/>
      <c r="J344" s="68"/>
      <c r="K344" s="162" t="s">
        <v>218</v>
      </c>
      <c r="L344" s="576">
        <f>X393</f>
        <v>50</v>
      </c>
      <c r="M344" s="69"/>
      <c r="O344" s="700" t="s">
        <v>573</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24</v>
      </c>
      <c r="E345" s="329" t="s">
        <v>25</v>
      </c>
      <c r="F345" s="329" t="s">
        <v>26</v>
      </c>
      <c r="G345" s="329" t="s">
        <v>334</v>
      </c>
      <c r="H345" s="330" t="s">
        <v>335</v>
      </c>
      <c r="I345" s="328" t="s">
        <v>24</v>
      </c>
      <c r="J345" s="329" t="s">
        <v>25</v>
      </c>
      <c r="K345" s="329" t="s">
        <v>26</v>
      </c>
      <c r="L345" s="329" t="s">
        <v>334</v>
      </c>
      <c r="M345" s="473" t="s">
        <v>335</v>
      </c>
      <c r="O345" s="701" t="s">
        <v>574</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7">IF(P395="","",P395)</f>
        <v/>
      </c>
      <c r="E346" s="446" t="str">
        <f t="shared" si="57"/>
        <v/>
      </c>
      <c r="F346" s="446" t="str">
        <f t="shared" si="57"/>
        <v/>
      </c>
      <c r="G346" s="447" t="str">
        <f t="shared" si="57"/>
        <v/>
      </c>
      <c r="H346" s="458" t="str">
        <f t="shared" si="57"/>
        <v/>
      </c>
      <c r="I346" s="461" t="str">
        <f t="shared" si="57"/>
        <v/>
      </c>
      <c r="J346" s="437" t="str">
        <f t="shared" si="57"/>
        <v/>
      </c>
      <c r="K346" s="437" t="str">
        <f t="shared" si="57"/>
        <v/>
      </c>
      <c r="L346" s="438" t="str">
        <f t="shared" si="57"/>
        <v/>
      </c>
      <c r="M346" s="474" t="str">
        <f t="shared" si="57"/>
        <v/>
      </c>
      <c r="O346" s="701" t="s">
        <v>572</v>
      </c>
      <c r="P346" s="453" t="str">
        <f>IF(T321="","",AVERAGE(T321:T326))</f>
        <v/>
      </c>
      <c r="Q346" s="303" t="str">
        <f>IF(U321="","",AVERAGE(U321:U325))</f>
        <v/>
      </c>
      <c r="R346" s="707"/>
      <c r="S346" s="303" t="str">
        <f>IF(T328="","",AVERAGE(T328:T333))</f>
        <v/>
      </c>
      <c r="T346" s="303" t="str">
        <f>IF(U328="","",AVERAGE(U328:U332))</f>
        <v/>
      </c>
      <c r="U346" s="707"/>
      <c r="V346" s="303" t="str">
        <f>IF(T335="","",AVERAGE(T335:T340))</f>
        <v/>
      </c>
      <c r="W346" s="303" t="str">
        <f>IF(U335="","",AVERAGE(U335:U339))</f>
        <v/>
      </c>
      <c r="X346" s="708"/>
      <c r="Y346" s="32"/>
    </row>
    <row r="347" spans="1:25" ht="14.1" customHeight="1">
      <c r="A347" s="17">
        <v>59</v>
      </c>
      <c r="B347" s="67"/>
      <c r="C347" s="107"/>
      <c r="D347" s="453" t="str">
        <f t="shared" si="57"/>
        <v/>
      </c>
      <c r="E347" s="303" t="str">
        <f t="shared" si="57"/>
        <v/>
      </c>
      <c r="F347" s="303" t="str">
        <f t="shared" si="57"/>
        <v/>
      </c>
      <c r="G347" s="297" t="str">
        <f t="shared" si="57"/>
        <v/>
      </c>
      <c r="H347" s="459" t="str">
        <f t="shared" si="57"/>
        <v/>
      </c>
      <c r="I347" s="453" t="str">
        <f t="shared" si="57"/>
        <v/>
      </c>
      <c r="J347" s="303" t="str">
        <f t="shared" si="57"/>
        <v/>
      </c>
      <c r="K347" s="303" t="str">
        <f t="shared" si="57"/>
        <v/>
      </c>
      <c r="L347" s="297" t="str">
        <f t="shared" si="57"/>
        <v/>
      </c>
      <c r="M347" s="475" t="str">
        <f t="shared" si="57"/>
        <v/>
      </c>
      <c r="O347" s="701" t="s">
        <v>575</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7"/>
        <v/>
      </c>
      <c r="E348" s="303" t="str">
        <f t="shared" si="57"/>
        <v/>
      </c>
      <c r="F348" s="303" t="str">
        <f t="shared" si="57"/>
        <v/>
      </c>
      <c r="G348" s="297" t="str">
        <f t="shared" si="57"/>
        <v/>
      </c>
      <c r="H348" s="459" t="str">
        <f t="shared" si="57"/>
        <v/>
      </c>
      <c r="I348" s="453" t="str">
        <f t="shared" si="57"/>
        <v/>
      </c>
      <c r="J348" s="303" t="str">
        <f t="shared" si="57"/>
        <v/>
      </c>
      <c r="K348" s="303" t="str">
        <f t="shared" si="57"/>
        <v/>
      </c>
      <c r="L348" s="297" t="str">
        <f t="shared" si="57"/>
        <v/>
      </c>
      <c r="M348" s="475" t="str">
        <f t="shared" si="57"/>
        <v/>
      </c>
      <c r="O348" s="702" t="s">
        <v>576</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09" t="str">
        <f>IF(OR(V348="",W348=""),"",((V348-W348)/($V$346-$W$346)))</f>
        <v/>
      </c>
      <c r="Y348" s="32"/>
    </row>
    <row r="349" spans="1:25" ht="14.1" customHeight="1" thickBot="1">
      <c r="A349" s="17">
        <v>61</v>
      </c>
      <c r="B349" s="67"/>
      <c r="C349" s="107"/>
      <c r="D349" s="455" t="str">
        <f t="shared" si="57"/>
        <v/>
      </c>
      <c r="E349" s="444" t="str">
        <f t="shared" si="57"/>
        <v/>
      </c>
      <c r="F349" s="444" t="str">
        <f t="shared" si="57"/>
        <v/>
      </c>
      <c r="G349" s="445" t="str">
        <f t="shared" si="57"/>
        <v/>
      </c>
      <c r="H349" s="460" t="str">
        <f t="shared" si="57"/>
        <v/>
      </c>
      <c r="I349" s="455" t="str">
        <f t="shared" si="57"/>
        <v/>
      </c>
      <c r="J349" s="444" t="str">
        <f t="shared" si="57"/>
        <v/>
      </c>
      <c r="K349" s="444" t="str">
        <f t="shared" si="57"/>
        <v/>
      </c>
      <c r="L349" s="445" t="str">
        <f t="shared" si="57"/>
        <v/>
      </c>
      <c r="M349" s="476" t="str">
        <f t="shared" si="57"/>
        <v/>
      </c>
      <c r="O349" s="30"/>
      <c r="P349" s="421" t="s">
        <v>590</v>
      </c>
      <c r="Q349" s="437" t="str">
        <f>IF(OR(R345="",R347=""),"",AVERAGE(R345,R347))</f>
        <v/>
      </c>
      <c r="R349" s="722" t="str">
        <f>IF(Q349="","",IF(AND(Q349&gt;=0,Q349&lt;0.9),"Pass","Fail"))</f>
        <v/>
      </c>
      <c r="S349" s="421" t="s">
        <v>590</v>
      </c>
      <c r="T349" s="437" t="str">
        <f>IF(OR(U345="",U347=""),"",AVERAGE(U345,U347))</f>
        <v/>
      </c>
      <c r="U349" s="722" t="str">
        <f>IF(T349="","",IF(AND(T349&gt;=0,T349&lt;0.9),"Pass","Fail"))</f>
        <v/>
      </c>
      <c r="V349" s="421" t="s">
        <v>590</v>
      </c>
      <c r="W349" s="437" t="str">
        <f>IF(OR(X345="",X347=""),"",AVERAGE(X345,X347))</f>
        <v/>
      </c>
      <c r="X349" s="722" t="str">
        <f>IF(W349="","",IF(AND(W349&gt;=0,W349&lt;0.9),"Pass","Fail"))</f>
        <v/>
      </c>
      <c r="Y349" s="32"/>
    </row>
    <row r="350" spans="1:25" ht="14.1" customHeight="1" thickBot="1">
      <c r="A350" s="17">
        <v>62</v>
      </c>
      <c r="B350" s="67"/>
      <c r="C350" s="162" t="s">
        <v>209</v>
      </c>
      <c r="D350" s="456" t="str">
        <f t="shared" si="57"/>
        <v/>
      </c>
      <c r="E350" s="446" t="str">
        <f t="shared" si="57"/>
        <v/>
      </c>
      <c r="F350" s="446" t="str">
        <f t="shared" si="57"/>
        <v/>
      </c>
      <c r="G350" s="447" t="str">
        <f t="shared" si="57"/>
        <v/>
      </c>
      <c r="H350" s="458" t="str">
        <f t="shared" si="57"/>
        <v/>
      </c>
      <c r="I350" s="456" t="str">
        <f t="shared" si="57"/>
        <v/>
      </c>
      <c r="J350" s="446" t="str">
        <f t="shared" si="57"/>
        <v/>
      </c>
      <c r="K350" s="446" t="str">
        <f t="shared" si="57"/>
        <v/>
      </c>
      <c r="L350" s="447" t="str">
        <f t="shared" si="57"/>
        <v/>
      </c>
      <c r="M350" s="477" t="str">
        <f t="shared" si="57"/>
        <v/>
      </c>
      <c r="O350" s="30"/>
      <c r="P350" s="423" t="s">
        <v>591</v>
      </c>
      <c r="Q350" s="444" t="str">
        <f>IF(OR(R344="",R348=""),"",AVERAGE(R344,R348))</f>
        <v/>
      </c>
      <c r="R350" s="388" t="str">
        <f>IF(Q350="","",IF(AND(Q350&gt;=0,Q350&lt;0.6),"Pass","Fail"))</f>
        <v/>
      </c>
      <c r="S350" s="423" t="s">
        <v>591</v>
      </c>
      <c r="T350" s="444" t="str">
        <f>IF(OR(U344="",U348=""),"",AVERAGE(U344,U348))</f>
        <v/>
      </c>
      <c r="U350" s="388" t="str">
        <f>IF(T350="","",IF(AND(T350&gt;=0,T350&lt;0.6),"Pass","Fail"))</f>
        <v/>
      </c>
      <c r="V350" s="423" t="s">
        <v>591</v>
      </c>
      <c r="W350" s="444" t="str">
        <f>IF(OR(X344="",X348=""),"",AVERAGE(X344,X348))</f>
        <v/>
      </c>
      <c r="X350" s="388" t="str">
        <f>IF(W350="","",IF(AND(W350&gt;=0,W350&lt;0.6),"Pass","Fail"))</f>
        <v/>
      </c>
      <c r="Y350" s="32"/>
    </row>
    <row r="351" spans="1:25" ht="14.1" customHeight="1">
      <c r="A351" s="17">
        <v>63</v>
      </c>
      <c r="B351" s="67"/>
      <c r="C351" s="162" t="s">
        <v>340</v>
      </c>
      <c r="D351" s="453" t="str">
        <f t="shared" si="57"/>
        <v/>
      </c>
      <c r="E351" s="303" t="str">
        <f t="shared" si="57"/>
        <v/>
      </c>
      <c r="F351" s="303" t="str">
        <f t="shared" si="57"/>
        <v/>
      </c>
      <c r="G351" s="297" t="str">
        <f t="shared" si="57"/>
        <v/>
      </c>
      <c r="H351" s="459" t="str">
        <f t="shared" si="57"/>
        <v/>
      </c>
      <c r="I351" s="453" t="str">
        <f t="shared" si="57"/>
        <v/>
      </c>
      <c r="J351" s="303" t="str">
        <f t="shared" si="57"/>
        <v/>
      </c>
      <c r="K351" s="303" t="str">
        <f t="shared" si="57"/>
        <v/>
      </c>
      <c r="L351" s="297" t="str">
        <f t="shared" si="57"/>
        <v/>
      </c>
      <c r="M351" s="475" t="str">
        <f t="shared" si="57"/>
        <v/>
      </c>
      <c r="O351" s="30" t="s">
        <v>320</v>
      </c>
      <c r="P351" s="421" t="s">
        <v>590</v>
      </c>
      <c r="Q351" s="876" t="str">
        <f>IF(AB130="","",AB130)</f>
        <v/>
      </c>
      <c r="R351" s="68"/>
      <c r="S351" s="421" t="s">
        <v>590</v>
      </c>
      <c r="T351" s="876" t="str">
        <f>IF(AB132="","",AB132)</f>
        <v/>
      </c>
      <c r="U351" s="68"/>
      <c r="V351" s="421" t="s">
        <v>590</v>
      </c>
      <c r="W351" s="876" t="str">
        <f>IF(AB134="","",AB134)</f>
        <v/>
      </c>
      <c r="X351" s="68"/>
      <c r="Y351" s="32"/>
    </row>
    <row r="352" spans="1:25" ht="14.1" customHeight="1" thickBot="1">
      <c r="A352" s="17">
        <v>64</v>
      </c>
      <c r="B352" s="67"/>
      <c r="C352" s="318" t="s">
        <v>273</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591</v>
      </c>
      <c r="Q352" s="877" t="str">
        <f>IF(AB131="","",AB131)</f>
        <v/>
      </c>
      <c r="R352" s="68"/>
      <c r="S352" s="423" t="s">
        <v>591</v>
      </c>
      <c r="T352" s="877" t="str">
        <f>IF(AB133="","",AB133)</f>
        <v/>
      </c>
      <c r="U352" s="68"/>
      <c r="V352" s="423" t="s">
        <v>591</v>
      </c>
      <c r="W352" s="877" t="str">
        <f>IF(AB135="","",AB135)</f>
        <v/>
      </c>
      <c r="X352" s="68"/>
      <c r="Y352" s="32"/>
    </row>
    <row r="353" spans="1:25" ht="14.1" customHeight="1" thickBot="1">
      <c r="A353" s="17">
        <v>65</v>
      </c>
      <c r="B353" s="67"/>
      <c r="C353" s="162"/>
      <c r="D353" s="334"/>
      <c r="E353" s="334"/>
      <c r="F353" s="334"/>
      <c r="G353" s="469" t="s">
        <v>523</v>
      </c>
      <c r="H353" s="377" t="str">
        <f>IF(H350="","",IF(H350&gt;7,"Pass","Fail"))</f>
        <v/>
      </c>
      <c r="I353" s="68"/>
      <c r="J353" s="68"/>
      <c r="K353" s="68"/>
      <c r="L353" s="162" t="s">
        <v>524</v>
      </c>
      <c r="M353" s="479"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20" t="s">
        <v>594</v>
      </c>
      <c r="Q356" s="721" t="s">
        <v>595</v>
      </c>
      <c r="R356" s="721" t="s">
        <v>596</v>
      </c>
      <c r="S356" s="722" t="s">
        <v>597</v>
      </c>
      <c r="T356" s="68"/>
      <c r="U356" s="68" t="s">
        <v>320</v>
      </c>
      <c r="V356" s="720" t="s">
        <v>594</v>
      </c>
      <c r="W356" s="721" t="s">
        <v>595</v>
      </c>
      <c r="X356" s="721" t="s">
        <v>596</v>
      </c>
      <c r="Y356" s="703" t="s">
        <v>597</v>
      </c>
    </row>
    <row r="357" spans="1:25" ht="14.1" customHeight="1">
      <c r="A357" s="17">
        <v>69</v>
      </c>
      <c r="B357" s="67"/>
      <c r="C357" s="68"/>
      <c r="D357" s="68"/>
      <c r="E357" s="101" t="s">
        <v>345</v>
      </c>
      <c r="F357" s="68"/>
      <c r="G357" s="68"/>
      <c r="H357" s="68"/>
      <c r="I357" s="68"/>
      <c r="J357" s="68"/>
      <c r="K357" s="68"/>
      <c r="L357" s="68"/>
      <c r="M357" s="69"/>
      <c r="O357" s="161" t="s">
        <v>186</v>
      </c>
      <c r="P357" s="710"/>
      <c r="Q357" s="686"/>
      <c r="R357" s="686"/>
      <c r="S357" s="711"/>
      <c r="T357" s="68"/>
      <c r="U357" s="162" t="s">
        <v>186</v>
      </c>
      <c r="V357" s="771" t="str">
        <f>IF(AB137="","",AB137)</f>
        <v/>
      </c>
      <c r="W357" s="862" t="str">
        <f>IF(AB141="","",AB141)</f>
        <v/>
      </c>
      <c r="X357" s="862" t="str">
        <f>IF(AB145="","",AB145)</f>
        <v/>
      </c>
      <c r="Y357" s="866" t="str">
        <f>IF(AB149="","",AB149)</f>
        <v/>
      </c>
    </row>
    <row r="358" spans="1:25" ht="14.1" customHeight="1" thickBot="1">
      <c r="A358" s="17">
        <v>70</v>
      </c>
      <c r="B358" s="80"/>
      <c r="C358" s="81"/>
      <c r="D358" s="81"/>
      <c r="E358" s="81"/>
      <c r="F358" s="81"/>
      <c r="G358" s="81"/>
      <c r="H358" s="81"/>
      <c r="I358" s="81"/>
      <c r="J358" s="81"/>
      <c r="K358" s="81"/>
      <c r="L358" s="81"/>
      <c r="M358" s="82"/>
      <c r="O358" s="161" t="s">
        <v>188</v>
      </c>
      <c r="P358" s="710"/>
      <c r="Q358" s="686"/>
      <c r="R358" s="686"/>
      <c r="S358" s="711"/>
      <c r="T358" s="68"/>
      <c r="U358" s="162" t="s">
        <v>188</v>
      </c>
      <c r="V358" s="771" t="str">
        <f>IF(AB138="","",AB138)</f>
        <v/>
      </c>
      <c r="W358" s="862" t="str">
        <f>IF(AB142="","",AB142)</f>
        <v/>
      </c>
      <c r="X358" s="862" t="str">
        <f>IF(AB146="","",AB146)</f>
        <v/>
      </c>
      <c r="Y358" s="866" t="str">
        <f>IF(AB150="","",AB150)</f>
        <v/>
      </c>
    </row>
    <row r="359" spans="1:25" ht="14.1" customHeight="1" thickTop="1" thickBot="1">
      <c r="A359" s="17">
        <v>71</v>
      </c>
      <c r="C359" s="109" t="s">
        <v>10</v>
      </c>
      <c r="D359" s="375">
        <f>IF($P$7="","",$P$7)</f>
        <v>43273</v>
      </c>
      <c r="E359" s="27"/>
      <c r="F359" s="27"/>
      <c r="G359" s="27"/>
      <c r="H359" s="27"/>
      <c r="I359" s="27"/>
      <c r="J359" s="27"/>
      <c r="K359" s="27"/>
      <c r="L359" s="109" t="s">
        <v>11</v>
      </c>
      <c r="M359" s="376" t="str">
        <f>IF($X$7="","",$X$7)</f>
        <v>Eugene Mah</v>
      </c>
      <c r="O359" s="161" t="s">
        <v>190</v>
      </c>
      <c r="P359" s="710"/>
      <c r="Q359" s="686"/>
      <c r="R359" s="686"/>
      <c r="S359" s="711"/>
      <c r="T359" s="68"/>
      <c r="U359" s="162" t="s">
        <v>190</v>
      </c>
      <c r="V359" s="773" t="str">
        <f>IF(AB139="","",AB139)</f>
        <v/>
      </c>
      <c r="W359" s="863" t="str">
        <f>IF(AB143="","",AB143)</f>
        <v/>
      </c>
      <c r="X359" s="863" t="str">
        <f>IF(AB147="","",AB147)</f>
        <v/>
      </c>
      <c r="Y359" s="867" t="str">
        <f>IF(AB151="","",AB151)</f>
        <v/>
      </c>
    </row>
    <row r="360" spans="1:25" ht="14.1" customHeight="1" thickBot="1">
      <c r="A360" s="17">
        <v>72</v>
      </c>
      <c r="C360" s="109" t="s">
        <v>120</v>
      </c>
      <c r="D360" s="879" t="str">
        <f>IF($R$14="","",$R$14)</f>
        <v>1C07</v>
      </c>
      <c r="E360" s="27"/>
      <c r="F360" s="27"/>
      <c r="G360" s="27"/>
      <c r="H360" s="27"/>
      <c r="I360" s="27"/>
      <c r="J360" s="27"/>
      <c r="K360" s="27"/>
      <c r="L360" s="109" t="s">
        <v>36</v>
      </c>
      <c r="M360" s="879">
        <f>IF($R$13="","",$R$13)</f>
        <v>2302</v>
      </c>
      <c r="O360" s="161" t="s">
        <v>217</v>
      </c>
      <c r="P360" s="387" t="str">
        <f>IF(OR(P357="",P358="",P359=""),"",IF(AND(P357&gt;=4,P358&gt;=3,P359&gt;=3),"Pass","Fail"))</f>
        <v/>
      </c>
      <c r="Q360" s="443" t="str">
        <f>IF(OR(Q357="",Q358="",Q359=""),"",IF(AND(Q357&gt;=4,Q358&gt;=3,Q359&gt;=3),"Pass","Fail"))</f>
        <v/>
      </c>
      <c r="R360" s="443" t="str">
        <f t="shared" ref="R360:S360" si="58">IF(OR(R357="",R358="",R359=""),"",IF(AND(R357&gt;=4,R358&gt;=3,R359&gt;=3),"Pass","Fail"))</f>
        <v/>
      </c>
      <c r="S360" s="388" t="str">
        <f t="shared" si="58"/>
        <v/>
      </c>
      <c r="T360" s="68"/>
      <c r="U360" s="704"/>
      <c r="V360" s="704"/>
      <c r="W360" s="704"/>
      <c r="X360" s="704"/>
      <c r="Y360" s="705"/>
    </row>
    <row r="361" spans="1:25" ht="14.1" customHeight="1">
      <c r="A361" s="17">
        <v>1</v>
      </c>
      <c r="B361" s="68"/>
      <c r="C361" s="68"/>
      <c r="D361" s="68"/>
      <c r="E361" s="68"/>
      <c r="F361" s="68"/>
      <c r="G361" s="68"/>
      <c r="H361" s="68"/>
      <c r="I361" s="68"/>
      <c r="J361" s="68"/>
      <c r="K361" s="68"/>
      <c r="L361" s="68"/>
      <c r="M361" s="564"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5" t="s">
        <v>72</v>
      </c>
      <c r="I362" s="81"/>
      <c r="J362" s="81"/>
      <c r="K362" s="81"/>
      <c r="L362" s="81"/>
      <c r="M362" s="566"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Mo/Mo</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350</v>
      </c>
      <c r="D366" s="269" t="s">
        <v>24</v>
      </c>
      <c r="E366" s="269" t="s">
        <v>341</v>
      </c>
      <c r="F366" s="269" t="s">
        <v>334</v>
      </c>
      <c r="G366" s="269" t="s">
        <v>335</v>
      </c>
      <c r="H366" s="68"/>
      <c r="I366" s="377"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7" t="str">
        <f>IF(O415="","",IF(O415=1,"Pass","Fail"))</f>
        <v/>
      </c>
      <c r="J367" s="68" t="s">
        <v>526</v>
      </c>
      <c r="K367" s="68"/>
      <c r="L367" s="68"/>
      <c r="M367" s="69"/>
      <c r="O367" s="30" t="s">
        <v>329</v>
      </c>
      <c r="P367" s="137" t="s">
        <v>785</v>
      </c>
      <c r="R367" s="35" t="s">
        <v>330</v>
      </c>
      <c r="S367" s="264">
        <v>43014</v>
      </c>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t="s">
        <v>786</v>
      </c>
      <c r="R368" s="35" t="s">
        <v>332</v>
      </c>
      <c r="S368" s="264">
        <v>43744</v>
      </c>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961" t="s">
        <v>333</v>
      </c>
      <c r="T369" s="961"/>
      <c r="U369" s="961"/>
      <c r="V369" s="961"/>
      <c r="W369" s="961"/>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750" t="s">
        <v>268</v>
      </c>
      <c r="R370" s="750" t="s">
        <v>71</v>
      </c>
      <c r="S370" s="750" t="s">
        <v>24</v>
      </c>
      <c r="T370" s="750" t="s">
        <v>25</v>
      </c>
      <c r="U370" s="750" t="s">
        <v>26</v>
      </c>
      <c r="V370" s="750" t="s">
        <v>334</v>
      </c>
      <c r="W370" s="750" t="s">
        <v>335</v>
      </c>
      <c r="X370" s="750" t="s">
        <v>495</v>
      </c>
      <c r="Y370" s="32"/>
    </row>
    <row r="371" spans="1:25" ht="14.1" customHeight="1" thickBot="1">
      <c r="A371" s="17">
        <v>11</v>
      </c>
      <c r="B371" s="67"/>
      <c r="C371" s="68"/>
      <c r="D371" s="68"/>
      <c r="E371" s="162" t="s">
        <v>347</v>
      </c>
      <c r="F371" s="274" t="str">
        <f>IF(T413="","",T413)</f>
        <v/>
      </c>
      <c r="G371" s="68"/>
      <c r="H371" s="68"/>
      <c r="I371" s="68"/>
      <c r="J371" s="68"/>
      <c r="K371" s="68"/>
      <c r="L371" s="68"/>
      <c r="M371" s="69"/>
      <c r="O371" s="30"/>
      <c r="P371" s="990" t="str">
        <f>AK10&amp;"/"&amp;AL10</f>
        <v>Mo/Mo</v>
      </c>
      <c r="Q371" s="307">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91"/>
      <c r="Q372" s="308">
        <f>AH18</f>
        <v>25</v>
      </c>
      <c r="R372" s="11">
        <f>AI18</f>
        <v>50</v>
      </c>
      <c r="S372" s="12" t="str">
        <f>IF(AM18="","",AVERAGE(AM18,AM19))</f>
        <v/>
      </c>
      <c r="T372" s="12" t="str">
        <f>IF(AN18="","",AN18)</f>
        <v/>
      </c>
      <c r="U372" s="12" t="str">
        <f>IF(AO18="","",AO18)</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91"/>
      <c r="Q373" s="307">
        <f>AH26</f>
        <v>26</v>
      </c>
      <c r="R373" s="11">
        <f>AI26</f>
        <v>50</v>
      </c>
      <c r="S373" s="12" t="str">
        <f>IF(AM26="","",AM26)</f>
        <v/>
      </c>
      <c r="T373" s="12" t="str">
        <f>IF(AN26="","",AN26)</f>
        <v/>
      </c>
      <c r="U373" s="12" t="str">
        <f>IF(AO26="","",AO26)</f>
        <v/>
      </c>
      <c r="V373" s="13" t="str">
        <f t="shared" si="61"/>
        <v/>
      </c>
      <c r="W373" s="12" t="str">
        <f t="shared" si="62"/>
        <v/>
      </c>
      <c r="X373" s="15" t="str">
        <f t="shared" si="63"/>
        <v/>
      </c>
      <c r="Y373" s="32"/>
    </row>
    <row r="374" spans="1:25" ht="14.1" customHeight="1">
      <c r="A374" s="17">
        <v>14</v>
      </c>
      <c r="B374" s="67"/>
      <c r="C374" s="713" t="s">
        <v>70</v>
      </c>
      <c r="D374" s="714" t="str">
        <f>Q418</f>
        <v>Mo/Mo</v>
      </c>
      <c r="E374" s="714" t="str">
        <f>R418</f>
        <v>Mo/</v>
      </c>
      <c r="F374" s="715" t="str">
        <f>S418</f>
        <v>/</v>
      </c>
      <c r="G374"/>
      <c r="H374"/>
      <c r="I374"/>
      <c r="J374"/>
      <c r="K374"/>
      <c r="L374"/>
      <c r="M374" s="69"/>
      <c r="O374" s="30"/>
      <c r="P374" s="991"/>
      <c r="Q374" s="307">
        <f>AH28</f>
        <v>28</v>
      </c>
      <c r="R374" s="11">
        <f>AI28</f>
        <v>50</v>
      </c>
      <c r="S374" s="12" t="str">
        <f>IF(AM28="","",AVERAGE(AM27:AM31))</f>
        <v/>
      </c>
      <c r="T374" s="12" t="str">
        <f>IF(AN28="","",AN28)</f>
        <v/>
      </c>
      <c r="U374" s="12" t="str">
        <f>IF(AO28="","",AO28)</f>
        <v/>
      </c>
      <c r="V374" s="13" t="str">
        <f t="shared" si="61"/>
        <v/>
      </c>
      <c r="W374" s="12" t="str">
        <f t="shared" si="62"/>
        <v/>
      </c>
      <c r="X374" s="15" t="str">
        <f t="shared" si="63"/>
        <v/>
      </c>
      <c r="Y374" s="32"/>
    </row>
    <row r="375" spans="1:25" ht="14.1" customHeight="1">
      <c r="A375" s="17">
        <v>15</v>
      </c>
      <c r="B375" s="67"/>
      <c r="C375" s="338" t="s">
        <v>24</v>
      </c>
      <c r="D375" s="336">
        <f>IF(Q419="","",Q419)</f>
        <v>28</v>
      </c>
      <c r="E375" s="336">
        <f>IF(R419="","",R419)</f>
        <v>28</v>
      </c>
      <c r="F375" s="357">
        <f>IF(S419="","",S419)</f>
        <v>28</v>
      </c>
      <c r="G375"/>
      <c r="H375"/>
      <c r="I375"/>
      <c r="J375"/>
      <c r="K375"/>
      <c r="L375"/>
      <c r="M375" s="69"/>
      <c r="O375" s="30"/>
      <c r="P375" s="991"/>
      <c r="Q375" s="307">
        <f>AH40</f>
        <v>30</v>
      </c>
      <c r="R375" s="11">
        <f>AI40</f>
        <v>50</v>
      </c>
      <c r="S375" s="12" t="str">
        <f>IF(AM40="","",AM40)</f>
        <v/>
      </c>
      <c r="T375" s="12" t="str">
        <f>IF(AN40="","",AN40)</f>
        <v/>
      </c>
      <c r="U375" s="12" t="str">
        <f>IF(AO40="","",AO40)</f>
        <v/>
      </c>
      <c r="V375" s="13" t="str">
        <f t="shared" si="61"/>
        <v/>
      </c>
      <c r="W375" s="12" t="str">
        <f t="shared" si="62"/>
        <v/>
      </c>
      <c r="X375" s="15" t="str">
        <f t="shared" si="63"/>
        <v/>
      </c>
      <c r="Y375" s="32"/>
    </row>
    <row r="376" spans="1:25" ht="14.1" customHeight="1">
      <c r="A376" s="17">
        <v>16</v>
      </c>
      <c r="B376" s="67"/>
      <c r="C376" s="422" t="s">
        <v>428</v>
      </c>
      <c r="D376" s="303" t="str">
        <f t="shared" ref="D376:F377" si="64">IF(Q423="","",Q423)</f>
        <v/>
      </c>
      <c r="E376" s="303" t="str">
        <f t="shared" si="64"/>
        <v/>
      </c>
      <c r="F376" s="454" t="str">
        <f t="shared" si="64"/>
        <v/>
      </c>
      <c r="G376"/>
      <c r="H376"/>
      <c r="I376"/>
      <c r="J376"/>
      <c r="K376"/>
      <c r="L376"/>
      <c r="M376" s="69"/>
      <c r="O376" s="30"/>
      <c r="P376" s="991"/>
      <c r="Q376" s="307">
        <f>AH41</f>
        <v>32</v>
      </c>
      <c r="R376" s="11">
        <f>AI41</f>
        <v>50</v>
      </c>
      <c r="S376" s="12" t="str">
        <f>IF(AM41="","",AVERAGE(AM41:AM42))</f>
        <v/>
      </c>
      <c r="T376" s="12" t="str">
        <f>IF(AN41="","",AN41)</f>
        <v/>
      </c>
      <c r="U376" s="12" t="str">
        <f>IF(AO41="","",AO41)</f>
        <v/>
      </c>
      <c r="V376" s="13" t="str">
        <f t="shared" si="61"/>
        <v/>
      </c>
      <c r="W376" s="12" t="str">
        <f t="shared" si="62"/>
        <v/>
      </c>
      <c r="X376" s="15" t="str">
        <f t="shared" si="63"/>
        <v/>
      </c>
      <c r="Y376" s="32"/>
    </row>
    <row r="377" spans="1:25" ht="14.1" customHeight="1">
      <c r="A377" s="17">
        <v>17</v>
      </c>
      <c r="B377" s="67"/>
      <c r="C377" s="422" t="s">
        <v>527</v>
      </c>
      <c r="D377" s="15" t="str">
        <f t="shared" si="64"/>
        <v/>
      </c>
      <c r="E377" s="15" t="str">
        <f t="shared" si="64"/>
        <v/>
      </c>
      <c r="F377" s="420" t="str">
        <f t="shared" si="64"/>
        <v/>
      </c>
      <c r="G377"/>
      <c r="H377"/>
      <c r="I377"/>
      <c r="J377"/>
      <c r="K377"/>
      <c r="L377"/>
      <c r="M377" s="69"/>
      <c r="O377" s="30"/>
      <c r="P377" s="992"/>
      <c r="Q377" s="307">
        <f>AH49</f>
        <v>34</v>
      </c>
      <c r="R377" s="11">
        <f>AI49</f>
        <v>50</v>
      </c>
      <c r="S377" s="12" t="str">
        <f>IF(AM49="","",AVERAGE(AM49:AM50))</f>
        <v/>
      </c>
      <c r="T377" s="12" t="str">
        <f>IF(AN49="","",AN49)</f>
        <v/>
      </c>
      <c r="U377" s="12" t="str">
        <f>IF(AO49="","",AO49)</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78" t="s">
        <v>217</v>
      </c>
      <c r="D378" s="443" t="str">
        <f>Q425</f>
        <v/>
      </c>
      <c r="E378" s="443" t="str">
        <f>R425</f>
        <v/>
      </c>
      <c r="F378" s="388" t="str">
        <f>S425</f>
        <v/>
      </c>
      <c r="G378"/>
      <c r="H378"/>
      <c r="I378"/>
      <c r="J378"/>
      <c r="K378"/>
      <c r="L378"/>
      <c r="M378" s="69"/>
      <c r="O378" s="30"/>
      <c r="P378" s="999" t="str">
        <f>AK57&amp;"/"&amp;AL57</f>
        <v>Mo/</v>
      </c>
      <c r="Q378" s="307">
        <f>AH57</f>
        <v>28</v>
      </c>
      <c r="R378" s="11">
        <f>AI57</f>
        <v>50</v>
      </c>
      <c r="S378" s="12" t="str">
        <f>IF(AM57="","",AVERAGE(AM57:AM58))</f>
        <v/>
      </c>
      <c r="T378" s="12" t="str">
        <f>IF(AN57="","",AN57)</f>
        <v/>
      </c>
      <c r="U378" s="12" t="str">
        <f>IF(AO57="","",AO57)</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5" t="s">
        <v>624</v>
      </c>
      <c r="F379"/>
      <c r="G379"/>
      <c r="H379"/>
      <c r="I379"/>
      <c r="J379"/>
      <c r="K379"/>
      <c r="L379"/>
      <c r="M379" s="69"/>
      <c r="O379" s="161"/>
      <c r="P379" s="1000"/>
      <c r="Q379" s="307">
        <f>AH65</f>
        <v>30</v>
      </c>
      <c r="R379" s="11">
        <f>AI65</f>
        <v>50</v>
      </c>
      <c r="S379" s="12" t="str">
        <f>IF(AM65="","",AVERAGE(AM65:AM66))</f>
        <v/>
      </c>
      <c r="T379" s="12" t="str">
        <f>IF(AN65="","",AN65)</f>
        <v/>
      </c>
      <c r="U379" s="12" t="str">
        <f>IF(AO65="","",AO65)</f>
        <v/>
      </c>
      <c r="V379" s="13" t="str">
        <f t="shared" si="68"/>
        <v/>
      </c>
      <c r="W379" s="12" t="str">
        <f t="shared" si="69"/>
        <v/>
      </c>
      <c r="X379" s="15" t="str">
        <f t="shared" si="70"/>
        <v/>
      </c>
      <c r="Y379" s="32"/>
    </row>
    <row r="380" spans="1:25" ht="14.1" customHeight="1">
      <c r="A380" s="17">
        <v>20</v>
      </c>
      <c r="B380" s="67"/>
      <c r="M380" s="69"/>
      <c r="O380" s="30"/>
      <c r="P380" s="1000"/>
      <c r="Q380" s="307">
        <f>AH73</f>
        <v>32</v>
      </c>
      <c r="R380" s="11">
        <f>AI73</f>
        <v>50</v>
      </c>
      <c r="S380" s="12" t="str">
        <f>IF(AM73="","",AVERAGE(AM73:AM74))</f>
        <v/>
      </c>
      <c r="T380" s="12" t="str">
        <f>IF(AN73="","",AN73)</f>
        <v/>
      </c>
      <c r="U380" s="12" t="str">
        <f>IF(AO73="","",AO73)</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1000"/>
      <c r="Q381" s="307">
        <f>AH81</f>
        <v>34</v>
      </c>
      <c r="R381" s="11">
        <f>AI81</f>
        <v>50</v>
      </c>
      <c r="S381" s="12" t="str">
        <f>IF(AM81="","",AVERAGE(AM81:AM82))</f>
        <v/>
      </c>
      <c r="T381" s="12" t="str">
        <f>IF(AN81="","",AN81)</f>
        <v/>
      </c>
      <c r="U381" s="12" t="str">
        <f>IF(AO81="","",AO81)</f>
        <v/>
      </c>
      <c r="V381" s="13" t="str">
        <f t="shared" si="68"/>
        <v/>
      </c>
      <c r="W381" s="12" t="str">
        <f t="shared" si="69"/>
        <v/>
      </c>
      <c r="X381" s="15" t="str">
        <f t="shared" si="70"/>
        <v/>
      </c>
      <c r="Y381" s="32"/>
    </row>
    <row r="382" spans="1:25" ht="14.1" customHeight="1" thickBot="1">
      <c r="A382" s="17">
        <v>22</v>
      </c>
      <c r="B382" s="67"/>
      <c r="C382" s="68"/>
      <c r="D382" s="162" t="s">
        <v>172</v>
      </c>
      <c r="E382" s="140" t="str">
        <f>IF(Q457="","",Q457)</f>
        <v/>
      </c>
      <c r="F382" s="68"/>
      <c r="G382" s="68"/>
      <c r="H382" s="723" t="s">
        <v>319</v>
      </c>
      <c r="I382" s="723" t="s">
        <v>320</v>
      </c>
      <c r="J382" s="723" t="s">
        <v>370</v>
      </c>
      <c r="K382" s="723" t="s">
        <v>289</v>
      </c>
      <c r="L382" s="723" t="s">
        <v>290</v>
      </c>
      <c r="M382" s="69"/>
      <c r="O382" s="30"/>
      <c r="P382" s="1000"/>
      <c r="Q382" s="307">
        <f t="shared" ref="Q382:R384" si="71">AH89</f>
        <v>36</v>
      </c>
      <c r="R382" s="11">
        <f t="shared" si="71"/>
        <v>50</v>
      </c>
      <c r="S382" s="12" t="str">
        <f>IF(AM89="","",AM89)</f>
        <v/>
      </c>
      <c r="T382" s="12" t="str">
        <f t="shared" ref="T382:U384" si="72">IF(AN89="","",AN89)</f>
        <v/>
      </c>
      <c r="U382" s="12" t="str">
        <f t="shared" si="72"/>
        <v/>
      </c>
      <c r="V382" s="13" t="str">
        <f t="shared" si="68"/>
        <v/>
      </c>
      <c r="W382" s="12" t="str">
        <f t="shared" si="69"/>
        <v/>
      </c>
      <c r="X382" s="15" t="str">
        <f t="shared" si="70"/>
        <v/>
      </c>
      <c r="Y382" s="32"/>
    </row>
    <row r="383" spans="1:25" ht="14.1" customHeight="1" thickBot="1">
      <c r="A383" s="17">
        <v>23</v>
      </c>
      <c r="B383" s="67"/>
      <c r="C383" s="68"/>
      <c r="D383" s="162" t="s">
        <v>175</v>
      </c>
      <c r="E383" s="140" t="str">
        <f>IF(Q458="","",Q458)</f>
        <v/>
      </c>
      <c r="F383" s="68"/>
      <c r="G383" s="162" t="s">
        <v>197</v>
      </c>
      <c r="H383" s="480" t="str">
        <f>IF(T461="","",T461)</f>
        <v/>
      </c>
      <c r="I383" s="868" t="str">
        <f>IF(U461="","",U461)</f>
        <v/>
      </c>
      <c r="J383" s="868" t="str">
        <f>IF(W461="","",W461)</f>
        <v/>
      </c>
      <c r="K383" s="482" t="str">
        <f>IF(V461="","",V461)</f>
        <v/>
      </c>
      <c r="L383" s="483" t="str">
        <f>IF(X461="","",X461)</f>
        <v/>
      </c>
      <c r="M383" s="69"/>
      <c r="O383" s="30"/>
      <c r="P383" s="1001"/>
      <c r="Q383" s="307">
        <f t="shared" si="71"/>
        <v>38</v>
      </c>
      <c r="R383" s="11">
        <f t="shared" si="71"/>
        <v>50</v>
      </c>
      <c r="S383" s="12" t="str">
        <f>IF(AM90="","",AM90)</f>
        <v/>
      </c>
      <c r="T383" s="12" t="str">
        <f t="shared" si="72"/>
        <v/>
      </c>
      <c r="U383" s="12" t="str">
        <f t="shared" si="72"/>
        <v/>
      </c>
      <c r="V383" s="13" t="str">
        <f t="shared" si="68"/>
        <v/>
      </c>
      <c r="W383" s="12" t="str">
        <f t="shared" si="69"/>
        <v/>
      </c>
      <c r="X383" s="15" t="str">
        <f t="shared" si="70"/>
        <v/>
      </c>
      <c r="Y383" s="32"/>
    </row>
    <row r="384" spans="1:25" ht="14.1" customHeight="1" thickBot="1">
      <c r="A384" s="17">
        <v>24</v>
      </c>
      <c r="B384" s="67"/>
      <c r="C384" s="68"/>
      <c r="D384" s="162" t="s">
        <v>50</v>
      </c>
      <c r="E384" s="140" t="str">
        <f>IF(Q459="","",Q459)</f>
        <v/>
      </c>
      <c r="F384" s="68"/>
      <c r="G384" s="162" t="s">
        <v>198</v>
      </c>
      <c r="H384" s="481" t="str">
        <f>IF(T462="","",T462)</f>
        <v/>
      </c>
      <c r="I384" s="869" t="str">
        <f>IF(U462="","",U462)</f>
        <v/>
      </c>
      <c r="J384" s="869" t="str">
        <f>IF(W462="","",W462)</f>
        <v/>
      </c>
      <c r="K384" s="484" t="str">
        <f>IF(V462="","",V462)</f>
        <v/>
      </c>
      <c r="L384" s="434" t="str">
        <f>IF(X462="","",X462)</f>
        <v/>
      </c>
      <c r="M384" s="69"/>
      <c r="O384" s="30"/>
      <c r="P384" s="999" t="str">
        <f>AK91&amp;"/"&amp;AL91</f>
        <v>/</v>
      </c>
      <c r="Q384" s="308">
        <f t="shared" si="71"/>
        <v>28</v>
      </c>
      <c r="R384" s="11">
        <f t="shared" si="71"/>
        <v>50</v>
      </c>
      <c r="S384" s="12" t="str">
        <f>IF(AM91="","",AVERAGE(AM91:AM94))</f>
        <v/>
      </c>
      <c r="T384" s="12" t="str">
        <f t="shared" si="72"/>
        <v/>
      </c>
      <c r="U384" s="12" t="str">
        <f t="shared" si="72"/>
        <v/>
      </c>
      <c r="V384" s="13" t="str">
        <f t="shared" si="68"/>
        <v/>
      </c>
      <c r="W384" s="12" t="str">
        <f t="shared" si="69"/>
        <v/>
      </c>
      <c r="X384" s="15" t="str">
        <f t="shared" si="70"/>
        <v/>
      </c>
      <c r="Y384" s="32"/>
    </row>
    <row r="385" spans="1:25" ht="14.1" customHeight="1">
      <c r="A385" s="17">
        <v>25</v>
      </c>
      <c r="B385" s="67"/>
      <c r="C385" s="68"/>
      <c r="D385" s="162" t="s">
        <v>53</v>
      </c>
      <c r="E385" s="140" t="str">
        <f>IF(Q460="","",Q460)</f>
        <v/>
      </c>
      <c r="F385" s="68"/>
      <c r="G385" s="68"/>
      <c r="H385" s="68"/>
      <c r="I385" s="68"/>
      <c r="J385" s="68"/>
      <c r="K385" s="68"/>
      <c r="L385" s="68"/>
      <c r="M385" s="69"/>
      <c r="O385" s="30"/>
      <c r="P385" s="1000"/>
      <c r="Q385" s="308">
        <f>AH101</f>
        <v>30</v>
      </c>
      <c r="R385" s="11">
        <f>AI101</f>
        <v>50</v>
      </c>
      <c r="S385" s="12" t="str">
        <f>IF(AM101="","",AVERAGE(AM101:AM102))</f>
        <v/>
      </c>
      <c r="T385" s="12" t="str">
        <f>IF(AN101="","",AN101)</f>
        <v/>
      </c>
      <c r="U385" s="12" t="str">
        <f>IF(AO101="","",AO101)</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1000"/>
      <c r="Q386" s="307">
        <f>AH109</f>
        <v>32</v>
      </c>
      <c r="R386" s="11">
        <f>AI109</f>
        <v>50</v>
      </c>
      <c r="S386" s="12" t="str">
        <f>IF(AM109="","",AVERAGE(AM109:AM110))</f>
        <v/>
      </c>
      <c r="T386" s="12" t="str">
        <f>IF(AN109="","",AN109)</f>
        <v/>
      </c>
      <c r="U386" s="12" t="str">
        <f>IF(AO109="","",AO109)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1000"/>
      <c r="Q387" s="307">
        <f>AH117</f>
        <v>34</v>
      </c>
      <c r="R387" s="11">
        <f>AI117</f>
        <v>50</v>
      </c>
      <c r="S387" s="12" t="str">
        <f>IF(AM117="","",AVERAGE(AM117:AM118))</f>
        <v/>
      </c>
      <c r="T387" s="12" t="str">
        <f>IF(AN117="","",AN117)</f>
        <v/>
      </c>
      <c r="U387" s="12" t="str">
        <f>IF(AO117="","",AO117)</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1001"/>
      <c r="Q388" s="307">
        <f>AH125</f>
        <v>38</v>
      </c>
      <c r="R388" s="11">
        <f>AI125</f>
        <v>50</v>
      </c>
      <c r="S388" s="12" t="str">
        <f>IF(AM125="","",AM125)</f>
        <v/>
      </c>
      <c r="T388" s="12" t="str">
        <f>IF(AN125="","",AN125)</f>
        <v/>
      </c>
      <c r="U388" s="12" t="str">
        <f>IF(AO125="","",AO125)</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89" t="s">
        <v>322</v>
      </c>
      <c r="E390" s="489"/>
      <c r="F390" s="333"/>
      <c r="G390" s="333"/>
      <c r="H390" s="489" t="s">
        <v>323</v>
      </c>
      <c r="I390" s="489"/>
      <c r="J390" s="68"/>
      <c r="K390" s="333"/>
      <c r="L390" s="311" t="s">
        <v>324</v>
      </c>
      <c r="M390" s="311"/>
      <c r="O390" s="40"/>
      <c r="P390" s="41"/>
      <c r="Q390" s="41"/>
      <c r="R390" s="41"/>
      <c r="S390" s="41"/>
      <c r="T390" s="41"/>
      <c r="U390" s="41"/>
      <c r="V390" s="41"/>
      <c r="W390" s="41"/>
      <c r="X390" s="41"/>
      <c r="Y390" s="42"/>
    </row>
    <row r="391" spans="1:25" ht="14.1" customHeight="1" thickBot="1">
      <c r="A391" s="17">
        <v>31</v>
      </c>
      <c r="B391" s="67"/>
      <c r="C391" s="333"/>
      <c r="D391" s="162" t="s">
        <v>172</v>
      </c>
      <c r="E391" s="485" t="str">
        <f t="shared" ref="E391:E396" si="73">IF(Q432="","",Q432)</f>
        <v/>
      </c>
      <c r="F391" s="333"/>
      <c r="G391" s="162" t="s">
        <v>70</v>
      </c>
      <c r="H391" s="338" t="str">
        <f t="shared" ref="H391:J396" si="74">IF(Q447="","",Q447)</f>
        <v>Mo/Mo</v>
      </c>
      <c r="I391" s="296" t="str">
        <f t="shared" si="74"/>
        <v>Mo/Rh</v>
      </c>
      <c r="J391" s="339" t="str">
        <f t="shared" si="74"/>
        <v>W/Rh</v>
      </c>
      <c r="K391" s="333"/>
      <c r="L391" s="107" t="s">
        <v>253</v>
      </c>
      <c r="M391" s="260" t="s">
        <v>254</v>
      </c>
      <c r="O391" s="136" t="s">
        <v>338</v>
      </c>
      <c r="P391" s="23"/>
      <c r="Q391" s="23"/>
      <c r="R391" s="23"/>
      <c r="S391" s="23"/>
      <c r="T391" s="23"/>
      <c r="U391" s="23"/>
      <c r="V391" s="23"/>
      <c r="W391" s="23"/>
      <c r="X391" s="23"/>
      <c r="Y391" s="24"/>
    </row>
    <row r="392" spans="1:25" ht="14.1" customHeight="1" thickBot="1">
      <c r="A392" s="17">
        <v>32</v>
      </c>
      <c r="B392" s="67"/>
      <c r="C392" s="333"/>
      <c r="D392" s="162" t="s">
        <v>175</v>
      </c>
      <c r="E392" s="486" t="str">
        <f t="shared" si="73"/>
        <v/>
      </c>
      <c r="F392" s="333"/>
      <c r="G392" s="162" t="s">
        <v>172</v>
      </c>
      <c r="H392" s="338" t="str">
        <f t="shared" si="74"/>
        <v/>
      </c>
      <c r="I392" s="296" t="str">
        <f t="shared" si="74"/>
        <v/>
      </c>
      <c r="J392" s="339" t="str">
        <f t="shared" si="74"/>
        <v/>
      </c>
      <c r="K392" s="333"/>
      <c r="L392" s="162" t="s">
        <v>326</v>
      </c>
      <c r="M392" s="262" t="str">
        <f>IF(R440="","",R440)</f>
        <v/>
      </c>
      <c r="O392" s="30"/>
      <c r="P392" s="320" t="s">
        <v>94</v>
      </c>
      <c r="Q392" s="321" t="str">
        <f>AK10&amp;"/"&amp;AL10</f>
        <v>Mo/Mo</v>
      </c>
      <c r="R392" s="452" t="s">
        <v>172</v>
      </c>
      <c r="S392" s="457">
        <f>AH28</f>
        <v>28</v>
      </c>
      <c r="T392" s="24"/>
      <c r="U392" s="320" t="s">
        <v>94</v>
      </c>
      <c r="V392" s="321" t="str">
        <f>AK91&amp;"/"&amp;AL91</f>
        <v>/</v>
      </c>
      <c r="W392" s="322" t="s">
        <v>172</v>
      </c>
      <c r="X392" s="754">
        <f>AH91</f>
        <v>28</v>
      </c>
      <c r="Y392" s="24"/>
    </row>
    <row r="393" spans="1:25" ht="14.1" customHeight="1">
      <c r="A393" s="17">
        <v>33</v>
      </c>
      <c r="B393" s="67"/>
      <c r="C393" s="333"/>
      <c r="D393" s="162" t="s">
        <v>328</v>
      </c>
      <c r="E393" s="486" t="str">
        <f t="shared" si="73"/>
        <v/>
      </c>
      <c r="F393" s="333"/>
      <c r="G393" s="162" t="s">
        <v>175</v>
      </c>
      <c r="H393" s="338" t="str">
        <f t="shared" si="74"/>
        <v/>
      </c>
      <c r="I393" s="296" t="str">
        <f t="shared" si="74"/>
        <v/>
      </c>
      <c r="J393" s="339" t="str">
        <f t="shared" si="74"/>
        <v/>
      </c>
      <c r="K393" s="162" t="s">
        <v>186</v>
      </c>
      <c r="L393" s="204" t="str">
        <f t="shared" ref="L393:M395" si="75">IF(Q442="","",Q442)</f>
        <v/>
      </c>
      <c r="M393" s="263" t="str">
        <f t="shared" si="75"/>
        <v/>
      </c>
      <c r="O393" s="318"/>
      <c r="P393" s="462"/>
      <c r="R393" s="162" t="s">
        <v>218</v>
      </c>
      <c r="S393" s="751">
        <f>AI28</f>
        <v>50</v>
      </c>
      <c r="T393" s="209"/>
      <c r="W393" s="162" t="s">
        <v>218</v>
      </c>
      <c r="X393" s="751">
        <f>AI91</f>
        <v>50</v>
      </c>
      <c r="Y393" s="32"/>
    </row>
    <row r="394" spans="1:25" ht="14.1" customHeight="1" thickBot="1">
      <c r="A394" s="17">
        <v>34</v>
      </c>
      <c r="B394" s="67"/>
      <c r="C394" s="333"/>
      <c r="D394" s="162" t="s">
        <v>181</v>
      </c>
      <c r="E394" s="486" t="str">
        <f t="shared" si="73"/>
        <v/>
      </c>
      <c r="F394" s="333"/>
      <c r="G394" s="162" t="s">
        <v>186</v>
      </c>
      <c r="H394" s="338" t="str">
        <f t="shared" si="74"/>
        <v/>
      </c>
      <c r="I394" s="296" t="str">
        <f t="shared" si="74"/>
        <v/>
      </c>
      <c r="J394" s="339" t="str">
        <f t="shared" si="74"/>
        <v/>
      </c>
      <c r="K394" s="162" t="s">
        <v>188</v>
      </c>
      <c r="L394" s="206" t="str">
        <f t="shared" si="75"/>
        <v/>
      </c>
      <c r="M394" s="265" t="str">
        <f t="shared" si="75"/>
        <v/>
      </c>
      <c r="O394" s="319"/>
      <c r="P394" s="323" t="s">
        <v>24</v>
      </c>
      <c r="Q394" s="723" t="s">
        <v>25</v>
      </c>
      <c r="R394" s="723" t="s">
        <v>26</v>
      </c>
      <c r="S394" s="723" t="s">
        <v>334</v>
      </c>
      <c r="T394" s="209" t="s">
        <v>335</v>
      </c>
      <c r="U394" s="328" t="s">
        <v>24</v>
      </c>
      <c r="V394" s="329" t="s">
        <v>25</v>
      </c>
      <c r="W394" s="329" t="s">
        <v>26</v>
      </c>
      <c r="X394" s="329" t="s">
        <v>334</v>
      </c>
      <c r="Y394" s="330" t="s">
        <v>335</v>
      </c>
    </row>
    <row r="395" spans="1:25" ht="14.1" customHeight="1" thickBot="1">
      <c r="A395" s="17">
        <v>35</v>
      </c>
      <c r="B395" s="67"/>
      <c r="C395" s="333"/>
      <c r="D395" s="162" t="s">
        <v>183</v>
      </c>
      <c r="E395" s="486" t="str">
        <f t="shared" si="73"/>
        <v/>
      </c>
      <c r="F395" s="333"/>
      <c r="G395" s="162" t="s">
        <v>188</v>
      </c>
      <c r="H395" s="338" t="str">
        <f t="shared" si="74"/>
        <v/>
      </c>
      <c r="I395" s="296" t="str">
        <f t="shared" si="74"/>
        <v/>
      </c>
      <c r="J395" s="339" t="str">
        <f t="shared" si="74"/>
        <v/>
      </c>
      <c r="K395" s="162" t="s">
        <v>190</v>
      </c>
      <c r="L395" s="207" t="str">
        <f t="shared" si="75"/>
        <v/>
      </c>
      <c r="M395" s="266" t="str">
        <f t="shared" si="75"/>
        <v/>
      </c>
      <c r="O395" s="319"/>
      <c r="P395" s="327" t="str">
        <f>IF(AM28="","",AM28)</f>
        <v/>
      </c>
      <c r="Q395" s="275" t="str">
        <f t="shared" ref="Q395:R398" si="76">IF(AN28="","",AN28)</f>
        <v/>
      </c>
      <c r="R395" s="275" t="str">
        <f t="shared" si="76"/>
        <v/>
      </c>
      <c r="S395" s="238" t="str">
        <f>IF(R395="","",R395/$S$393)</f>
        <v/>
      </c>
      <c r="T395" s="239" t="str">
        <f>IF(OR(R395="",Q395=""),"",R395/(Q395/1000))</f>
        <v/>
      </c>
      <c r="U395" s="327" t="str">
        <f>IF(AM91="","",AM91)</f>
        <v/>
      </c>
      <c r="V395" s="275" t="str">
        <f t="shared" ref="V395:W398" si="77">IF(AN91="","",AN91)</f>
        <v/>
      </c>
      <c r="W395" s="275" t="str">
        <f t="shared" si="77"/>
        <v/>
      </c>
      <c r="X395" s="238" t="str">
        <f>IF(W395="","",W395/$X$393)</f>
        <v/>
      </c>
      <c r="Y395" s="239" t="str">
        <f>IF(OR(W395="",V395=""),"",W395/(V395/1000))</f>
        <v/>
      </c>
    </row>
    <row r="396" spans="1:25" ht="14.1" customHeight="1" thickBot="1">
      <c r="A396" s="17">
        <v>36</v>
      </c>
      <c r="B396" s="67"/>
      <c r="C396" s="333"/>
      <c r="D396" s="162" t="s">
        <v>184</v>
      </c>
      <c r="E396" s="486" t="str">
        <f t="shared" si="73"/>
        <v/>
      </c>
      <c r="F396" s="333"/>
      <c r="G396" s="162" t="s">
        <v>190</v>
      </c>
      <c r="H396" s="449" t="str">
        <f t="shared" si="74"/>
        <v/>
      </c>
      <c r="I396" s="427" t="str">
        <f t="shared" si="74"/>
        <v/>
      </c>
      <c r="J396" s="570" t="str">
        <f t="shared" si="74"/>
        <v/>
      </c>
      <c r="K396" s="333"/>
      <c r="L396" s="162" t="s">
        <v>326</v>
      </c>
      <c r="M396" s="262" t="str">
        <f>IF(V440="","",V440)</f>
        <v/>
      </c>
      <c r="O396" s="319"/>
      <c r="P396" s="324" t="str">
        <f>IF(AM29="","",AM29)</f>
        <v/>
      </c>
      <c r="Q396" s="12" t="str">
        <f t="shared" si="76"/>
        <v/>
      </c>
      <c r="R396" s="12" t="str">
        <f t="shared" si="76"/>
        <v/>
      </c>
      <c r="S396" s="13" t="str">
        <f>IF(R396="","",R396/$S$393)</f>
        <v/>
      </c>
      <c r="T396" s="241" t="str">
        <f>IF(OR(R396="",Q396=""),"",R396/(Q396/1000))</f>
        <v/>
      </c>
      <c r="U396" s="324" t="str">
        <f>IF(AM92="","",AM92)</f>
        <v/>
      </c>
      <c r="V396" s="12" t="str">
        <f t="shared" si="77"/>
        <v/>
      </c>
      <c r="W396" s="12" t="str">
        <f t="shared" si="77"/>
        <v/>
      </c>
      <c r="X396" s="13" t="str">
        <f>IF(W396="","",W396/$X$393)</f>
        <v/>
      </c>
      <c r="Y396" s="241" t="str">
        <f t="shared" ref="Y396:Y398" si="78">IF(OR(W396="",V396=""),"",W396/(V396/1000))</f>
        <v/>
      </c>
    </row>
    <row r="397" spans="1:25" ht="14.1" customHeight="1" thickBot="1">
      <c r="A397" s="17">
        <v>37</v>
      </c>
      <c r="B397" s="67"/>
      <c r="C397" s="68"/>
      <c r="D397" s="162" t="s">
        <v>186</v>
      </c>
      <c r="E397" s="486" t="str">
        <f>IF(U432="","",U432)</f>
        <v/>
      </c>
      <c r="F397" s="333"/>
      <c r="G397" s="162"/>
      <c r="H397" s="449" t="str">
        <f>Q453</f>
        <v/>
      </c>
      <c r="I397" s="427" t="str">
        <f>R453</f>
        <v/>
      </c>
      <c r="J397" s="570" t="str">
        <f>S453</f>
        <v/>
      </c>
      <c r="K397" s="162" t="s">
        <v>186</v>
      </c>
      <c r="L397" s="204" t="str">
        <f t="shared" ref="L397:M399" si="79">IF(U442="","",U442)</f>
        <v/>
      </c>
      <c r="M397" s="263" t="str">
        <f t="shared" si="79"/>
        <v/>
      </c>
      <c r="O397" s="319"/>
      <c r="P397" s="324" t="str">
        <f>IF(AM30="","",AM30)</f>
        <v/>
      </c>
      <c r="Q397" s="12" t="str">
        <f t="shared" si="76"/>
        <v/>
      </c>
      <c r="R397" s="12" t="str">
        <f t="shared" si="76"/>
        <v/>
      </c>
      <c r="S397" s="13" t="str">
        <f>IF(R397="","",R397/$S$393)</f>
        <v/>
      </c>
      <c r="T397" s="241" t="str">
        <f>IF(OR(R397="",Q397=""),"",R397/(Q397/1000))</f>
        <v/>
      </c>
      <c r="U397" s="324" t="str">
        <f>IF(AM93="","",AM93)</f>
        <v/>
      </c>
      <c r="V397" s="12" t="str">
        <f t="shared" si="77"/>
        <v/>
      </c>
      <c r="W397" s="12" t="str">
        <f t="shared" si="77"/>
        <v/>
      </c>
      <c r="X397" s="13" t="str">
        <f>IF(W397="","",W397/$X$393)</f>
        <v/>
      </c>
      <c r="Y397" s="241" t="str">
        <f t="shared" si="78"/>
        <v/>
      </c>
    </row>
    <row r="398" spans="1:25" ht="14.1" customHeight="1" thickBot="1">
      <c r="A398" s="17">
        <v>38</v>
      </c>
      <c r="B398" s="67"/>
      <c r="C398" s="68"/>
      <c r="D398" s="162" t="s">
        <v>188</v>
      </c>
      <c r="E398" s="486" t="str">
        <f>IF(U433="","",U433)</f>
        <v/>
      </c>
      <c r="F398" s="68"/>
      <c r="G398" s="68"/>
      <c r="H398" s="68"/>
      <c r="I398" s="107"/>
      <c r="J398" s="107"/>
      <c r="K398" s="162" t="s">
        <v>188</v>
      </c>
      <c r="L398" s="206" t="str">
        <f t="shared" si="79"/>
        <v/>
      </c>
      <c r="M398" s="265" t="str">
        <f t="shared" si="79"/>
        <v/>
      </c>
      <c r="O398" s="319"/>
      <c r="P398" s="468" t="str">
        <f>IF(AM31="","",AM31)</f>
        <v/>
      </c>
      <c r="Q398" s="231" t="str">
        <f t="shared" si="76"/>
        <v/>
      </c>
      <c r="R398" s="231" t="str">
        <f t="shared" si="76"/>
        <v/>
      </c>
      <c r="S398" s="245" t="str">
        <f>IF(R398="","",R398/$S$393)</f>
        <v/>
      </c>
      <c r="T398" s="246" t="str">
        <f>IF(OR(R398="",Q398=""),"",R398/(Q398/1000))</f>
        <v/>
      </c>
      <c r="U398" s="468" t="str">
        <f>IF(AM94="","",AM94)</f>
        <v/>
      </c>
      <c r="V398" s="231" t="str">
        <f t="shared" si="77"/>
        <v/>
      </c>
      <c r="W398" s="231" t="str">
        <f t="shared" si="77"/>
        <v/>
      </c>
      <c r="X398" s="245" t="str">
        <f>IF(W398="","",W398/$X$393)</f>
        <v/>
      </c>
      <c r="Y398" s="246" t="str">
        <f t="shared" si="78"/>
        <v/>
      </c>
    </row>
    <row r="399" spans="1:25" ht="14.1" customHeight="1" thickBot="1">
      <c r="A399" s="17">
        <v>39</v>
      </c>
      <c r="B399" s="67"/>
      <c r="C399" s="68"/>
      <c r="D399" s="162" t="s">
        <v>190</v>
      </c>
      <c r="E399" s="487" t="str">
        <f>IF(U434="","",U434)</f>
        <v/>
      </c>
      <c r="F399" s="68"/>
      <c r="G399" s="68"/>
      <c r="H399" s="68"/>
      <c r="I399" s="68"/>
      <c r="J399" s="68"/>
      <c r="K399" s="162" t="s">
        <v>190</v>
      </c>
      <c r="L399" s="207" t="str">
        <f t="shared" si="79"/>
        <v/>
      </c>
      <c r="M399" s="266" t="str">
        <f t="shared" si="79"/>
        <v/>
      </c>
      <c r="O399" s="318" t="s">
        <v>209</v>
      </c>
      <c r="P399" s="463" t="str">
        <f t="shared" ref="P399:Y399" si="80">IF(OR(P395="",P396="",P397="",P398=""),"",AVERAGE(P395:P398))</f>
        <v/>
      </c>
      <c r="Q399" s="464" t="str">
        <f t="shared" si="80"/>
        <v/>
      </c>
      <c r="R399" s="465" t="str">
        <f t="shared" si="80"/>
        <v/>
      </c>
      <c r="S399" s="466" t="str">
        <f t="shared" si="80"/>
        <v/>
      </c>
      <c r="T399" s="467" t="str">
        <f t="shared" si="80"/>
        <v/>
      </c>
      <c r="U399" s="463" t="str">
        <f t="shared" si="80"/>
        <v/>
      </c>
      <c r="V399" s="464" t="str">
        <f t="shared" si="80"/>
        <v/>
      </c>
      <c r="W399" s="465" t="str">
        <f t="shared" si="80"/>
        <v/>
      </c>
      <c r="X399" s="466" t="str">
        <f t="shared" si="80"/>
        <v/>
      </c>
      <c r="Y399" s="467" t="str">
        <f t="shared" si="80"/>
        <v/>
      </c>
    </row>
    <row r="400" spans="1:25" ht="14.1" customHeight="1">
      <c r="A400" s="17">
        <v>40</v>
      </c>
      <c r="B400" s="67"/>
      <c r="D400" s="3" t="s">
        <v>203</v>
      </c>
      <c r="E400" s="10" t="s">
        <v>364</v>
      </c>
      <c r="M400" s="744"/>
      <c r="O400" s="318" t="s">
        <v>340</v>
      </c>
      <c r="P400" s="324" t="str">
        <f t="shared" ref="P400:Y400" si="81">IF(OR(P395="",P396="",P397="",P398=""),"",_xlfn.STDEV.S(P395:P398))</f>
        <v/>
      </c>
      <c r="Q400" s="12" t="str">
        <f t="shared" si="81"/>
        <v/>
      </c>
      <c r="R400" s="12" t="str">
        <f t="shared" si="81"/>
        <v/>
      </c>
      <c r="S400" s="13" t="str">
        <f t="shared" si="81"/>
        <v/>
      </c>
      <c r="T400" s="241" t="str">
        <f t="shared" si="81"/>
        <v/>
      </c>
      <c r="U400" s="324" t="str">
        <f t="shared" si="81"/>
        <v/>
      </c>
      <c r="V400" s="12" t="str">
        <f t="shared" si="81"/>
        <v/>
      </c>
      <c r="W400" s="12" t="str">
        <f t="shared" si="81"/>
        <v/>
      </c>
      <c r="X400" s="13" t="str">
        <f t="shared" si="81"/>
        <v/>
      </c>
      <c r="Y400" s="241" t="str">
        <f t="shared" si="81"/>
        <v/>
      </c>
    </row>
    <row r="401" spans="1:25" ht="14.1" customHeight="1" thickBot="1">
      <c r="A401" s="17">
        <v>41</v>
      </c>
      <c r="B401" s="372"/>
      <c r="C401" s="373"/>
      <c r="D401" s="373"/>
      <c r="E401" s="373"/>
      <c r="F401" s="373"/>
      <c r="G401" s="373"/>
      <c r="H401" s="373"/>
      <c r="I401" s="373"/>
      <c r="J401" s="373"/>
      <c r="K401" s="373"/>
      <c r="L401" s="373"/>
      <c r="M401" s="374"/>
      <c r="O401" s="318" t="s">
        <v>273</v>
      </c>
      <c r="P401" s="190" t="str">
        <f t="shared" ref="P401:Y401" si="82">IF(OR(P399="",P400=""),"",P400/P399)</f>
        <v/>
      </c>
      <c r="Q401" s="184" t="str">
        <f t="shared" si="82"/>
        <v/>
      </c>
      <c r="R401" s="184" t="str">
        <f t="shared" si="82"/>
        <v/>
      </c>
      <c r="S401" s="325" t="str">
        <f t="shared" si="82"/>
        <v/>
      </c>
      <c r="T401" s="326" t="str">
        <f t="shared" si="82"/>
        <v/>
      </c>
      <c r="U401" s="190" t="str">
        <f t="shared" si="82"/>
        <v/>
      </c>
      <c r="V401" s="184" t="str">
        <f t="shared" si="82"/>
        <v/>
      </c>
      <c r="W401" s="184" t="str">
        <f t="shared" si="82"/>
        <v/>
      </c>
      <c r="X401" s="325" t="str">
        <f t="shared" si="82"/>
        <v/>
      </c>
      <c r="Y401" s="326" t="str">
        <f t="shared" si="82"/>
        <v/>
      </c>
    </row>
    <row r="402" spans="1:25" ht="14.1" customHeight="1">
      <c r="A402" s="17">
        <v>42</v>
      </c>
      <c r="B402" s="67"/>
      <c r="C402" s="68"/>
      <c r="F402" s="68"/>
      <c r="G402" s="68"/>
      <c r="H402" s="68"/>
      <c r="I402" s="68"/>
      <c r="J402" s="68"/>
      <c r="K402" s="68"/>
      <c r="L402" s="68"/>
      <c r="M402" s="69"/>
      <c r="O402" s="318" t="s">
        <v>342</v>
      </c>
      <c r="P402" s="752"/>
      <c r="Q402" s="752"/>
      <c r="R402" s="315"/>
      <c r="S402" s="316">
        <f>IF(AB88="","",AB88)</f>
        <v>0.12114819218253589</v>
      </c>
      <c r="T402" s="317">
        <f>IF(AB89="","",AB89)</f>
        <v>11.920722611722631</v>
      </c>
      <c r="U402" s="752"/>
      <c r="V402" s="752"/>
      <c r="W402" s="315"/>
      <c r="X402" s="316" t="str">
        <f>IF(AB90="","",AB90)</f>
        <v/>
      </c>
      <c r="Y402" s="317"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5">
        <f>IF(R310="","",R310)</f>
        <v>101.3</v>
      </c>
      <c r="M404" s="69"/>
      <c r="O404" s="30"/>
      <c r="Q404" s="138" t="s">
        <v>344</v>
      </c>
      <c r="Y404" s="32"/>
    </row>
    <row r="405" spans="1:25" ht="14.1" customHeight="1" thickBot="1">
      <c r="A405" s="17">
        <v>45</v>
      </c>
      <c r="B405" s="67"/>
      <c r="E405" s="35" t="s">
        <v>568</v>
      </c>
      <c r="F405" s="739">
        <f>IF(R311="","",R311)</f>
        <v>108</v>
      </c>
      <c r="M405" s="69"/>
      <c r="O405" s="40"/>
      <c r="P405" s="41"/>
      <c r="Q405" s="272" t="s">
        <v>345</v>
      </c>
      <c r="R405" s="41"/>
      <c r="S405" s="41"/>
      <c r="T405" s="41"/>
      <c r="U405" s="41"/>
      <c r="V405" s="41"/>
      <c r="W405" s="41"/>
      <c r="X405" s="41"/>
      <c r="Y405" s="42"/>
    </row>
    <row r="406" spans="1:25" ht="14.1" customHeight="1" thickBot="1">
      <c r="A406" s="17">
        <v>46</v>
      </c>
      <c r="B406" s="67"/>
      <c r="D406" s="691" t="s">
        <v>566</v>
      </c>
      <c r="E406" s="691" t="s">
        <v>565</v>
      </c>
      <c r="F406" s="691" t="s">
        <v>290</v>
      </c>
      <c r="M406" s="69"/>
      <c r="O406" s="136" t="s">
        <v>346</v>
      </c>
      <c r="P406" s="23"/>
      <c r="Q406" s="23"/>
      <c r="R406" s="23"/>
      <c r="S406" s="23"/>
      <c r="T406" s="23"/>
      <c r="U406" s="23"/>
      <c r="V406" s="23"/>
      <c r="W406" s="23"/>
      <c r="X406" s="23"/>
      <c r="Y406" s="24"/>
    </row>
    <row r="407" spans="1:25" ht="14.1" customHeight="1">
      <c r="A407" s="17">
        <v>47</v>
      </c>
      <c r="B407" s="67"/>
      <c r="C407" s="35" t="s">
        <v>581</v>
      </c>
      <c r="D407" s="692" t="str">
        <f t="shared" ref="D407:F409" si="83">IF(P313="","",P313)</f>
        <v/>
      </c>
      <c r="E407" s="693" t="str">
        <f t="shared" si="83"/>
        <v/>
      </c>
      <c r="F407" s="694" t="str">
        <f t="shared" si="83"/>
        <v/>
      </c>
      <c r="M407" s="69"/>
      <c r="O407" s="30"/>
      <c r="P407" s="35" t="s">
        <v>94</v>
      </c>
      <c r="Q407" s="751" t="str">
        <f>AK10&amp;"/"&amp;AL10</f>
        <v>Mo/Mo</v>
      </c>
      <c r="R407" s="35" t="s">
        <v>172</v>
      </c>
      <c r="S407" s="751">
        <f>AH27</f>
        <v>28</v>
      </c>
      <c r="T407" s="750"/>
      <c r="Y407" s="32"/>
    </row>
    <row r="408" spans="1:25" ht="14.1" customHeight="1">
      <c r="A408" s="17">
        <v>48</v>
      </c>
      <c r="B408" s="67"/>
      <c r="C408" s="35" t="s">
        <v>582</v>
      </c>
      <c r="D408" s="338" t="str">
        <f t="shared" si="83"/>
        <v/>
      </c>
      <c r="E408" s="296" t="str">
        <f t="shared" si="83"/>
        <v/>
      </c>
      <c r="F408" s="339" t="str">
        <f t="shared" si="83"/>
        <v/>
      </c>
      <c r="M408" s="69"/>
      <c r="O408" s="30"/>
      <c r="P408" s="750" t="s">
        <v>71</v>
      </c>
      <c r="Q408" s="750" t="s">
        <v>24</v>
      </c>
      <c r="R408" s="750" t="s">
        <v>25</v>
      </c>
      <c r="S408" s="750" t="s">
        <v>26</v>
      </c>
      <c r="T408" s="750" t="s">
        <v>334</v>
      </c>
      <c r="U408" s="750" t="s">
        <v>335</v>
      </c>
      <c r="V408" s="4"/>
      <c r="W408" s="4"/>
      <c r="X408" s="4"/>
      <c r="Y408" s="32"/>
    </row>
    <row r="409" spans="1:25" ht="14.1" customHeight="1" thickBot="1">
      <c r="A409" s="17">
        <v>49</v>
      </c>
      <c r="B409" s="67"/>
      <c r="C409" s="35" t="s">
        <v>583</v>
      </c>
      <c r="D409" s="387" t="str">
        <f t="shared" si="83"/>
        <v/>
      </c>
      <c r="E409" s="443" t="str">
        <f t="shared" si="83"/>
        <v/>
      </c>
      <c r="F409" s="388" t="str">
        <f t="shared" si="83"/>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 t="shared" ref="Q411:S412" si="84">IF(AM38="","",AM38)</f>
        <v/>
      </c>
      <c r="R411" s="106" t="str">
        <f t="shared" si="84"/>
        <v/>
      </c>
      <c r="S411" s="12" t="str">
        <f t="shared" si="84"/>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 t="shared" si="84"/>
        <v/>
      </c>
      <c r="R412" s="106" t="str">
        <f t="shared" si="84"/>
        <v/>
      </c>
      <c r="S412" s="12" t="str">
        <f t="shared" si="84"/>
        <v/>
      </c>
      <c r="T412" s="13" t="str">
        <f>IF(S412="","",S412/P412)</f>
        <v/>
      </c>
      <c r="U412" s="12" t="str">
        <f>IF(OR(S412="",R412=""),"",S412/(R412/1000))</f>
        <v/>
      </c>
      <c r="V412" s="4"/>
      <c r="W412" s="4"/>
      <c r="X412" s="4"/>
      <c r="Y412" s="32"/>
    </row>
    <row r="413" spans="1:25" ht="14.1" customHeight="1" thickBot="1">
      <c r="A413" s="17">
        <v>53</v>
      </c>
      <c r="B413" s="67"/>
      <c r="D413" s="691" t="s">
        <v>618</v>
      </c>
      <c r="E413" s="691" t="s">
        <v>590</v>
      </c>
      <c r="F413" s="691" t="s">
        <v>591</v>
      </c>
      <c r="G413" s="691"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2" t="str">
        <f>IF(U319="","",U319)</f>
        <v/>
      </c>
      <c r="E414" s="437" t="str">
        <f>IF(Q349="","",Q349)</f>
        <v/>
      </c>
      <c r="F414" s="437" t="str">
        <f>IF(Q350="","",Q350)</f>
        <v/>
      </c>
      <c r="G414" s="694" t="str">
        <f>IF(OR(R349="",R350=""),"",IF(AND(R349="Pass",R350="Pass"),"Pass","Fail"))</f>
        <v/>
      </c>
      <c r="M414" s="69"/>
      <c r="O414" s="30"/>
      <c r="P414" s="113" t="s">
        <v>203</v>
      </c>
      <c r="Q414" s="138" t="s">
        <v>348</v>
      </c>
      <c r="Y414" s="32"/>
    </row>
    <row r="415" spans="1:25" ht="14.1" customHeight="1">
      <c r="A415" s="17">
        <v>55</v>
      </c>
      <c r="B415" s="67"/>
      <c r="C415" s="35" t="s">
        <v>582</v>
      </c>
      <c r="D415" s="338" t="str">
        <f>IF(U327="","",U327)</f>
        <v/>
      </c>
      <c r="E415" s="303" t="str">
        <f>IF(T349="","",T349)</f>
        <v/>
      </c>
      <c r="F415" s="303" t="str">
        <f>IF(T350="","",T350)</f>
        <v/>
      </c>
      <c r="G415" s="339" t="str">
        <f>IF(OR(U349="",U350=""),"",IF(AND(U349="Pass",U350="Pass"),"Pass","Fail"))</f>
        <v/>
      </c>
      <c r="M415" s="69"/>
      <c r="O415" s="273" t="str">
        <f>IF(R412="","",IF(R412/1000&gt;=3,1,2))</f>
        <v/>
      </c>
      <c r="P415" s="21" t="s">
        <v>349</v>
      </c>
      <c r="Y415" s="32"/>
    </row>
    <row r="416" spans="1:25" ht="14.1" customHeight="1" thickBot="1">
      <c r="A416" s="17">
        <v>56</v>
      </c>
      <c r="B416" s="67"/>
      <c r="C416" s="35" t="s">
        <v>583</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6">
        <v>1</v>
      </c>
      <c r="R417" s="23" t="s">
        <v>496</v>
      </c>
      <c r="S417" s="23"/>
      <c r="T417" s="23"/>
      <c r="U417" s="23"/>
      <c r="V417" s="23"/>
      <c r="W417" s="23"/>
      <c r="X417" s="23"/>
      <c r="Y417" s="24"/>
    </row>
    <row r="418" spans="1:25" ht="14.1" customHeight="1">
      <c r="A418" s="17">
        <v>58</v>
      </c>
      <c r="B418" s="67"/>
      <c r="M418" s="69"/>
      <c r="O418" s="30"/>
      <c r="P418" s="672" t="s">
        <v>70</v>
      </c>
      <c r="Q418" s="673" t="str">
        <f>$P$371</f>
        <v>Mo/Mo</v>
      </c>
      <c r="R418" s="673" t="str">
        <f>$P$378</f>
        <v>Mo/</v>
      </c>
      <c r="S418" s="755" t="str">
        <f>$P$384</f>
        <v>/</v>
      </c>
      <c r="T418"/>
      <c r="U418"/>
      <c r="V418"/>
      <c r="W418"/>
      <c r="X418"/>
      <c r="Y418" s="32"/>
    </row>
    <row r="419" spans="1:25" ht="14.1" customHeight="1">
      <c r="A419" s="17">
        <v>59</v>
      </c>
      <c r="B419" s="67"/>
      <c r="C419" s="75" t="s">
        <v>593</v>
      </c>
      <c r="M419" s="69"/>
      <c r="O419" s="30"/>
      <c r="P419" s="674" t="s">
        <v>268</v>
      </c>
      <c r="Q419" s="675">
        <f>AH28</f>
        <v>28</v>
      </c>
      <c r="R419" s="675">
        <f>AH57</f>
        <v>28</v>
      </c>
      <c r="S419" s="756">
        <f>AH91</f>
        <v>28</v>
      </c>
      <c r="T419"/>
      <c r="U419"/>
      <c r="V419"/>
      <c r="W419"/>
      <c r="X419"/>
      <c r="Y419" s="32"/>
    </row>
    <row r="420" spans="1:25" ht="14.1" customHeight="1" thickBot="1">
      <c r="A420" s="17">
        <v>60</v>
      </c>
      <c r="B420" s="67"/>
      <c r="D420" s="691" t="s">
        <v>594</v>
      </c>
      <c r="E420" s="691" t="s">
        <v>595</v>
      </c>
      <c r="F420" s="691" t="s">
        <v>596</v>
      </c>
      <c r="G420" s="691" t="s">
        <v>597</v>
      </c>
      <c r="M420" s="69"/>
      <c r="O420" s="30"/>
      <c r="P420" s="674" t="s">
        <v>352</v>
      </c>
      <c r="Q420" s="1002" t="s">
        <v>353</v>
      </c>
      <c r="R420" s="1003"/>
      <c r="S420" s="1004"/>
      <c r="T420"/>
      <c r="U420"/>
      <c r="V420"/>
      <c r="W420"/>
      <c r="X420"/>
      <c r="Y420" s="32"/>
    </row>
    <row r="421" spans="1:25" ht="14.1" customHeight="1">
      <c r="A421" s="17">
        <v>61</v>
      </c>
      <c r="B421" s="67"/>
      <c r="C421" s="162" t="s">
        <v>186</v>
      </c>
      <c r="D421" s="692" t="str">
        <f t="shared" ref="D421:G424" si="85">IF(P357="","",P357)</f>
        <v/>
      </c>
      <c r="E421" s="693" t="str">
        <f t="shared" si="85"/>
        <v/>
      </c>
      <c r="F421" s="693" t="str">
        <f t="shared" si="85"/>
        <v/>
      </c>
      <c r="G421" s="694" t="str">
        <f t="shared" si="85"/>
        <v/>
      </c>
      <c r="M421" s="69"/>
      <c r="O421" s="30"/>
      <c r="P421" s="674">
        <v>0</v>
      </c>
      <c r="Q421" s="725" t="str">
        <f>IF(AO28="","",AO28)</f>
        <v/>
      </c>
      <c r="R421" s="725" t="str">
        <f>IF(AO57="","",AO57)</f>
        <v/>
      </c>
      <c r="S421" s="757" t="str">
        <f>IF(AO91="","",AVERAGE(AO91:AO92))</f>
        <v/>
      </c>
      <c r="T421"/>
      <c r="U421"/>
      <c r="V421"/>
      <c r="W421"/>
      <c r="X421"/>
      <c r="Y421" s="32"/>
    </row>
    <row r="422" spans="1:25" ht="14.1" customHeight="1">
      <c r="A422" s="17">
        <v>62</v>
      </c>
      <c r="B422" s="67"/>
      <c r="C422" s="162" t="s">
        <v>188</v>
      </c>
      <c r="D422" s="338" t="str">
        <f t="shared" si="85"/>
        <v/>
      </c>
      <c r="E422" s="296" t="str">
        <f t="shared" si="85"/>
        <v/>
      </c>
      <c r="F422" s="296" t="str">
        <f t="shared" si="85"/>
        <v/>
      </c>
      <c r="G422" s="339" t="str">
        <f t="shared" si="85"/>
        <v/>
      </c>
      <c r="M422" s="69"/>
      <c r="O422" s="30"/>
      <c r="P422" s="674">
        <v>0</v>
      </c>
      <c r="Q422" s="725" t="str">
        <f>IF(AO29="","",AO29)</f>
        <v/>
      </c>
      <c r="R422" s="725" t="str">
        <f>IF(AO58="","",AO58)</f>
        <v/>
      </c>
      <c r="S422" s="757" t="str">
        <f>IF(AO93="","",AVERAGE(AO93:AO94))</f>
        <v/>
      </c>
      <c r="T422"/>
      <c r="U422"/>
      <c r="V422"/>
      <c r="W422"/>
      <c r="X422"/>
      <c r="Y422" s="32"/>
    </row>
    <row r="423" spans="1:25" ht="14.1" customHeight="1">
      <c r="A423" s="17">
        <v>63</v>
      </c>
      <c r="B423" s="67"/>
      <c r="C423" s="162" t="s">
        <v>190</v>
      </c>
      <c r="D423" s="338" t="str">
        <f t="shared" si="85"/>
        <v/>
      </c>
      <c r="E423" s="296" t="str">
        <f t="shared" si="85"/>
        <v/>
      </c>
      <c r="F423" s="296" t="str">
        <f t="shared" si="85"/>
        <v/>
      </c>
      <c r="G423" s="339" t="str">
        <f t="shared" si="85"/>
        <v/>
      </c>
      <c r="M423" s="69"/>
      <c r="O423" s="30"/>
      <c r="P423" s="674" t="s">
        <v>354</v>
      </c>
      <c r="Q423" s="725" t="str">
        <f>IF(AQ28="","",AVERAGE(AQ27:AQ31))</f>
        <v/>
      </c>
      <c r="R423" s="725" t="str">
        <f>IF(AQ57="","",AVERAGE(AQ57:AQ58))</f>
        <v/>
      </c>
      <c r="S423" s="757" t="str">
        <f>IF(AQ91="","",AVERAGE(AQ91:AQ94))</f>
        <v/>
      </c>
      <c r="T423"/>
      <c r="U423"/>
      <c r="V423"/>
      <c r="W423"/>
      <c r="X423"/>
      <c r="Y423" s="32"/>
    </row>
    <row r="424" spans="1:25" ht="14.1" customHeight="1" thickBot="1">
      <c r="A424" s="17">
        <v>64</v>
      </c>
      <c r="B424" s="67"/>
      <c r="C424" s="162" t="s">
        <v>217</v>
      </c>
      <c r="D424" s="387" t="str">
        <f t="shared" si="85"/>
        <v/>
      </c>
      <c r="E424" s="443" t="str">
        <f t="shared" si="85"/>
        <v/>
      </c>
      <c r="F424" s="443" t="str">
        <f t="shared" si="85"/>
        <v/>
      </c>
      <c r="G424" s="388" t="str">
        <f t="shared" si="85"/>
        <v/>
      </c>
      <c r="M424" s="69"/>
      <c r="O424" s="30"/>
      <c r="P424" s="674" t="s">
        <v>355</v>
      </c>
      <c r="Q424" s="724" t="str">
        <f>IF(OR(Q421="",Q422=""),"",ABS(Q422-Q421)/Q421)</f>
        <v/>
      </c>
      <c r="R424" s="724" t="str">
        <f t="shared" ref="R424:S424" si="86">IF(OR(R421="",R422=""),"",ABS(R422-R421)/R421)</f>
        <v/>
      </c>
      <c r="S424" s="758" t="str">
        <f t="shared" si="86"/>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217</v>
      </c>
      <c r="Q425" s="443" t="str">
        <f t="shared" ref="Q425:R425" si="87">IF(Q423="","",IF(Q423&gt;=0.28,"Pass","Fail"))</f>
        <v/>
      </c>
      <c r="R425" s="443" t="str">
        <f t="shared" si="87"/>
        <v/>
      </c>
      <c r="S425" s="388" t="str">
        <f>IF(S423="","",IF(S423&gt;=0.28,"Pass","Fail"))</f>
        <v/>
      </c>
      <c r="T425"/>
      <c r="U425"/>
      <c r="V425"/>
      <c r="W425"/>
      <c r="X425"/>
      <c r="Y425" s="32"/>
    </row>
    <row r="426" spans="1:25" ht="14.1" customHeight="1">
      <c r="A426" s="17">
        <v>66</v>
      </c>
      <c r="B426" s="67"/>
      <c r="M426" s="69"/>
      <c r="O426" s="30"/>
      <c r="P426" s="113" t="s">
        <v>203</v>
      </c>
      <c r="Q426" s="191" t="s">
        <v>624</v>
      </c>
      <c r="R426" s="612"/>
      <c r="S426" s="612"/>
      <c r="T426" s="612"/>
      <c r="U426" s="612"/>
      <c r="V426" s="612" t="s">
        <v>553</v>
      </c>
      <c r="W426" s="306" t="s">
        <v>553</v>
      </c>
      <c r="X426" s="306" t="s">
        <v>553</v>
      </c>
      <c r="Y426" s="32"/>
    </row>
    <row r="427" spans="1:25" ht="14.1" customHeight="1" thickBot="1">
      <c r="A427" s="17">
        <v>67</v>
      </c>
      <c r="B427" s="67"/>
      <c r="C427" s="335" t="str">
        <f>IF(O362="","",IF(O362=1,"Pass",IF(O362=2,"Fail","NA")))</f>
        <v/>
      </c>
      <c r="D427" s="68" t="s">
        <v>728</v>
      </c>
      <c r="M427" s="69"/>
      <c r="O427" s="40"/>
      <c r="R427" s="4"/>
      <c r="S427" s="4"/>
      <c r="T427" s="4"/>
      <c r="U427" s="4"/>
      <c r="V427" s="4"/>
      <c r="W427" s="4"/>
      <c r="X427" s="4"/>
      <c r="Y427" s="42"/>
    </row>
    <row r="428" spans="1:25" ht="14.1" customHeight="1">
      <c r="A428" s="17">
        <v>68</v>
      </c>
      <c r="B428" s="67"/>
      <c r="C428" s="335"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5" t="str">
        <f>IF(O364="","",IF(O364=1,"Pass",IF(O364=2,"Fail","NA")))</f>
        <v/>
      </c>
      <c r="D429" s="68" t="s">
        <v>727</v>
      </c>
      <c r="J429" s="68"/>
      <c r="K429" s="68"/>
      <c r="L429" s="68"/>
      <c r="M429" s="69"/>
      <c r="O429" s="278" t="s">
        <v>322</v>
      </c>
      <c r="P429" s="35" t="s">
        <v>43</v>
      </c>
      <c r="Q429" s="264"/>
      <c r="R429" s="35" t="s">
        <v>336</v>
      </c>
      <c r="S429" s="264"/>
      <c r="U429" s="35" t="s">
        <v>356</v>
      </c>
      <c r="V429" s="264"/>
      <c r="Y429" s="32"/>
    </row>
    <row r="430" spans="1:25" ht="14.1" customHeight="1" thickBot="1">
      <c r="A430" s="17">
        <v>70</v>
      </c>
      <c r="B430" s="80"/>
      <c r="C430" s="670"/>
      <c r="D430" s="671"/>
      <c r="E430" s="665"/>
      <c r="F430" s="665"/>
      <c r="G430" s="665"/>
      <c r="H430" s="665"/>
      <c r="I430" s="665"/>
      <c r="J430" s="665"/>
      <c r="K430" s="665"/>
      <c r="L430" s="81"/>
      <c r="M430" s="82"/>
      <c r="O430" s="30"/>
      <c r="Y430" s="32"/>
    </row>
    <row r="431" spans="1:25" ht="14.1" customHeight="1" thickTop="1">
      <c r="A431" s="17">
        <v>71</v>
      </c>
      <c r="C431" s="109" t="s">
        <v>10</v>
      </c>
      <c r="D431" s="375">
        <f>IF($P$7="","",$P$7)</f>
        <v>43273</v>
      </c>
      <c r="E431" s="27"/>
      <c r="F431" s="27"/>
      <c r="G431" s="27"/>
      <c r="H431" s="27"/>
      <c r="I431" s="27"/>
      <c r="J431" s="27"/>
      <c r="K431" s="27"/>
      <c r="L431" s="109" t="s">
        <v>11</v>
      </c>
      <c r="M431" s="376" t="str">
        <f>IF($X$7="","",$X$7)</f>
        <v>Eugene Mah</v>
      </c>
      <c r="O431" s="30"/>
      <c r="P431" s="35"/>
      <c r="R431" s="21" t="s">
        <v>320</v>
      </c>
      <c r="V431" s="21" t="s">
        <v>320</v>
      </c>
      <c r="Y431" s="32"/>
    </row>
    <row r="432" spans="1:25" ht="14.1" customHeight="1">
      <c r="A432" s="17">
        <v>72</v>
      </c>
      <c r="C432" s="109" t="s">
        <v>120</v>
      </c>
      <c r="D432" s="376" t="str">
        <f>IF($R$14="","",$R$14)</f>
        <v>1C07</v>
      </c>
      <c r="E432" s="27"/>
      <c r="F432" s="27"/>
      <c r="G432" s="27"/>
      <c r="H432" s="27"/>
      <c r="I432" s="27"/>
      <c r="J432" s="27"/>
      <c r="K432" s="27"/>
      <c r="L432" s="109" t="s">
        <v>36</v>
      </c>
      <c r="M432" s="376">
        <f>IF($R$13="","",$R$13)</f>
        <v>2302</v>
      </c>
      <c r="O432" s="30"/>
      <c r="P432" s="35" t="s">
        <v>172</v>
      </c>
      <c r="Q432" s="145"/>
      <c r="R432" s="122" t="str">
        <f t="shared" ref="R432:R437" si="88">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4" t="str">
        <f>$H$2</f>
        <v>Medical University of South Carolina</v>
      </c>
      <c r="O433" s="30"/>
      <c r="P433" s="35" t="s">
        <v>175</v>
      </c>
      <c r="Q433" s="145"/>
      <c r="R433" s="122" t="str">
        <f t="shared" si="88"/>
        <v/>
      </c>
      <c r="T433" s="35" t="s">
        <v>188</v>
      </c>
      <c r="U433" s="145"/>
      <c r="V433" s="122" t="str">
        <f>IF(AB100="","",AB100)</f>
        <v/>
      </c>
      <c r="Y433" s="32"/>
    </row>
    <row r="434" spans="1:25" ht="14.1" customHeight="1" thickBot="1">
      <c r="A434" s="17">
        <v>2</v>
      </c>
      <c r="C434" s="68"/>
      <c r="D434" s="68"/>
      <c r="E434" s="68"/>
      <c r="F434" s="68"/>
      <c r="G434" s="68"/>
      <c r="H434" s="745" t="s">
        <v>72</v>
      </c>
      <c r="I434" s="68"/>
      <c r="J434" s="68"/>
      <c r="K434" s="68"/>
      <c r="L434" s="68"/>
      <c r="M434" s="3" t="str">
        <f>$H$5</f>
        <v>Mammography System Compliance Inspection</v>
      </c>
      <c r="O434" s="30"/>
      <c r="P434" s="35" t="s">
        <v>328</v>
      </c>
      <c r="Q434" s="145"/>
      <c r="R434" s="122" t="str">
        <f t="shared" si="88"/>
        <v/>
      </c>
      <c r="T434" s="35" t="s">
        <v>190</v>
      </c>
      <c r="U434" s="145"/>
      <c r="V434" s="122" t="str">
        <f>IF(AB101="","",AB101)</f>
        <v/>
      </c>
      <c r="Y434" s="32"/>
    </row>
    <row r="435" spans="1:25" ht="14.1" customHeight="1" thickTop="1" thickBot="1">
      <c r="A435" s="17">
        <v>3</v>
      </c>
      <c r="B435" s="58"/>
      <c r="C435" s="60" t="s">
        <v>796</v>
      </c>
      <c r="D435" s="59"/>
      <c r="E435" s="59"/>
      <c r="F435" s="59"/>
      <c r="G435" s="59"/>
      <c r="H435" s="59"/>
      <c r="I435" s="59"/>
      <c r="J435" s="59"/>
      <c r="K435" s="59"/>
      <c r="L435" s="59"/>
      <c r="M435" s="61"/>
      <c r="O435" s="30"/>
      <c r="P435" s="35" t="s">
        <v>181</v>
      </c>
      <c r="Q435" s="145"/>
      <c r="R435" s="122" t="str">
        <f t="shared" si="88"/>
        <v/>
      </c>
      <c r="T435" s="35" t="s">
        <v>217</v>
      </c>
      <c r="U435" s="144" t="str">
        <f>IF(OR(U432="",U433="",U434=""),"",IF(AND(U432&gt;=5,U433&gt;=4,U434&gt;=4),"Pass","Fail"))</f>
        <v/>
      </c>
      <c r="Y435" s="32"/>
    </row>
    <row r="436" spans="1:25" ht="14.1" customHeight="1">
      <c r="A436" s="17">
        <v>4</v>
      </c>
      <c r="B436" s="67"/>
      <c r="E436" s="996" t="s">
        <v>803</v>
      </c>
      <c r="F436" s="997"/>
      <c r="G436" s="997"/>
      <c r="H436" s="998"/>
      <c r="M436" s="69"/>
      <c r="O436" s="30"/>
      <c r="P436" s="35" t="s">
        <v>183</v>
      </c>
      <c r="Q436" s="145"/>
      <c r="R436" s="122" t="str">
        <f t="shared" si="88"/>
        <v/>
      </c>
      <c r="T436" s="113" t="s">
        <v>203</v>
      </c>
      <c r="U436" s="138" t="s">
        <v>357</v>
      </c>
      <c r="Y436" s="32"/>
    </row>
    <row r="437" spans="1:25" ht="14.1" customHeight="1">
      <c r="A437" s="17">
        <v>5</v>
      </c>
      <c r="B437" s="67"/>
      <c r="C437" s="886" t="s">
        <v>797</v>
      </c>
      <c r="D437" s="890" t="str">
        <f t="shared" ref="D437:H438" si="89">IF(P468="","",P468)</f>
        <v/>
      </c>
      <c r="E437" s="890" t="str">
        <f t="shared" si="89"/>
        <v/>
      </c>
      <c r="F437" s="890" t="str">
        <f t="shared" si="89"/>
        <v/>
      </c>
      <c r="G437" s="890" t="str">
        <f t="shared" si="89"/>
        <v/>
      </c>
      <c r="H437" s="890" t="str">
        <f t="shared" si="89"/>
        <v/>
      </c>
      <c r="M437" s="69"/>
      <c r="O437" s="30"/>
      <c r="P437" s="35" t="s">
        <v>184</v>
      </c>
      <c r="Q437" s="16" t="str">
        <f>IF(OR(Q435="",Q436=""),"",Q436-Q435)</f>
        <v/>
      </c>
      <c r="R437" s="122" t="str">
        <f t="shared" si="88"/>
        <v/>
      </c>
      <c r="Y437" s="32"/>
    </row>
    <row r="438" spans="1:25" ht="14.1" customHeight="1">
      <c r="A438" s="17">
        <v>6</v>
      </c>
      <c r="B438" s="67"/>
      <c r="C438" s="886" t="s">
        <v>798</v>
      </c>
      <c r="D438" s="890" t="str">
        <f t="shared" si="89"/>
        <v/>
      </c>
      <c r="E438" s="890" t="str">
        <f t="shared" si="89"/>
        <v/>
      </c>
      <c r="F438" s="890" t="str">
        <f t="shared" si="89"/>
        <v/>
      </c>
      <c r="G438" s="890" t="str">
        <f t="shared" si="89"/>
        <v/>
      </c>
      <c r="H438" s="890" t="str">
        <f t="shared" si="89"/>
        <v/>
      </c>
      <c r="M438" s="69"/>
      <c r="O438" s="30"/>
      <c r="Y438" s="32"/>
    </row>
    <row r="439" spans="1:25" ht="14.1" customHeight="1">
      <c r="A439" s="17">
        <v>7</v>
      </c>
      <c r="B439" s="67"/>
      <c r="C439" s="892"/>
      <c r="D439" s="893"/>
      <c r="E439" s="893"/>
      <c r="F439" s="893"/>
      <c r="G439" s="893"/>
      <c r="H439" s="894"/>
      <c r="M439" s="69"/>
      <c r="O439" s="278" t="s">
        <v>358</v>
      </c>
      <c r="Y439" s="32"/>
    </row>
    <row r="440" spans="1:25" ht="14.1" customHeight="1">
      <c r="A440" s="17">
        <v>8</v>
      </c>
      <c r="B440" s="67"/>
      <c r="C440" s="891" t="s">
        <v>799</v>
      </c>
      <c r="D440" s="296" t="str">
        <f t="shared" ref="D440:H444" si="90">IF(P471="","",P471)</f>
        <v/>
      </c>
      <c r="E440" s="296" t="str">
        <f t="shared" si="90"/>
        <v/>
      </c>
      <c r="F440" s="296" t="str">
        <f t="shared" si="90"/>
        <v/>
      </c>
      <c r="G440" s="296" t="str">
        <f t="shared" si="90"/>
        <v/>
      </c>
      <c r="H440" s="296" t="str">
        <f t="shared" si="90"/>
        <v/>
      </c>
      <c r="M440" s="69"/>
      <c r="O440" s="30"/>
      <c r="Q440" s="35" t="s">
        <v>326</v>
      </c>
      <c r="R440" s="264"/>
      <c r="U440" s="35" t="s">
        <v>326</v>
      </c>
      <c r="V440" s="264"/>
      <c r="Y440" s="32"/>
    </row>
    <row r="441" spans="1:25" ht="14.1" customHeight="1">
      <c r="A441" s="17">
        <v>9</v>
      </c>
      <c r="B441" s="67"/>
      <c r="C441" s="891" t="s">
        <v>800</v>
      </c>
      <c r="D441" s="296" t="str">
        <f t="shared" si="90"/>
        <v/>
      </c>
      <c r="E441" s="296" t="str">
        <f t="shared" si="90"/>
        <v/>
      </c>
      <c r="F441" s="296" t="str">
        <f t="shared" si="90"/>
        <v/>
      </c>
      <c r="G441" s="296" t="str">
        <f t="shared" si="90"/>
        <v/>
      </c>
      <c r="H441" s="296" t="str">
        <f t="shared" si="90"/>
        <v/>
      </c>
      <c r="M441" s="69"/>
      <c r="O441" s="30"/>
      <c r="Q441" s="750" t="s">
        <v>253</v>
      </c>
      <c r="R441" s="750" t="s">
        <v>254</v>
      </c>
      <c r="U441" s="750" t="s">
        <v>253</v>
      </c>
      <c r="V441" s="750" t="s">
        <v>254</v>
      </c>
      <c r="Y441" s="32"/>
    </row>
    <row r="442" spans="1:25" ht="14.1" customHeight="1">
      <c r="A442" s="17">
        <v>10</v>
      </c>
      <c r="B442" s="67"/>
      <c r="C442" s="891" t="s">
        <v>801</v>
      </c>
      <c r="D442" s="296" t="str">
        <f t="shared" si="90"/>
        <v/>
      </c>
      <c r="E442" s="296" t="str">
        <f t="shared" si="90"/>
        <v/>
      </c>
      <c r="F442" s="296" t="str">
        <f t="shared" si="90"/>
        <v/>
      </c>
      <c r="G442" s="296" t="str">
        <f t="shared" si="90"/>
        <v/>
      </c>
      <c r="H442" s="296" t="str">
        <f t="shared" si="90"/>
        <v/>
      </c>
      <c r="M442" s="69"/>
      <c r="O442" s="161"/>
      <c r="P442" s="35" t="s">
        <v>186</v>
      </c>
      <c r="Q442" s="145"/>
      <c r="R442" s="145"/>
      <c r="T442" s="35" t="s">
        <v>186</v>
      </c>
      <c r="U442" s="145"/>
      <c r="V442" s="145"/>
      <c r="Y442" s="32"/>
    </row>
    <row r="443" spans="1:25" ht="14.1" customHeight="1">
      <c r="A443" s="17">
        <v>11</v>
      </c>
      <c r="B443" s="67"/>
      <c r="C443" s="891" t="s">
        <v>802</v>
      </c>
      <c r="D443" s="15" t="str">
        <f t="shared" si="90"/>
        <v/>
      </c>
      <c r="E443" s="15" t="str">
        <f t="shared" si="90"/>
        <v/>
      </c>
      <c r="F443" s="15" t="str">
        <f t="shared" si="90"/>
        <v/>
      </c>
      <c r="G443" s="15" t="str">
        <f t="shared" si="90"/>
        <v/>
      </c>
      <c r="H443" s="15" t="str">
        <f t="shared" si="90"/>
        <v/>
      </c>
      <c r="M443" s="69"/>
      <c r="O443" s="161"/>
      <c r="P443" s="35" t="s">
        <v>188</v>
      </c>
      <c r="Q443" s="145"/>
      <c r="R443" s="145"/>
      <c r="T443" s="35" t="s">
        <v>188</v>
      </c>
      <c r="U443" s="145"/>
      <c r="V443" s="145"/>
      <c r="Y443" s="32"/>
    </row>
    <row r="444" spans="1:25" ht="14.1" customHeight="1">
      <c r="A444" s="17">
        <v>12</v>
      </c>
      <c r="B444" s="67"/>
      <c r="C444" s="891" t="s">
        <v>804</v>
      </c>
      <c r="D444" s="15" t="str">
        <f t="shared" si="90"/>
        <v/>
      </c>
      <c r="E444" s="15" t="str">
        <f t="shared" si="90"/>
        <v/>
      </c>
      <c r="F444" s="15" t="str">
        <f t="shared" si="90"/>
        <v/>
      </c>
      <c r="G444" s="15" t="str">
        <f t="shared" si="90"/>
        <v/>
      </c>
      <c r="H444" s="886" t="str">
        <f t="shared" si="90"/>
        <v/>
      </c>
      <c r="M444" s="69"/>
      <c r="O444" s="161"/>
      <c r="P444" s="35" t="s">
        <v>190</v>
      </c>
      <c r="Q444" s="145"/>
      <c r="R444" s="145"/>
      <c r="T444" s="35" t="s">
        <v>190</v>
      </c>
      <c r="U444" s="145"/>
      <c r="V444" s="145"/>
      <c r="Y444" s="32"/>
    </row>
    <row r="445" spans="1:25" ht="14.1" customHeight="1">
      <c r="A445" s="17">
        <v>13</v>
      </c>
      <c r="B445" s="67"/>
      <c r="C445" s="895"/>
      <c r="D445" s="113" t="s">
        <v>203</v>
      </c>
      <c r="E445" s="138" t="s">
        <v>805</v>
      </c>
      <c r="F445" s="895"/>
      <c r="G445" s="895"/>
      <c r="H445" s="895"/>
      <c r="M445" s="69"/>
      <c r="O445" s="30"/>
      <c r="Y445" s="32"/>
    </row>
    <row r="446" spans="1:25" ht="14.1" customHeight="1" thickBot="1">
      <c r="A446" s="17">
        <v>14</v>
      </c>
      <c r="B446" s="372"/>
      <c r="C446" s="373"/>
      <c r="D446" s="373"/>
      <c r="E446" s="373"/>
      <c r="F446" s="373"/>
      <c r="G446" s="373"/>
      <c r="H446" s="373"/>
      <c r="I446" s="373"/>
      <c r="J446" s="373"/>
      <c r="K446" s="373"/>
      <c r="L446" s="373"/>
      <c r="M446" s="374"/>
      <c r="O446" s="278" t="s">
        <v>359</v>
      </c>
      <c r="Q446" s="4"/>
      <c r="R446" s="35" t="s">
        <v>360</v>
      </c>
      <c r="S446" s="753">
        <f>Q259</f>
        <v>0</v>
      </c>
      <c r="Y446" s="32"/>
    </row>
    <row r="447" spans="1:25" ht="14.1" customHeight="1">
      <c r="A447" s="17">
        <v>15</v>
      </c>
      <c r="B447" s="67"/>
      <c r="M447" s="69"/>
      <c r="O447" s="30"/>
      <c r="P447" s="35" t="s">
        <v>70</v>
      </c>
      <c r="Q447" s="279" t="s">
        <v>236</v>
      </c>
      <c r="R447" s="279" t="s">
        <v>261</v>
      </c>
      <c r="S447" s="279" t="s">
        <v>237</v>
      </c>
      <c r="T447" s="35" t="s">
        <v>320</v>
      </c>
      <c r="U447" s="35" t="s">
        <v>70</v>
      </c>
      <c r="V447" s="279" t="s">
        <v>236</v>
      </c>
      <c r="W447" s="279" t="s">
        <v>261</v>
      </c>
      <c r="X447" s="279" t="s">
        <v>237</v>
      </c>
      <c r="Y447" s="32"/>
    </row>
    <row r="448" spans="1:25" ht="14.1" customHeight="1">
      <c r="A448" s="17">
        <v>16</v>
      </c>
      <c r="B448" s="67"/>
      <c r="C448" s="644" t="s">
        <v>223</v>
      </c>
      <c r="D448" s="567" t="str">
        <f>IF(Q491="","",IF(LEN(Q491)&lt;=135,Q491,IF(LEN(Q491)&lt;=260,LEFT(Q491,SEARCH(" ",Q491,125)),LEFT(Q491,SEARCH(" ",Q491,130)))))</f>
        <v/>
      </c>
      <c r="E448" s="645"/>
      <c r="F448" s="645"/>
      <c r="G448" s="645"/>
      <c r="H448" s="645"/>
      <c r="I448" s="645"/>
      <c r="J448" s="645"/>
      <c r="K448" s="645"/>
      <c r="L448" s="645"/>
      <c r="M448" s="69"/>
      <c r="O448" s="30"/>
      <c r="P448" s="35" t="s">
        <v>268</v>
      </c>
      <c r="Q448" s="280"/>
      <c r="R448" s="281"/>
      <c r="S448" s="282"/>
      <c r="T448" s="4"/>
      <c r="U448" s="35" t="s">
        <v>268</v>
      </c>
      <c r="V448" s="283">
        <f>IF(AB103="","",AB103)</f>
        <v>28</v>
      </c>
      <c r="W448" s="284" t="str">
        <f>IF(AB108="","",AB108)</f>
        <v/>
      </c>
      <c r="X448" s="285" t="str">
        <f>IF(AB113="","",AB113)</f>
        <v/>
      </c>
      <c r="Y448" s="32"/>
    </row>
    <row r="449" spans="1:30" ht="14.1" customHeight="1">
      <c r="A449" s="17">
        <v>17</v>
      </c>
      <c r="B449" s="67"/>
      <c r="C449" s="650"/>
      <c r="D449" s="568" t="str">
        <f>IF(LEN(Q491)&lt;=135,"",IF(LEN(Q491)&lt;=260,RIGHT(Q491,LEN(Q491)-SEARCH(" ",Q491,125)),MID(Q491,SEARCH(" ",Q491,130),IF(LEN(Q491)&lt;=265,LEN(Q491),SEARCH(" ",Q491,255)-SEARCH(" ",Q491,130)))))</f>
        <v/>
      </c>
      <c r="E449" s="651"/>
      <c r="F449" s="651"/>
      <c r="G449" s="651"/>
      <c r="H449" s="651"/>
      <c r="I449" s="651"/>
      <c r="J449" s="651"/>
      <c r="K449" s="651"/>
      <c r="L449" s="651"/>
      <c r="M449" s="69"/>
      <c r="O449" s="30"/>
      <c r="P449" s="35" t="s">
        <v>71</v>
      </c>
      <c r="Q449" s="286"/>
      <c r="R449" s="287"/>
      <c r="S449" s="288"/>
      <c r="T449" s="4"/>
      <c r="U449" s="35" t="s">
        <v>71</v>
      </c>
      <c r="V449" s="289">
        <f>IF(AB104="","",AB104)</f>
        <v>93</v>
      </c>
      <c r="W449" s="290" t="str">
        <f>IF(AB109="","",AB109)</f>
        <v/>
      </c>
      <c r="X449" s="291" t="str">
        <f>IF(AB114="","",AB114)</f>
        <v/>
      </c>
      <c r="Y449" s="32"/>
    </row>
    <row r="450" spans="1:30" ht="14.1" customHeight="1">
      <c r="A450" s="17">
        <v>18</v>
      </c>
      <c r="B450" s="67"/>
      <c r="C450" s="650"/>
      <c r="D450" s="568" t="str">
        <f>IF(LEN(Q491)&lt;=265,"",RIGHT(Q491,LEN(Q491)-SEARCH(" ",Q491,255)))</f>
        <v/>
      </c>
      <c r="E450" s="651"/>
      <c r="F450" s="651"/>
      <c r="G450" s="651"/>
      <c r="H450" s="651"/>
      <c r="I450" s="651"/>
      <c r="J450" s="651"/>
      <c r="K450" s="651"/>
      <c r="L450" s="651"/>
      <c r="M450" s="69"/>
      <c r="O450" s="30"/>
      <c r="P450" s="35" t="s">
        <v>361</v>
      </c>
      <c r="Q450" s="286"/>
      <c r="R450" s="287"/>
      <c r="S450" s="288"/>
      <c r="T450" s="4"/>
      <c r="U450" s="35" t="s">
        <v>361</v>
      </c>
      <c r="V450" s="289">
        <f>IF(AB105="","",AB105)</f>
        <v>4</v>
      </c>
      <c r="W450" s="290" t="str">
        <f>IF(AB110="","",AB110)</f>
        <v/>
      </c>
      <c r="X450" s="291" t="str">
        <f>IF(AB115="","",AB115)</f>
        <v/>
      </c>
      <c r="Y450" s="32"/>
    </row>
    <row r="451" spans="1:30" ht="14.1" customHeight="1">
      <c r="A451" s="17">
        <v>19</v>
      </c>
      <c r="B451" s="67"/>
      <c r="C451" s="660"/>
      <c r="D451" s="568" t="str">
        <f>IF(Q493="","",IF(LEN(Q493)&lt;=135,Q493,IF(LEN(Q493)&lt;=260,LEFT(Q493,SEARCH(" ",Q493,125)),LEFT(Q493,SEARCH(" ",Q493,130)))))</f>
        <v/>
      </c>
      <c r="E451" s="651"/>
      <c r="F451" s="651"/>
      <c r="G451" s="651"/>
      <c r="H451" s="651"/>
      <c r="I451" s="651"/>
      <c r="J451" s="651"/>
      <c r="K451" s="651"/>
      <c r="L451" s="651"/>
      <c r="M451" s="69"/>
      <c r="O451" s="30"/>
      <c r="P451" s="35" t="s">
        <v>362</v>
      </c>
      <c r="Q451" s="286"/>
      <c r="R451" s="287"/>
      <c r="S451" s="288"/>
      <c r="T451" s="4"/>
      <c r="U451" s="35" t="s">
        <v>362</v>
      </c>
      <c r="V451" s="289">
        <f>IF(AB106="","",AB106)</f>
        <v>3</v>
      </c>
      <c r="W451" s="290" t="str">
        <f>IF(AB111="","",AB111)</f>
        <v/>
      </c>
      <c r="X451" s="291" t="str">
        <f>IF(AB116="","",AB116)</f>
        <v/>
      </c>
      <c r="Y451" s="32"/>
    </row>
    <row r="452" spans="1:30" ht="14.1" customHeight="1">
      <c r="A452" s="17">
        <v>20</v>
      </c>
      <c r="B452" s="67"/>
      <c r="C452" s="660"/>
      <c r="D452" s="568" t="str">
        <f>IF(LEN(Q493)&lt;=135,"",IF(LEN(Q493)&lt;=260,RIGHT(Q493,LEN(Q493)-SEARCH(" ",Q493,125)),MID(Q493,SEARCH(" ",Q493,130),IF(LEN(Q493)&lt;=265,LEN(Q493),SEARCH(" ",Q493,255)-SEARCH(" ",Q493,130)))))</f>
        <v/>
      </c>
      <c r="E452" s="651"/>
      <c r="F452" s="651"/>
      <c r="G452" s="651"/>
      <c r="H452" s="651"/>
      <c r="I452" s="651"/>
      <c r="J452" s="651"/>
      <c r="K452" s="651"/>
      <c r="L452" s="651"/>
      <c r="M452" s="69"/>
      <c r="O452" s="30"/>
      <c r="P452" s="35" t="s">
        <v>363</v>
      </c>
      <c r="Q452" s="286"/>
      <c r="R452" s="287"/>
      <c r="S452" s="288"/>
      <c r="T452" s="4"/>
      <c r="U452" s="35" t="s">
        <v>363</v>
      </c>
      <c r="V452" s="289">
        <f>IF(AB107="","",AB107)</f>
        <v>4</v>
      </c>
      <c r="W452" s="290" t="str">
        <f>IF(AB112="","",AB112)</f>
        <v/>
      </c>
      <c r="X452" s="291" t="str">
        <f>IF(AB117="","",AB117)</f>
        <v/>
      </c>
      <c r="Y452" s="32"/>
    </row>
    <row r="453" spans="1:30" ht="14.1" customHeight="1">
      <c r="A453" s="17">
        <v>21</v>
      </c>
      <c r="B453" s="67"/>
      <c r="C453" s="660"/>
      <c r="D453" s="568" t="str">
        <f>IF(LEN(Q493)&lt;=265,"",RIGHT(Q493,LEN(Q493)-SEARCH(" ",Q493,255)))</f>
        <v/>
      </c>
      <c r="E453" s="651"/>
      <c r="F453" s="651"/>
      <c r="G453" s="651"/>
      <c r="H453" s="651"/>
      <c r="I453" s="651"/>
      <c r="J453" s="651"/>
      <c r="K453" s="651"/>
      <c r="L453" s="651"/>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62"/>
      <c r="D454" s="568" t="str">
        <f>IF(Q495="","",IF(LEN(Q495)&lt;=135,Q495,IF(LEN(Q495)&lt;=260,LEFT(Q495,SEARCH(" ",Q495,125)),LEFT(Q495,SEARCH(" ",Q495,130)))))</f>
        <v/>
      </c>
      <c r="E454" s="651"/>
      <c r="F454" s="651"/>
      <c r="G454" s="651"/>
      <c r="H454" s="651"/>
      <c r="I454" s="651"/>
      <c r="J454" s="651"/>
      <c r="K454" s="651"/>
      <c r="L454" s="651"/>
      <c r="M454" s="69"/>
      <c r="O454" s="40"/>
      <c r="P454" s="293" t="s">
        <v>203</v>
      </c>
      <c r="Q454" s="294" t="s">
        <v>364</v>
      </c>
      <c r="R454" s="192"/>
      <c r="S454" s="192"/>
      <c r="T454" s="41"/>
      <c r="U454" s="41"/>
      <c r="V454" s="41"/>
      <c r="W454" s="41"/>
      <c r="X454" s="41"/>
      <c r="Y454" s="42"/>
      <c r="AA454" s="961" t="s">
        <v>787</v>
      </c>
      <c r="AB454" s="961"/>
      <c r="AC454" s="961" t="s">
        <v>788</v>
      </c>
      <c r="AD454" s="961"/>
    </row>
    <row r="455" spans="1:30" ht="14.1" customHeight="1">
      <c r="A455" s="17">
        <v>23</v>
      </c>
      <c r="B455" s="67"/>
      <c r="C455" s="662"/>
      <c r="D455" s="568" t="str">
        <f>IF(LEN(Q495)&lt;=135,"",IF(LEN(Q495)&lt;=260,RIGHT(Q495,LEN(Q495)-SEARCH(" ",Q495,125)),MID(Q495,SEARCH(" ",Q495,130),IF(LEN(Q495)&lt;=265,LEN(Q495),SEARCH(" ",Q495,255)-SEARCH(" ",Q495,130)))))</f>
        <v/>
      </c>
      <c r="E455" s="651"/>
      <c r="F455" s="651"/>
      <c r="G455" s="651"/>
      <c r="H455" s="651"/>
      <c r="I455" s="651"/>
      <c r="J455" s="651"/>
      <c r="K455" s="651"/>
      <c r="L455" s="651"/>
      <c r="M455" s="69"/>
      <c r="O455" s="139" t="s">
        <v>365</v>
      </c>
      <c r="Y455" s="32"/>
      <c r="AA455" s="861" t="s">
        <v>366</v>
      </c>
      <c r="AB455" s="861" t="s">
        <v>367</v>
      </c>
      <c r="AC455" s="861" t="s">
        <v>366</v>
      </c>
      <c r="AD455" s="861" t="s">
        <v>367</v>
      </c>
    </row>
    <row r="456" spans="1:30" ht="14.1" customHeight="1">
      <c r="A456" s="17">
        <v>24</v>
      </c>
      <c r="B456" s="67"/>
      <c r="C456" s="662"/>
      <c r="D456" s="568" t="str">
        <f>IF(LEN(Q495)&lt;=265,"",RIGHT(Q495,LEN(Q495)-SEARCH(" ",Q495,255)))</f>
        <v/>
      </c>
      <c r="E456" s="651"/>
      <c r="F456" s="651"/>
      <c r="G456" s="651"/>
      <c r="H456" s="651"/>
      <c r="I456" s="651"/>
      <c r="J456" s="651"/>
      <c r="K456" s="651"/>
      <c r="L456" s="651"/>
      <c r="M456" s="69"/>
      <c r="O456" s="30"/>
      <c r="T456" s="750" t="s">
        <v>366</v>
      </c>
      <c r="U456" s="750" t="s">
        <v>367</v>
      </c>
      <c r="Y456" s="32"/>
      <c r="AA456" s="21">
        <v>345</v>
      </c>
      <c r="AB456" s="21">
        <v>5.7</v>
      </c>
      <c r="AC456" s="21">
        <v>357.6</v>
      </c>
      <c r="AD456" s="21">
        <v>5.6</v>
      </c>
    </row>
    <row r="457" spans="1:30" ht="14.1" customHeight="1">
      <c r="A457" s="17">
        <v>25</v>
      </c>
      <c r="B457" s="67"/>
      <c r="C457" s="622"/>
      <c r="D457" s="568" t="str">
        <f>IF(Q497="","",IF(LEN(Q497)&lt;=135,Q497,IF(LEN(Q497)&lt;=260,LEFT(Q497,SEARCH(" ",Q497,125)),LEFT(Q497,SEARCH(" ",Q497,130)))))</f>
        <v/>
      </c>
      <c r="E457" s="651"/>
      <c r="F457" s="651"/>
      <c r="G457" s="651"/>
      <c r="H457" s="651"/>
      <c r="I457" s="651"/>
      <c r="J457" s="651"/>
      <c r="K457" s="651"/>
      <c r="L457" s="651"/>
      <c r="M457" s="69"/>
      <c r="O457" s="30"/>
      <c r="P457" s="35" t="s">
        <v>172</v>
      </c>
      <c r="Q457" s="137"/>
      <c r="R457" s="35"/>
      <c r="S457" s="35" t="s">
        <v>368</v>
      </c>
      <c r="T457" s="145"/>
      <c r="U457" s="145"/>
      <c r="Y457" s="32"/>
      <c r="AA457" s="21">
        <v>345.7</v>
      </c>
      <c r="AB457" s="21">
        <v>5.7</v>
      </c>
      <c r="AC457" s="21">
        <v>358.1</v>
      </c>
      <c r="AD457" s="21">
        <v>5.8</v>
      </c>
    </row>
    <row r="458" spans="1:30" ht="14.1" customHeight="1">
      <c r="A458" s="17">
        <v>26</v>
      </c>
      <c r="B458" s="67"/>
      <c r="C458" s="650"/>
      <c r="D458" s="568" t="str">
        <f>IF(LEN(Q497)&lt;=135,"",IF(LEN(Q497)&lt;=260,RIGHT(Q497,LEN(Q497)-SEARCH(" ",Q497,125)),MID(Q497,SEARCH(" ",Q497,130),IF(LEN(Q497)&lt;=265,LEN(Q497),SEARCH(" ",Q497,255)-SEARCH(" ",Q497,130)))))</f>
        <v/>
      </c>
      <c r="E458" s="651"/>
      <c r="F458" s="651"/>
      <c r="G458" s="651"/>
      <c r="H458" s="651"/>
      <c r="I458" s="651"/>
      <c r="J458" s="651"/>
      <c r="K458" s="651"/>
      <c r="L458" s="651"/>
      <c r="M458" s="69"/>
      <c r="O458" s="30"/>
      <c r="P458" s="35" t="s">
        <v>175</v>
      </c>
      <c r="Q458" s="137"/>
      <c r="R458" s="35"/>
      <c r="S458" s="35" t="s">
        <v>369</v>
      </c>
      <c r="T458" s="145"/>
      <c r="U458" s="145"/>
      <c r="Y458" s="32"/>
      <c r="AA458" s="21">
        <v>342.9</v>
      </c>
      <c r="AB458" s="21">
        <v>5.8</v>
      </c>
      <c r="AC458" s="21">
        <v>355.4</v>
      </c>
      <c r="AD458" s="21">
        <v>5.7</v>
      </c>
    </row>
    <row r="459" spans="1:30" ht="14.1" customHeight="1">
      <c r="A459" s="17">
        <v>27</v>
      </c>
      <c r="B459" s="67"/>
      <c r="C459" s="650"/>
      <c r="D459" s="568" t="str">
        <f>IF(LEN(Q497)&lt;=265,"",RIGHT(Q497,LEN(Q497)-SEARCH(" ",Q497,255)))</f>
        <v/>
      </c>
      <c r="E459" s="651"/>
      <c r="F459" s="651"/>
      <c r="G459" s="651"/>
      <c r="H459" s="651"/>
      <c r="I459" s="651"/>
      <c r="J459" s="651"/>
      <c r="K459" s="651"/>
      <c r="L459" s="651"/>
      <c r="M459" s="69"/>
      <c r="O459" s="30"/>
      <c r="P459" s="35" t="s">
        <v>50</v>
      </c>
      <c r="Q459" s="264"/>
      <c r="Y459" s="32"/>
      <c r="AA459" s="21">
        <v>345.3</v>
      </c>
      <c r="AB459" s="21">
        <v>5.7</v>
      </c>
      <c r="AC459" s="21">
        <v>357.3</v>
      </c>
      <c r="AD459" s="21">
        <v>5.6</v>
      </c>
    </row>
    <row r="460" spans="1:30" ht="14.1" customHeight="1">
      <c r="A460" s="17">
        <v>28</v>
      </c>
      <c r="B460" s="67"/>
      <c r="C460" s="622"/>
      <c r="D460" s="568" t="str">
        <f>IF(Q499="","",IF(LEN(Q499)&lt;=135,Q499,IF(LEN(Q499)&lt;=260,LEFT(Q499,SEARCH(" ",Q499,125)),LEFT(Q499,SEARCH(" ",Q499,130)))))</f>
        <v/>
      </c>
      <c r="E460" s="651"/>
      <c r="F460" s="651"/>
      <c r="G460" s="651"/>
      <c r="H460" s="651"/>
      <c r="I460" s="651"/>
      <c r="J460" s="651"/>
      <c r="K460" s="651"/>
      <c r="L460" s="651"/>
      <c r="M460" s="69"/>
      <c r="O460" s="30"/>
      <c r="P460" s="35" t="s">
        <v>53</v>
      </c>
      <c r="Q460" s="264"/>
      <c r="T460" s="750" t="s">
        <v>319</v>
      </c>
      <c r="U460" s="750" t="s">
        <v>320</v>
      </c>
      <c r="V460" s="750" t="s">
        <v>289</v>
      </c>
      <c r="W460" s="750" t="s">
        <v>370</v>
      </c>
      <c r="X460" s="750" t="s">
        <v>290</v>
      </c>
      <c r="Y460" s="32"/>
      <c r="AA460" s="21">
        <v>339</v>
      </c>
      <c r="AB460" s="21">
        <v>5.8</v>
      </c>
      <c r="AC460" s="21">
        <v>351.9</v>
      </c>
      <c r="AD460" s="21">
        <v>5.6</v>
      </c>
    </row>
    <row r="461" spans="1:30" ht="14.1" customHeight="1">
      <c r="A461" s="17">
        <v>29</v>
      </c>
      <c r="B461" s="67"/>
      <c r="C461" s="650"/>
      <c r="D461" s="568" t="str">
        <f>IF(LEN(Q499)&lt;=135,"",IF(LEN(Q499)&lt;=260,RIGHT(Q499,LEN(Q499)-SEARCH(" ",Q499,125)),MID(Q499,SEARCH(" ",Q499,130),IF(LEN(Q499)&lt;=265,LEN(Q499),SEARCH(" ",Q499,255)-SEARCH(" ",Q499,130)))))</f>
        <v/>
      </c>
      <c r="E461" s="651"/>
      <c r="F461" s="651"/>
      <c r="G461" s="651"/>
      <c r="H461" s="651"/>
      <c r="I461" s="651"/>
      <c r="J461" s="651"/>
      <c r="K461" s="651"/>
      <c r="L461" s="651"/>
      <c r="M461" s="69"/>
      <c r="O461" s="30"/>
      <c r="S461" s="35" t="s">
        <v>197</v>
      </c>
      <c r="T461" s="250" t="str">
        <f>IF(OR(T458="",U458=""),"",(T458-50)/U458)</f>
        <v/>
      </c>
      <c r="U461" s="775" t="str">
        <f>IF(AB118="","",AB118)</f>
        <v/>
      </c>
      <c r="V461" s="251" t="str">
        <f>IF(OR(T461="",W461=""),"",ABS(T461-W461)/W461)</f>
        <v/>
      </c>
      <c r="W461" s="295"/>
      <c r="X461" s="252" t="str">
        <f>IF(T461="","",IF(AND(T461&gt;=40,ABS(V461)&lt;=0.15),"Pass","Fail"))</f>
        <v/>
      </c>
      <c r="Y461" s="32"/>
    </row>
    <row r="462" spans="1:30" ht="14.1" customHeight="1">
      <c r="A462" s="17">
        <v>30</v>
      </c>
      <c r="B462" s="67"/>
      <c r="C462" s="650"/>
      <c r="D462" s="568" t="str">
        <f>IF(LEN(Q499)&lt;=265,"",RIGHT(Q499,LEN(Q499)-SEARCH(" ",Q499,255)))</f>
        <v/>
      </c>
      <c r="E462" s="651"/>
      <c r="F462" s="651"/>
      <c r="G462" s="651"/>
      <c r="H462" s="651"/>
      <c r="I462" s="651"/>
      <c r="J462" s="651"/>
      <c r="K462" s="651"/>
      <c r="L462" s="651"/>
      <c r="M462" s="69"/>
      <c r="O462" s="30"/>
      <c r="S462" s="35" t="s">
        <v>198</v>
      </c>
      <c r="T462" s="250" t="str">
        <f>IF(OR(T458="",T457=""),"",(T458-T457)/U458)</f>
        <v/>
      </c>
      <c r="U462" s="775" t="str">
        <f>IF(AB119="","",AB119)</f>
        <v/>
      </c>
      <c r="V462" s="251" t="str">
        <f>IF(OR(T462="",W462=""),"",ABS(T462-W462)/W462)</f>
        <v/>
      </c>
      <c r="W462" s="295"/>
      <c r="X462" s="16" t="str">
        <f>IF(T462="","",IF(AND(T462&gt;=2,ABS(V462)&lt;=0.15),"Pass","Fail"))</f>
        <v/>
      </c>
      <c r="Y462" s="32"/>
    </row>
    <row r="463" spans="1:30" ht="14.1" customHeight="1">
      <c r="A463" s="17">
        <v>31</v>
      </c>
      <c r="B463" s="67"/>
      <c r="C463" s="622"/>
      <c r="D463" s="568" t="str">
        <f>IF(Q501="","",IF(LEN(Q501)&lt;=135,Q501,IF(LEN(Q501)&lt;=260,LEFT(Q501,SEARCH(" ",Q501,125)),LEFT(Q501,SEARCH(" ",Q501,130)))))</f>
        <v/>
      </c>
      <c r="E463" s="651"/>
      <c r="F463" s="651"/>
      <c r="G463" s="651"/>
      <c r="H463" s="651"/>
      <c r="I463" s="651"/>
      <c r="J463" s="651"/>
      <c r="K463" s="651"/>
      <c r="L463" s="651"/>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50"/>
      <c r="D464" s="568" t="str">
        <f>IF(LEN(Q501)&lt;=135,"",IF(LEN(Q501)&lt;=260,RIGHT(Q501,LEN(Q501)-SEARCH(" ",Q501,125)),MID(Q501,SEARCH(" ",Q501,130),IF(LEN(Q501)&lt;=265,LEN(Q501),SEARCH(" ",Q501,255)-SEARCH(" ",Q501,130)))))</f>
        <v/>
      </c>
      <c r="E464" s="651"/>
      <c r="F464" s="651"/>
      <c r="G464" s="651"/>
      <c r="H464" s="651"/>
      <c r="I464" s="651"/>
      <c r="J464" s="651"/>
      <c r="K464" s="651"/>
      <c r="L464" s="651"/>
      <c r="M464" s="69"/>
      <c r="O464" s="30"/>
      <c r="Q464" s="138" t="s">
        <v>372</v>
      </c>
      <c r="Y464" s="32"/>
      <c r="AA464" s="21" t="s">
        <v>285</v>
      </c>
      <c r="AB464" s="21">
        <f>(AC463-50)/AD463</f>
        <v>54.074204946996467</v>
      </c>
    </row>
    <row r="465" spans="1:28" ht="14.1" customHeight="1" thickBot="1">
      <c r="A465" s="17">
        <v>33</v>
      </c>
      <c r="B465" s="67"/>
      <c r="C465" s="650"/>
      <c r="D465" s="568" t="str">
        <f>IF(LEN(Q501)&lt;=265,"",RIGHT(Q501,LEN(Q501)-SEARCH(" ",Q501,255)))</f>
        <v/>
      </c>
      <c r="E465" s="651"/>
      <c r="F465" s="651"/>
      <c r="G465" s="651"/>
      <c r="H465" s="651"/>
      <c r="I465" s="651"/>
      <c r="J465" s="651"/>
      <c r="K465" s="651"/>
      <c r="L465" s="490"/>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622"/>
      <c r="D466" s="568" t="str">
        <f>IF(Q503="","",IF(LEN(Q503)&lt;=135,Q503,IF(LEN(Q503)&lt;=260,LEFT(Q503,SEARCH(" ",Q503,125)),LEFT(Q503,SEARCH(" ",Q503,130)))))</f>
        <v/>
      </c>
      <c r="E466" s="651"/>
      <c r="F466" s="651"/>
      <c r="G466" s="651"/>
      <c r="H466" s="651"/>
      <c r="I466" s="651"/>
      <c r="J466" s="651"/>
      <c r="K466" s="651"/>
      <c r="L466" s="490"/>
      <c r="M466" s="69"/>
      <c r="O466" s="139" t="s">
        <v>796</v>
      </c>
      <c r="P466" s="332"/>
    </row>
    <row r="467" spans="1:28" ht="14.1" customHeight="1">
      <c r="A467" s="17">
        <v>35</v>
      </c>
      <c r="B467" s="67"/>
      <c r="C467" s="68"/>
      <c r="D467" s="568" t="str">
        <f>IF(LEN(Q503)&lt;=135,"",IF(LEN(Q503)&lt;=260,RIGHT(Q503,LEN(Q503)-SEARCH(" ",Q503,125)),MID(Q503,SEARCH(" ",Q503,130),IF(LEN(Q503)&lt;=265,LEN(Q503),SEARCH(" ",Q503,255)-SEARCH(" ",Q503,130)))))</f>
        <v/>
      </c>
      <c r="E467" s="490"/>
      <c r="F467" s="490"/>
      <c r="G467" s="490"/>
      <c r="H467" s="490"/>
      <c r="I467" s="490"/>
      <c r="J467" s="490"/>
      <c r="K467" s="490"/>
      <c r="L467" s="490"/>
      <c r="M467" s="69"/>
      <c r="Q467" s="993" t="s">
        <v>803</v>
      </c>
      <c r="R467" s="994"/>
      <c r="S467" s="994"/>
      <c r="T467" s="995"/>
    </row>
    <row r="468" spans="1:28" ht="14.1" customHeight="1">
      <c r="A468" s="17">
        <v>36</v>
      </c>
      <c r="B468" s="67"/>
      <c r="C468" s="68"/>
      <c r="D468" s="568" t="str">
        <f>IF(LEN(Q503)&lt;=265,"",RIGHT(Q503,LEN(Q503)-SEARCH(" ",Q503,255)))</f>
        <v/>
      </c>
      <c r="E468" s="490"/>
      <c r="F468" s="490"/>
      <c r="G468" s="490"/>
      <c r="H468" s="490"/>
      <c r="I468" s="490"/>
      <c r="J468" s="490"/>
      <c r="K468" s="490"/>
      <c r="L468" s="490"/>
      <c r="M468" s="69"/>
      <c r="O468" s="21" t="s">
        <v>797</v>
      </c>
      <c r="P468" s="885"/>
      <c r="Q468" s="883"/>
      <c r="R468" s="883"/>
      <c r="S468" s="883"/>
      <c r="T468" s="883"/>
      <c r="AA468" s="21" t="s">
        <v>789</v>
      </c>
    </row>
    <row r="469" spans="1:28" ht="14.1" customHeight="1">
      <c r="A469" s="17">
        <v>37</v>
      </c>
      <c r="B469" s="67"/>
      <c r="C469" s="68"/>
      <c r="D469" s="568" t="str">
        <f>IF(Q505="","",IF(LEN(Q505)&lt;=135,Q505,IF(LEN(Q505)&lt;=260,LEFT(Q505,SEARCH(" ",Q505,125)),LEFT(Q505,SEARCH(" ",Q505,130)))))</f>
        <v/>
      </c>
      <c r="E469" s="490"/>
      <c r="F469" s="490"/>
      <c r="G469" s="490"/>
      <c r="H469" s="490"/>
      <c r="I469" s="490"/>
      <c r="J469" s="490"/>
      <c r="K469" s="490"/>
      <c r="L469" s="490"/>
      <c r="M469" s="69"/>
      <c r="O469" s="21" t="s">
        <v>798</v>
      </c>
      <c r="P469" s="883"/>
      <c r="Q469" s="883"/>
      <c r="R469" s="883"/>
      <c r="S469" s="883"/>
      <c r="T469" s="883"/>
      <c r="AA469" s="21" t="s">
        <v>791</v>
      </c>
      <c r="AB469" s="864">
        <v>43203</v>
      </c>
    </row>
    <row r="470" spans="1:28" ht="14.1" customHeight="1">
      <c r="A470" s="17">
        <v>38</v>
      </c>
      <c r="B470" s="67"/>
      <c r="C470" s="650"/>
      <c r="D470" s="568" t="str">
        <f>IF(LEN(Q505)&lt;=135,"",IF(LEN(Q505)&lt;=260,RIGHT(Q505,LEN(Q505)-SEARCH(" ",Q505,125)),MID(Q505,SEARCH(" ",Q505,130),IF(LEN(Q505)&lt;=265,LEN(Q505),SEARCH(" ",Q505,255)-SEARCH(" ",Q505,130)))))</f>
        <v/>
      </c>
      <c r="E470" s="651"/>
      <c r="F470" s="651"/>
      <c r="G470" s="651"/>
      <c r="H470" s="651"/>
      <c r="I470" s="651"/>
      <c r="J470" s="651"/>
      <c r="K470" s="651"/>
      <c r="L470" s="669"/>
      <c r="M470" s="69"/>
      <c r="P470" s="884"/>
      <c r="Q470" s="884"/>
      <c r="R470" s="884"/>
      <c r="S470" s="884"/>
      <c r="T470" s="884"/>
      <c r="AA470" s="21" t="s">
        <v>792</v>
      </c>
      <c r="AB470" s="864">
        <v>43241</v>
      </c>
    </row>
    <row r="471" spans="1:28" ht="14.1" customHeight="1">
      <c r="A471" s="17">
        <v>39</v>
      </c>
      <c r="B471" s="67"/>
      <c r="C471" s="68"/>
      <c r="D471" s="568" t="str">
        <f>IF(LEN(Q505)&lt;=265,"",RIGHT(Q505,LEN(Q505)-SEARCH(" ",Q505,255)))</f>
        <v/>
      </c>
      <c r="E471" s="490"/>
      <c r="F471" s="490"/>
      <c r="G471" s="490"/>
      <c r="H471" s="490"/>
      <c r="I471" s="490"/>
      <c r="J471" s="490"/>
      <c r="K471" s="490"/>
      <c r="L471" s="490"/>
      <c r="M471" s="69"/>
      <c r="O471" s="35" t="s">
        <v>799</v>
      </c>
      <c r="P471" s="887"/>
      <c r="Q471" s="887"/>
      <c r="R471" s="887"/>
      <c r="S471" s="887"/>
      <c r="T471" s="887"/>
      <c r="AA471" s="21" t="s">
        <v>790</v>
      </c>
      <c r="AB471" s="21">
        <v>1657</v>
      </c>
    </row>
    <row r="472" spans="1:28" ht="14.1" customHeight="1">
      <c r="A472" s="17">
        <v>40</v>
      </c>
      <c r="B472" s="67"/>
      <c r="M472" s="69"/>
      <c r="O472" s="35" t="s">
        <v>800</v>
      </c>
      <c r="P472" s="887"/>
      <c r="Q472" s="887"/>
      <c r="R472" s="887"/>
      <c r="S472" s="887"/>
      <c r="T472" s="887"/>
      <c r="AA472" s="21" t="s">
        <v>793</v>
      </c>
      <c r="AB472" s="21">
        <v>17</v>
      </c>
    </row>
    <row r="473" spans="1:28" ht="14.1" customHeight="1">
      <c r="A473" s="17">
        <v>41</v>
      </c>
      <c r="B473" s="67"/>
      <c r="M473" s="69"/>
      <c r="O473" s="35" t="s">
        <v>801</v>
      </c>
      <c r="P473" s="888"/>
      <c r="Q473" s="888"/>
      <c r="R473" s="888"/>
      <c r="S473" s="888"/>
      <c r="T473" s="888"/>
      <c r="AA473" s="21" t="s">
        <v>794</v>
      </c>
      <c r="AB473" s="21">
        <v>41</v>
      </c>
    </row>
    <row r="474" spans="1:28" ht="14.1" customHeight="1">
      <c r="A474" s="17">
        <v>42</v>
      </c>
      <c r="B474" s="67"/>
      <c r="M474" s="69"/>
      <c r="O474" s="35" t="s">
        <v>802</v>
      </c>
      <c r="P474" s="15" t="str">
        <f>IF(P471="","",(P472+P473)/P471)</f>
        <v/>
      </c>
      <c r="Q474" s="15" t="str">
        <f t="shared" ref="Q474:T474" si="91">IF(Q471="","",(Q472+Q473)/Q471)</f>
        <v/>
      </c>
      <c r="R474" s="15" t="str">
        <f t="shared" si="91"/>
        <v/>
      </c>
      <c r="S474" s="15" t="str">
        <f t="shared" si="91"/>
        <v/>
      </c>
      <c r="T474" s="15" t="str">
        <f t="shared" si="91"/>
        <v/>
      </c>
      <c r="AA474" s="21" t="s">
        <v>795</v>
      </c>
      <c r="AB474" s="865">
        <f>(AB472+AB473)/AB471</f>
        <v>3.5003017501508749E-2</v>
      </c>
    </row>
    <row r="475" spans="1:28" ht="14.1" customHeight="1">
      <c r="A475" s="17">
        <v>43</v>
      </c>
      <c r="B475" s="67"/>
      <c r="M475" s="69"/>
      <c r="O475" s="35" t="s">
        <v>804</v>
      </c>
      <c r="P475" s="889" t="str">
        <f>IF(OR(P474="",Q474=""),"",ABS(P474-Q474)/Q474)</f>
        <v/>
      </c>
      <c r="Q475" s="889" t="str">
        <f>IF(OR(Q474="",R474=""),"",ABS(Q474-R474)/R474)</f>
        <v/>
      </c>
      <c r="R475" s="889" t="str">
        <f t="shared" ref="R475:S475" si="92">IF(OR(R474="",S474=""),"",ABS(R474-S474)/S474)</f>
        <v/>
      </c>
      <c r="S475" s="889" t="str">
        <f t="shared" si="92"/>
        <v/>
      </c>
    </row>
    <row r="476" spans="1:28" ht="14.1" customHeight="1">
      <c r="A476" s="17">
        <v>44</v>
      </c>
      <c r="B476" s="67"/>
      <c r="M476" s="69"/>
      <c r="P476" s="113" t="s">
        <v>203</v>
      </c>
      <c r="Q476" s="138" t="s">
        <v>805</v>
      </c>
    </row>
    <row r="477" spans="1:28" ht="14.1" customHeight="1">
      <c r="A477" s="17">
        <v>45</v>
      </c>
      <c r="B477" s="67"/>
      <c r="M477" s="69"/>
    </row>
    <row r="478" spans="1:28" ht="14.1" customHeight="1">
      <c r="A478" s="17">
        <v>46</v>
      </c>
      <c r="B478" s="67"/>
      <c r="M478" s="69"/>
    </row>
    <row r="479" spans="1:28" ht="14.1" customHeight="1">
      <c r="A479" s="17">
        <v>47</v>
      </c>
      <c r="B479" s="67"/>
      <c r="M479" s="69"/>
    </row>
    <row r="480" spans="1:28" ht="14.1" customHeight="1">
      <c r="A480" s="17">
        <v>48</v>
      </c>
      <c r="B480" s="67"/>
      <c r="M480" s="69"/>
    </row>
    <row r="481" spans="1:25" ht="14.1" customHeight="1">
      <c r="A481" s="17">
        <v>49</v>
      </c>
      <c r="B481" s="67"/>
      <c r="M481" s="69"/>
    </row>
    <row r="482" spans="1:25" ht="14.1" customHeight="1">
      <c r="A482" s="17">
        <v>50</v>
      </c>
      <c r="B482" s="67"/>
      <c r="M482" s="69"/>
    </row>
    <row r="483" spans="1:25" ht="14.1" customHeight="1">
      <c r="A483" s="17">
        <v>51</v>
      </c>
      <c r="B483" s="67"/>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613"/>
      <c r="P488" s="613"/>
      <c r="Q488" s="613"/>
      <c r="R488" s="613"/>
      <c r="S488" s="613"/>
      <c r="T488" s="614" t="s">
        <v>534</v>
      </c>
      <c r="U488" s="613"/>
      <c r="V488" s="613"/>
      <c r="W488" s="613"/>
      <c r="X488" s="613"/>
      <c r="Y488" s="613"/>
    </row>
    <row r="489" spans="1:25" ht="14.1" customHeight="1" thickBot="1">
      <c r="A489" s="17">
        <v>57</v>
      </c>
      <c r="B489" s="67"/>
      <c r="C489" s="68"/>
      <c r="D489" s="68"/>
      <c r="E489" s="68"/>
      <c r="F489" s="68"/>
      <c r="G489" s="68"/>
      <c r="H489" s="68"/>
      <c r="I489" s="68"/>
      <c r="J489" s="68"/>
      <c r="K489" s="68"/>
      <c r="L489" s="68"/>
      <c r="M489" s="69"/>
      <c r="O489" s="613"/>
      <c r="P489" s="615" t="s">
        <v>535</v>
      </c>
      <c r="Q489" s="613"/>
      <c r="R489" s="613"/>
      <c r="S489" s="613"/>
      <c r="T489" s="613"/>
      <c r="U489" s="613"/>
      <c r="V489" s="613"/>
      <c r="W489" s="613"/>
      <c r="X489" s="613"/>
      <c r="Y489" s="613"/>
    </row>
    <row r="490" spans="1:25" ht="14.1" customHeight="1" thickTop="1">
      <c r="A490" s="17">
        <v>58</v>
      </c>
      <c r="B490" s="67"/>
      <c r="C490" s="68"/>
      <c r="D490" s="68"/>
      <c r="E490" s="68"/>
      <c r="F490" s="68"/>
      <c r="G490" s="68"/>
      <c r="H490" s="68"/>
      <c r="I490" s="68"/>
      <c r="J490" s="68"/>
      <c r="K490" s="68"/>
      <c r="L490" s="68"/>
      <c r="M490" s="69"/>
      <c r="O490" s="616"/>
      <c r="P490" s="617"/>
      <c r="Q490" s="617"/>
      <c r="R490" s="618"/>
      <c r="S490" s="619" t="s">
        <v>536</v>
      </c>
      <c r="T490" s="617"/>
      <c r="U490" s="617"/>
      <c r="V490" s="617"/>
      <c r="W490" s="617"/>
      <c r="X490" s="617"/>
      <c r="Y490" s="620"/>
    </row>
    <row r="491" spans="1:25" ht="14.1" customHeight="1">
      <c r="A491" s="17">
        <v>59</v>
      </c>
      <c r="B491" s="67"/>
      <c r="C491" s="68"/>
      <c r="D491" s="68"/>
      <c r="E491" s="68"/>
      <c r="F491" s="68"/>
      <c r="G491" s="68"/>
      <c r="H491" s="68"/>
      <c r="I491" s="68"/>
      <c r="J491" s="68"/>
      <c r="K491" s="68"/>
      <c r="L491" s="68"/>
      <c r="M491" s="69"/>
      <c r="O491" s="621"/>
      <c r="P491" s="622" t="s">
        <v>223</v>
      </c>
      <c r="Q491" s="623"/>
      <c r="R491" s="624"/>
      <c r="S491" s="625" t="str">
        <f>IF(OR(AD720=0,AD720=""),"",AD720)</f>
        <v/>
      </c>
      <c r="T491" s="626"/>
      <c r="U491" s="626"/>
      <c r="V491" s="626"/>
      <c r="W491" s="626"/>
      <c r="X491" s="626"/>
      <c r="Y491" s="627"/>
    </row>
    <row r="492" spans="1:25" ht="14.1" customHeight="1">
      <c r="A492" s="17">
        <v>60</v>
      </c>
      <c r="B492" s="67"/>
      <c r="C492" s="68"/>
      <c r="D492" s="68"/>
      <c r="E492" s="68"/>
      <c r="F492" s="68"/>
      <c r="G492" s="68"/>
      <c r="H492" s="68"/>
      <c r="I492" s="68"/>
      <c r="J492" s="68"/>
      <c r="K492" s="68"/>
      <c r="L492" s="68"/>
      <c r="M492" s="69"/>
      <c r="O492" s="628"/>
      <c r="P492" s="629" t="s">
        <v>537</v>
      </c>
      <c r="Q492" s="630"/>
      <c r="R492" s="631">
        <f>LEN(Q491)</f>
        <v>0</v>
      </c>
      <c r="S492" s="632"/>
      <c r="T492" s="633">
        <f>LEN(S491)</f>
        <v>0</v>
      </c>
      <c r="U492" s="634"/>
      <c r="V492" s="635"/>
      <c r="W492" s="635"/>
      <c r="X492" s="635"/>
      <c r="Y492" s="636"/>
    </row>
    <row r="493" spans="1:25" ht="14.1" customHeight="1">
      <c r="A493" s="17">
        <v>61</v>
      </c>
      <c r="B493" s="67"/>
      <c r="C493" s="68"/>
      <c r="D493" s="68"/>
      <c r="E493" s="68"/>
      <c r="F493" s="68"/>
      <c r="G493" s="68"/>
      <c r="H493" s="68"/>
      <c r="I493" s="68"/>
      <c r="J493" s="68"/>
      <c r="K493" s="68"/>
      <c r="L493" s="68"/>
      <c r="M493" s="69"/>
      <c r="O493" s="628"/>
      <c r="P493" s="622" t="s">
        <v>538</v>
      </c>
      <c r="Q493" s="623"/>
      <c r="R493" s="624"/>
      <c r="S493" s="625" t="str">
        <f>IF(OR(AD722=0,AD722=""),"",AD722)</f>
        <v/>
      </c>
      <c r="T493" s="626"/>
      <c r="U493" s="626"/>
      <c r="V493" s="626"/>
      <c r="W493" s="626"/>
      <c r="X493" s="626"/>
      <c r="Y493" s="627"/>
    </row>
    <row r="494" spans="1:25" ht="14.1" customHeight="1">
      <c r="A494" s="17">
        <v>62</v>
      </c>
      <c r="B494" s="67"/>
      <c r="C494" s="68"/>
      <c r="D494" s="68"/>
      <c r="E494" s="68"/>
      <c r="F494" s="68"/>
      <c r="G494" s="68"/>
      <c r="H494" s="68"/>
      <c r="I494" s="68"/>
      <c r="J494" s="68"/>
      <c r="K494" s="68"/>
      <c r="L494" s="68"/>
      <c r="M494" s="69"/>
      <c r="O494" s="628"/>
      <c r="P494" s="629" t="s">
        <v>537</v>
      </c>
      <c r="Q494" s="630"/>
      <c r="R494" s="631">
        <f>LEN(Q493)</f>
        <v>0</v>
      </c>
      <c r="S494" s="632"/>
      <c r="T494" s="633">
        <f>LEN(S493)</f>
        <v>0</v>
      </c>
      <c r="U494" s="634"/>
      <c r="V494" s="626"/>
      <c r="W494" s="626"/>
      <c r="X494" s="626"/>
      <c r="Y494" s="627"/>
    </row>
    <row r="495" spans="1:25" ht="14.1" customHeight="1">
      <c r="A495" s="17">
        <v>63</v>
      </c>
      <c r="B495" s="67"/>
      <c r="C495" s="68"/>
      <c r="D495" s="68"/>
      <c r="E495" s="68"/>
      <c r="F495" s="68"/>
      <c r="G495" s="68"/>
      <c r="H495" s="68"/>
      <c r="I495" s="68"/>
      <c r="J495" s="68"/>
      <c r="K495" s="68"/>
      <c r="L495" s="68"/>
      <c r="M495" s="69"/>
      <c r="O495" s="637"/>
      <c r="P495" s="622" t="s">
        <v>538</v>
      </c>
      <c r="Q495" s="623"/>
      <c r="R495" s="624"/>
      <c r="S495" s="625" t="str">
        <f>IF(OR(AD724=0,AD724=""),"",AD724)</f>
        <v/>
      </c>
      <c r="T495" s="635"/>
      <c r="U495" s="635"/>
      <c r="V495" s="635"/>
      <c r="W495" s="635"/>
      <c r="X495" s="635"/>
      <c r="Y495" s="636"/>
    </row>
    <row r="496" spans="1:25" ht="14.1" customHeight="1">
      <c r="A496" s="17">
        <v>64</v>
      </c>
      <c r="B496" s="67"/>
      <c r="C496" s="68"/>
      <c r="D496" s="68"/>
      <c r="E496" s="68"/>
      <c r="F496" s="68"/>
      <c r="G496" s="68"/>
      <c r="H496" s="68"/>
      <c r="I496" s="68"/>
      <c r="J496" s="68"/>
      <c r="K496" s="68"/>
      <c r="L496" s="68"/>
      <c r="M496" s="69"/>
      <c r="O496" s="628"/>
      <c r="P496" s="629" t="s">
        <v>537</v>
      </c>
      <c r="Q496" s="630"/>
      <c r="R496" s="631">
        <f>LEN(Q495)</f>
        <v>0</v>
      </c>
      <c r="S496" s="632"/>
      <c r="T496" s="633">
        <f>LEN(S495)</f>
        <v>0</v>
      </c>
      <c r="U496" s="634"/>
      <c r="V496" s="626"/>
      <c r="W496" s="626"/>
      <c r="X496" s="626"/>
      <c r="Y496" s="627"/>
    </row>
    <row r="497" spans="1:25" ht="14.1" customHeight="1">
      <c r="A497" s="17">
        <v>65</v>
      </c>
      <c r="B497" s="67"/>
      <c r="C497" s="68"/>
      <c r="D497" s="68"/>
      <c r="E497" s="68"/>
      <c r="F497" s="68"/>
      <c r="G497" s="68"/>
      <c r="H497" s="68"/>
      <c r="I497" s="68"/>
      <c r="J497" s="68"/>
      <c r="K497" s="68"/>
      <c r="L497" s="68"/>
      <c r="M497" s="69"/>
      <c r="O497" s="628"/>
      <c r="P497" s="622" t="s">
        <v>538</v>
      </c>
      <c r="Q497" s="623"/>
      <c r="R497" s="624"/>
      <c r="S497" s="625" t="str">
        <f>IF(OR(AD726=0,AD726=""),"",AD726)</f>
        <v/>
      </c>
      <c r="T497" s="626"/>
      <c r="U497" s="626"/>
      <c r="V497" s="626"/>
      <c r="W497" s="626"/>
      <c r="X497" s="626"/>
      <c r="Y497" s="627"/>
    </row>
    <row r="498" spans="1:25" ht="14.1" customHeight="1">
      <c r="A498" s="17">
        <v>66</v>
      </c>
      <c r="B498" s="67"/>
      <c r="C498" s="68"/>
      <c r="D498" s="68"/>
      <c r="E498" s="68"/>
      <c r="F498" s="68"/>
      <c r="G498" s="68"/>
      <c r="H498" s="68"/>
      <c r="I498" s="68"/>
      <c r="J498" s="68"/>
      <c r="K498" s="68"/>
      <c r="L498" s="68"/>
      <c r="M498" s="69"/>
      <c r="O498" s="637"/>
      <c r="P498" s="629" t="s">
        <v>537</v>
      </c>
      <c r="Q498" s="630"/>
      <c r="R498" s="631">
        <f>LEN(Q497)</f>
        <v>0</v>
      </c>
      <c r="S498" s="632"/>
      <c r="T498" s="633">
        <f>LEN(S497)</f>
        <v>0</v>
      </c>
      <c r="U498" s="634"/>
      <c r="V498" s="635"/>
      <c r="W498" s="635"/>
      <c r="X498" s="635"/>
      <c r="Y498" s="636"/>
    </row>
    <row r="499" spans="1:25" ht="14.1" customHeight="1">
      <c r="A499" s="17">
        <v>67</v>
      </c>
      <c r="B499" s="67"/>
      <c r="C499" s="68"/>
      <c r="D499" s="68"/>
      <c r="E499" s="68"/>
      <c r="F499" s="68"/>
      <c r="G499" s="68"/>
      <c r="H499" s="68"/>
      <c r="I499" s="68"/>
      <c r="J499" s="68"/>
      <c r="K499" s="68"/>
      <c r="L499" s="68"/>
      <c r="M499" s="69"/>
      <c r="O499" s="628"/>
      <c r="P499" s="622" t="s">
        <v>538</v>
      </c>
      <c r="Q499" s="623"/>
      <c r="R499" s="624"/>
      <c r="S499" s="625" t="str">
        <f>IF(OR(AD728=0,AD728=""),"",AD728)</f>
        <v/>
      </c>
      <c r="T499" s="626"/>
      <c r="U499" s="626"/>
      <c r="V499" s="626"/>
      <c r="W499" s="626"/>
      <c r="X499" s="626"/>
      <c r="Y499" s="627"/>
    </row>
    <row r="500" spans="1:25" ht="14.1" customHeight="1">
      <c r="A500" s="17">
        <v>68</v>
      </c>
      <c r="B500" s="67"/>
      <c r="C500" s="68"/>
      <c r="D500" s="68"/>
      <c r="E500" s="68"/>
      <c r="F500" s="68"/>
      <c r="G500" s="68"/>
      <c r="H500" s="68"/>
      <c r="I500" s="68"/>
      <c r="J500" s="68"/>
      <c r="K500" s="68"/>
      <c r="L500" s="68"/>
      <c r="M500" s="69"/>
      <c r="O500" s="628"/>
      <c r="P500" s="629" t="s">
        <v>537</v>
      </c>
      <c r="Q500" s="630"/>
      <c r="R500" s="631">
        <f>LEN(Q499)</f>
        <v>0</v>
      </c>
      <c r="S500" s="632"/>
      <c r="T500" s="633">
        <f>LEN(S499)</f>
        <v>0</v>
      </c>
      <c r="U500" s="634"/>
      <c r="V500" s="626"/>
      <c r="W500" s="626"/>
      <c r="X500" s="626"/>
      <c r="Y500" s="627"/>
    </row>
    <row r="501" spans="1:25" ht="14.1" customHeight="1">
      <c r="A501" s="17">
        <v>69</v>
      </c>
      <c r="B501" s="67"/>
      <c r="C501" s="68"/>
      <c r="D501" s="68"/>
      <c r="E501" s="68"/>
      <c r="F501" s="68"/>
      <c r="G501" s="68"/>
      <c r="H501" s="68"/>
      <c r="I501" s="68"/>
      <c r="J501" s="68"/>
      <c r="K501" s="68"/>
      <c r="L501" s="68"/>
      <c r="M501" s="69"/>
      <c r="O501" s="637"/>
      <c r="P501" s="622" t="s">
        <v>538</v>
      </c>
      <c r="Q501" s="623"/>
      <c r="R501" s="624"/>
      <c r="S501" s="625" t="str">
        <f>IF(OR(AD730=0,AD730=""),"",AD730)</f>
        <v/>
      </c>
      <c r="T501" s="635"/>
      <c r="U501" s="635"/>
      <c r="V501" s="635"/>
      <c r="W501" s="635"/>
      <c r="X501" s="635"/>
      <c r="Y501" s="636"/>
    </row>
    <row r="502" spans="1:25" ht="14.1" customHeight="1" thickBot="1">
      <c r="A502" s="17">
        <v>70</v>
      </c>
      <c r="B502" s="80"/>
      <c r="C502" s="81"/>
      <c r="D502" s="81"/>
      <c r="E502" s="81"/>
      <c r="F502" s="81"/>
      <c r="G502" s="81"/>
      <c r="H502" s="81"/>
      <c r="I502" s="81"/>
      <c r="J502" s="81"/>
      <c r="K502" s="81"/>
      <c r="L502" s="81"/>
      <c r="M502" s="82"/>
      <c r="O502" s="628"/>
      <c r="P502" s="629" t="s">
        <v>537</v>
      </c>
      <c r="Q502" s="638"/>
      <c r="R502" s="639">
        <f>LEN(Q501)</f>
        <v>0</v>
      </c>
      <c r="S502" s="640"/>
      <c r="T502" s="641">
        <f>LEN(S501)</f>
        <v>0</v>
      </c>
      <c r="U502" s="642"/>
      <c r="V502" s="643"/>
      <c r="W502" s="643"/>
      <c r="X502" s="643"/>
      <c r="Y502" s="627"/>
    </row>
    <row r="503" spans="1:25" ht="14.1" customHeight="1" thickTop="1">
      <c r="A503" s="17">
        <v>71</v>
      </c>
      <c r="C503" s="109" t="s">
        <v>10</v>
      </c>
      <c r="D503" s="375">
        <f>IF($P$7="","",$P$7)</f>
        <v>43273</v>
      </c>
      <c r="E503" s="27"/>
      <c r="F503" s="27"/>
      <c r="G503" s="27"/>
      <c r="H503" s="27"/>
      <c r="I503" s="27"/>
      <c r="J503" s="27"/>
      <c r="K503" s="27"/>
      <c r="L503" s="109" t="s">
        <v>11</v>
      </c>
      <c r="M503" s="376" t="str">
        <f>IF($X$7="","",$X$7)</f>
        <v>Eugene Mah</v>
      </c>
      <c r="O503" s="628"/>
      <c r="P503" s="622" t="s">
        <v>538</v>
      </c>
      <c r="Q503" s="623"/>
      <c r="R503" s="624"/>
      <c r="S503" s="625" t="str">
        <f>IF(OR(AD732=0,AD732=""),"",AD732)</f>
        <v/>
      </c>
      <c r="T503" s="635"/>
      <c r="U503" s="635"/>
      <c r="V503" s="635"/>
      <c r="W503" s="635"/>
      <c r="X503" s="635"/>
      <c r="Y503" s="627"/>
    </row>
    <row r="504" spans="1:25" ht="14.1" customHeight="1">
      <c r="A504" s="17">
        <v>72</v>
      </c>
      <c r="C504" s="109" t="s">
        <v>120</v>
      </c>
      <c r="D504" s="376" t="str">
        <f>IF($R$14="","",$R$14)</f>
        <v>1C07</v>
      </c>
      <c r="E504" s="27"/>
      <c r="F504" s="27"/>
      <c r="G504" s="27"/>
      <c r="H504" s="27"/>
      <c r="I504" s="27"/>
      <c r="J504" s="27"/>
      <c r="K504" s="27"/>
      <c r="L504" s="109" t="s">
        <v>36</v>
      </c>
      <c r="M504" s="376">
        <f>IF($R$13="","",$R$13)</f>
        <v>2302</v>
      </c>
      <c r="O504" s="637"/>
      <c r="P504" s="629" t="s">
        <v>537</v>
      </c>
      <c r="Q504" s="638"/>
      <c r="R504" s="639">
        <f>LEN(Q503)</f>
        <v>0</v>
      </c>
      <c r="S504" s="640"/>
      <c r="T504" s="641">
        <f>LEN(S503)</f>
        <v>0</v>
      </c>
      <c r="U504" s="642"/>
      <c r="V504" s="643"/>
      <c r="W504" s="643"/>
      <c r="X504" s="643"/>
      <c r="Y504" s="636"/>
    </row>
    <row r="505" spans="1:25" ht="14.1" customHeight="1">
      <c r="O505" s="628"/>
      <c r="P505" s="622" t="s">
        <v>538</v>
      </c>
      <c r="Q505" s="623"/>
      <c r="R505" s="624"/>
      <c r="S505" s="625" t="str">
        <f>IF(OR(AD734=0,AD734=""),"",AD734)</f>
        <v/>
      </c>
      <c r="T505" s="635"/>
      <c r="U505" s="635"/>
      <c r="V505" s="635"/>
      <c r="W505" s="635"/>
      <c r="X505" s="635"/>
      <c r="Y505" s="627"/>
    </row>
    <row r="506" spans="1:25" ht="14.1" customHeight="1">
      <c r="O506" s="628"/>
      <c r="P506" s="629" t="s">
        <v>537</v>
      </c>
      <c r="Q506" s="638"/>
      <c r="R506" s="639">
        <f>LEN(Q505)</f>
        <v>0</v>
      </c>
      <c r="S506" s="640"/>
      <c r="T506" s="641">
        <f>LEN(S505)</f>
        <v>0</v>
      </c>
      <c r="U506" s="642"/>
      <c r="V506" s="643"/>
      <c r="W506" s="643"/>
      <c r="X506" s="643"/>
      <c r="Y506" s="627"/>
    </row>
    <row r="507" spans="1:25" ht="14.1" customHeight="1">
      <c r="O507" s="637"/>
      <c r="P507" s="622"/>
      <c r="Q507" s="646"/>
      <c r="R507" s="647"/>
      <c r="S507" s="648"/>
      <c r="T507" s="649"/>
      <c r="U507" s="649"/>
      <c r="V507" s="649"/>
      <c r="W507" s="649"/>
      <c r="X507" s="649"/>
      <c r="Y507" s="636"/>
    </row>
    <row r="508" spans="1:25" ht="14.1" customHeight="1">
      <c r="O508" s="628"/>
      <c r="P508" s="629"/>
      <c r="Q508" s="652"/>
      <c r="R508" s="653"/>
      <c r="S508" s="653"/>
      <c r="T508" s="653"/>
      <c r="U508" s="654"/>
      <c r="V508" s="655"/>
      <c r="W508" s="655"/>
      <c r="X508" s="655"/>
      <c r="Y508" s="627"/>
    </row>
    <row r="509" spans="1:25" ht="14.1" customHeight="1">
      <c r="O509" s="628"/>
      <c r="P509" s="656"/>
      <c r="Q509" s="657"/>
      <c r="R509" s="658"/>
      <c r="S509" s="659"/>
      <c r="T509" s="643"/>
      <c r="U509" s="643"/>
      <c r="V509" s="643"/>
      <c r="W509" s="643"/>
      <c r="X509" s="643"/>
      <c r="Y509" s="627"/>
    </row>
    <row r="510" spans="1:25" ht="14.1" customHeight="1">
      <c r="O510" s="637"/>
      <c r="P510" s="661"/>
      <c r="Q510" s="661"/>
      <c r="R510" s="647"/>
      <c r="S510" s="649"/>
      <c r="T510" s="649"/>
      <c r="U510" s="649"/>
      <c r="V510" s="649"/>
      <c r="W510" s="649"/>
      <c r="X510" s="649"/>
      <c r="Y510" s="636"/>
    </row>
    <row r="511" spans="1:25" ht="14.1" customHeight="1">
      <c r="O511" s="628"/>
      <c r="P511" s="661"/>
      <c r="Q511" s="661"/>
      <c r="R511" s="647"/>
      <c r="S511" s="655"/>
      <c r="T511" s="655"/>
      <c r="U511" s="655"/>
      <c r="V511" s="655"/>
      <c r="W511" s="655"/>
      <c r="X511" s="655"/>
      <c r="Y511" s="627"/>
    </row>
    <row r="512" spans="1:25" ht="14.1" customHeight="1">
      <c r="O512" s="628"/>
      <c r="P512" s="661"/>
      <c r="Q512" s="661"/>
      <c r="R512" s="647"/>
      <c r="S512" s="655"/>
      <c r="T512" s="655"/>
      <c r="U512" s="655"/>
      <c r="V512" s="655"/>
      <c r="W512" s="655"/>
      <c r="X512" s="655"/>
      <c r="Y512" s="627"/>
    </row>
    <row r="513" spans="15:25" ht="14.1" customHeight="1">
      <c r="O513" s="637"/>
      <c r="P513" s="661"/>
      <c r="Q513" s="661"/>
      <c r="R513" s="647"/>
      <c r="S513" s="663"/>
      <c r="T513" s="649"/>
      <c r="U513" s="649"/>
      <c r="V513" s="655"/>
      <c r="W513" s="655"/>
      <c r="X513" s="655"/>
      <c r="Y513" s="636"/>
    </row>
    <row r="514" spans="15:25" ht="14.1" customHeight="1">
      <c r="O514" s="628"/>
      <c r="P514" s="661"/>
      <c r="Q514" s="661"/>
      <c r="R514" s="647"/>
      <c r="S514" s="655"/>
      <c r="T514" s="647"/>
      <c r="U514" s="655"/>
      <c r="V514" s="647"/>
      <c r="W514" s="655"/>
      <c r="X514" s="655"/>
      <c r="Y514" s="627"/>
    </row>
    <row r="515" spans="15:25" ht="14.1" customHeight="1">
      <c r="O515" s="628"/>
      <c r="P515" s="661"/>
      <c r="Q515" s="661"/>
      <c r="R515" s="647"/>
      <c r="S515" s="655"/>
      <c r="T515" s="647"/>
      <c r="U515" s="655"/>
      <c r="V515" s="647"/>
      <c r="W515" s="655"/>
      <c r="X515" s="655"/>
      <c r="Y515" s="627"/>
    </row>
    <row r="516" spans="15:25" ht="14.1" customHeight="1">
      <c r="O516" s="637"/>
      <c r="P516" s="661"/>
      <c r="Q516" s="661"/>
      <c r="R516" s="647"/>
      <c r="S516" s="655"/>
      <c r="T516" s="647"/>
      <c r="U516" s="655"/>
      <c r="V516" s="647"/>
      <c r="W516" s="655"/>
      <c r="X516" s="655"/>
      <c r="Y516" s="636"/>
    </row>
    <row r="517" spans="15:25" ht="14.1" customHeight="1" thickBot="1">
      <c r="O517" s="664"/>
      <c r="P517" s="665"/>
      <c r="Q517" s="666"/>
      <c r="R517" s="667"/>
      <c r="S517" s="665"/>
      <c r="T517" s="665"/>
      <c r="U517" s="665"/>
      <c r="V517" s="665"/>
      <c r="W517" s="665"/>
      <c r="X517" s="665"/>
      <c r="Y517" s="668"/>
    </row>
    <row r="518" spans="15:25" ht="14.1" customHeight="1" thickTop="1"/>
  </sheetData>
  <mergeCells count="64">
    <mergeCell ref="Q467:T467"/>
    <mergeCell ref="E436:H436"/>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Q260:S260">
    <cfRule type="cellIs" dxfId="112" priority="166" stopIfTrue="1" operator="equal">
      <formula>"Fail"</formula>
    </cfRule>
  </conditionalFormatting>
  <conditionalFormatting sqref="Q392">
    <cfRule type="cellIs" dxfId="111" priority="168" stopIfTrue="1" operator="equal">
      <formula>"Fail"</formula>
    </cfRule>
  </conditionalFormatting>
  <conditionalFormatting sqref="Q407">
    <cfRule type="cellIs" dxfId="110" priority="170" stopIfTrue="1" operator="equal">
      <formula>"Fail"</formula>
    </cfRule>
  </conditionalFormatting>
  <conditionalFormatting sqref="Q260:S260">
    <cfRule type="cellIs" dxfId="109" priority="165" stopIfTrue="1" operator="equal">
      <formula>"Pass"</formula>
    </cfRule>
  </conditionalFormatting>
  <conditionalFormatting sqref="Q392">
    <cfRule type="cellIs" dxfId="108" priority="167" stopIfTrue="1" operator="equal">
      <formula>"Pass"</formula>
    </cfRule>
  </conditionalFormatting>
  <conditionalFormatting sqref="Q407">
    <cfRule type="cellIs" dxfId="107" priority="169" stopIfTrue="1" operator="equal">
      <formula>"Pass"</formula>
    </cfRule>
  </conditionalFormatting>
  <conditionalFormatting sqref="U218:U220">
    <cfRule type="cellIs" dxfId="106" priority="158" operator="lessThan">
      <formula>0.1</formula>
    </cfRule>
    <cfRule type="cellIs" dxfId="105" priority="159" operator="greaterThan">
      <formula>0.1</formula>
    </cfRule>
  </conditionalFormatting>
  <conditionalFormatting sqref="T462">
    <cfRule type="cellIs" dxfId="104" priority="155" operator="lessThan">
      <formula>2</formula>
    </cfRule>
    <cfRule type="cellIs" dxfId="103" priority="156" operator="greaterThan">
      <formula>2</formula>
    </cfRule>
  </conditionalFormatting>
  <conditionalFormatting sqref="T461">
    <cfRule type="cellIs" dxfId="102" priority="153" operator="lessThan">
      <formula>40</formula>
    </cfRule>
    <cfRule type="cellIs" dxfId="101" priority="154" operator="greaterThan">
      <formula>40</formula>
    </cfRule>
  </conditionalFormatting>
  <conditionalFormatting sqref="V461:V462">
    <cfRule type="cellIs" dxfId="100" priority="151" operator="greaterThan">
      <formula>0.15</formula>
    </cfRule>
    <cfRule type="cellIs" dxfId="99" priority="152" operator="lessThan">
      <formula>0.15</formula>
    </cfRule>
  </conditionalFormatting>
  <conditionalFormatting sqref="X237:Y237">
    <cfRule type="cellIs" dxfId="98" priority="149" operator="lessThan">
      <formula>0.15</formula>
    </cfRule>
    <cfRule type="cellIs" dxfId="97" priority="150" operator="greaterThan">
      <formula>0.15</formula>
    </cfRule>
  </conditionalFormatting>
  <conditionalFormatting sqref="P239:V239">
    <cfRule type="cellIs" dxfId="96" priority="147" operator="lessThan">
      <formula>0.05</formula>
    </cfRule>
    <cfRule type="cellIs" dxfId="95" priority="148" operator="greaterThan">
      <formula>0.05</formula>
    </cfRule>
  </conditionalFormatting>
  <conditionalFormatting sqref="X220">
    <cfRule type="cellIs" dxfId="94" priority="145" operator="lessThan">
      <formula>0.05</formula>
    </cfRule>
    <cfRule type="cellIs" dxfId="93" priority="146" operator="greaterThan">
      <formula>0.05</formula>
    </cfRule>
  </conditionalFormatting>
  <conditionalFormatting sqref="Q188:S189 U188:W189">
    <cfRule type="cellIs" dxfId="92" priority="143" operator="lessThan">
      <formula>13</formula>
    </cfRule>
    <cfRule type="cellIs" dxfId="91" priority="144" operator="greaterThan">
      <formula>13</formula>
    </cfRule>
  </conditionalFormatting>
  <conditionalFormatting sqref="Q200:S200 U200:W200">
    <cfRule type="cellIs" dxfId="90" priority="141" operator="lessThan">
      <formula>6.5</formula>
    </cfRule>
    <cfRule type="cellIs" dxfId="89" priority="142" operator="greaterThan">
      <formula>6.5</formula>
    </cfRule>
  </conditionalFormatting>
  <conditionalFormatting sqref="Q201:S201 U201:W201">
    <cfRule type="cellIs" dxfId="88" priority="139" operator="lessThan">
      <formula>5</formula>
    </cfRule>
    <cfRule type="cellIs" dxfId="87" priority="140" operator="greaterThan">
      <formula>5</formula>
    </cfRule>
  </conditionalFormatting>
  <conditionalFormatting sqref="X265">
    <cfRule type="cellIs" dxfId="86" priority="135" operator="lessThan">
      <formula>3</formula>
    </cfRule>
    <cfRule type="cellIs" dxfId="85" priority="136" operator="greaterThan">
      <formula>3</formula>
    </cfRule>
  </conditionalFormatting>
  <conditionalFormatting sqref="X269">
    <cfRule type="cellIs" dxfId="84" priority="134" operator="between">
      <formula>-0.15</formula>
      <formula>0.15</formula>
    </cfRule>
  </conditionalFormatting>
  <conditionalFormatting sqref="P401:S401">
    <cfRule type="cellIs" dxfId="83" priority="131" operator="greaterThan">
      <formula>0.02</formula>
    </cfRule>
    <cfRule type="cellIs" dxfId="82" priority="132" operator="lessThan">
      <formula>0.02</formula>
    </cfRule>
  </conditionalFormatting>
  <conditionalFormatting sqref="Q211:R211">
    <cfRule type="containsText" dxfId="81" priority="122" operator="containsText" text="Fail">
      <formula>NOT(ISERROR(SEARCH("Fail",Q211)))</formula>
    </cfRule>
    <cfRule type="containsText" dxfId="80" priority="123" operator="containsText" text="Pass">
      <formula>NOT(ISERROR(SEARCH("Pass",Q211)))</formula>
    </cfRule>
  </conditionalFormatting>
  <conditionalFormatting sqref="V392">
    <cfRule type="cellIs" dxfId="79" priority="121" stopIfTrue="1" operator="equal">
      <formula>"Fail"</formula>
    </cfRule>
  </conditionalFormatting>
  <conditionalFormatting sqref="V392">
    <cfRule type="cellIs" dxfId="78" priority="120" stopIfTrue="1" operator="equal">
      <formula>"Pass"</formula>
    </cfRule>
  </conditionalFormatting>
  <conditionalFormatting sqref="U401:X401">
    <cfRule type="cellIs" dxfId="77" priority="118" operator="greaterThan">
      <formula>0.02</formula>
    </cfRule>
    <cfRule type="cellIs" dxfId="76" priority="119" operator="lessThan">
      <formula>0.02</formula>
    </cfRule>
  </conditionalFormatting>
  <conditionalFormatting sqref="T399">
    <cfRule type="cellIs" dxfId="75" priority="116" operator="lessThan">
      <formula>7</formula>
    </cfRule>
    <cfRule type="cellIs" dxfId="74" priority="117" operator="greaterThan">
      <formula>7</formula>
    </cfRule>
  </conditionalFormatting>
  <conditionalFormatting sqref="Y399">
    <cfRule type="cellIs" dxfId="73" priority="114" operator="lessThan">
      <formula>2</formula>
    </cfRule>
    <cfRule type="cellIs" dxfId="72" priority="115" operator="greaterThan">
      <formula>2</formula>
    </cfRule>
  </conditionalFormatting>
  <conditionalFormatting sqref="U247:W251">
    <cfRule type="cellIs" dxfId="71" priority="11" operator="lessThan">
      <formula>0.07</formula>
    </cfRule>
    <cfRule type="cellIs" dxfId="70" priority="12" operator="greaterThanOrEqual">
      <formula>0.07</formula>
    </cfRule>
  </conditionalFormatting>
  <conditionalFormatting sqref="J343">
    <cfRule type="cellIs" dxfId="69" priority="102" stopIfTrue="1" operator="equal">
      <formula>"Fail"</formula>
    </cfRule>
  </conditionalFormatting>
  <conditionalFormatting sqref="J343">
    <cfRule type="cellIs" dxfId="68" priority="101" stopIfTrue="1" operator="equal">
      <formula>"Pass"</formula>
    </cfRule>
  </conditionalFormatting>
  <conditionalFormatting sqref="E343">
    <cfRule type="cellIs" dxfId="67" priority="104" stopIfTrue="1" operator="equal">
      <formula>"Fail"</formula>
    </cfRule>
  </conditionalFormatting>
  <conditionalFormatting sqref="E343">
    <cfRule type="cellIs" dxfId="66" priority="103" stopIfTrue="1" operator="equal">
      <formula>"Pass"</formula>
    </cfRule>
  </conditionalFormatting>
  <conditionalFormatting sqref="Q254:S254">
    <cfRule type="cellIs" dxfId="65" priority="97" operator="lessThan">
      <formula>0.07</formula>
    </cfRule>
    <cfRule type="cellIs" dxfId="64" priority="98" operator="greaterThan">
      <formula>0.07</formula>
    </cfRule>
  </conditionalFormatting>
  <conditionalFormatting sqref="R349:R350 U349:U350 X349:X350">
    <cfRule type="containsText" dxfId="63" priority="91" operator="containsText" text="Fail">
      <formula>NOT(ISERROR(SEARCH("Fail",R349)))</formula>
    </cfRule>
  </conditionalFormatting>
  <conditionalFormatting sqref="R349:R350 U349:U350 X349:X350">
    <cfRule type="containsText" dxfId="62" priority="90" operator="containsText" text="Pass">
      <formula>NOT(ISERROR(SEARCH("Pass",R349)))</formula>
    </cfRule>
  </conditionalFormatting>
  <conditionalFormatting sqref="R313:R315">
    <cfRule type="cellIs" dxfId="61" priority="44" operator="equal">
      <formula>"Fail"</formula>
    </cfRule>
    <cfRule type="cellIs" dxfId="60" priority="45" operator="equal">
      <formula>"Pass"</formula>
    </cfRule>
    <cfRule type="containsText" dxfId="59" priority="88" operator="containsText" text="Fail">
      <formula>NOT(ISERROR(SEARCH("Fail",R313)))</formula>
    </cfRule>
    <cfRule type="containsText" dxfId="58" priority="89" operator="containsText" text="Pass">
      <formula>NOT(ISERROR(SEARCH("Pass",R313)))</formula>
    </cfRule>
  </conditionalFormatting>
  <conditionalFormatting sqref="V274:V276">
    <cfRule type="containsText" dxfId="57" priority="86" operator="containsText" text="Pass">
      <formula>NOT(ISERROR(SEARCH("Pass",V274)))</formula>
    </cfRule>
    <cfRule type="containsText" dxfId="56" priority="87" operator="containsText" text="Fail">
      <formula>NOT(ISERROR(SEARCH("Fail",V274)))</formula>
    </cfRule>
  </conditionalFormatting>
  <conditionalFormatting sqref="X288">
    <cfRule type="cellIs" dxfId="55" priority="81" operator="between">
      <formula>-0.15</formula>
      <formula>0.15</formula>
    </cfRule>
  </conditionalFormatting>
  <conditionalFormatting sqref="X284">
    <cfRule type="cellIs" dxfId="54" priority="79" operator="lessThan">
      <formula>3</formula>
    </cfRule>
    <cfRule type="cellIs" dxfId="53" priority="80" operator="greaterThan">
      <formula>3</formula>
    </cfRule>
  </conditionalFormatting>
  <conditionalFormatting sqref="X299">
    <cfRule type="cellIs" dxfId="52" priority="76" operator="between">
      <formula>-0.15</formula>
      <formula>0.15</formula>
    </cfRule>
  </conditionalFormatting>
  <conditionalFormatting sqref="X295">
    <cfRule type="cellIs" dxfId="51" priority="74" operator="lessThan">
      <formula>3</formula>
    </cfRule>
    <cfRule type="cellIs" dxfId="50" priority="75" operator="greaterThan">
      <formula>3</formula>
    </cfRule>
  </conditionalFormatting>
  <conditionalFormatting sqref="R147:R154">
    <cfRule type="cellIs" dxfId="49" priority="57" operator="lessThan">
      <formula>0.5</formula>
    </cfRule>
    <cfRule type="cellIs" dxfId="48" priority="58" operator="greaterThan">
      <formula>0.5</formula>
    </cfRule>
  </conditionalFormatting>
  <conditionalFormatting sqref="U175">
    <cfRule type="cellIs" dxfId="47" priority="55" operator="lessThan">
      <formula>160</formula>
    </cfRule>
    <cfRule type="cellIs" dxfId="46" priority="56" operator="greaterThan">
      <formula>160</formula>
    </cfRule>
  </conditionalFormatting>
  <conditionalFormatting sqref="Q210:R210">
    <cfRule type="cellIs" dxfId="45" priority="53" operator="lessThan">
      <formula>6</formula>
    </cfRule>
    <cfRule type="cellIs" dxfId="44" priority="54" operator="greaterThan">
      <formula>6</formula>
    </cfRule>
  </conditionalFormatting>
  <conditionalFormatting sqref="X269 X288 X299">
    <cfRule type="cellIs" dxfId="43" priority="50" operator="lessThan">
      <formula>-0.15</formula>
    </cfRule>
    <cfRule type="cellIs" dxfId="42" priority="51" operator="greaterThan">
      <formula>0.15</formula>
    </cfRule>
    <cfRule type="cellIs" dxfId="41" priority="52" operator="between">
      <formula>-0.15</formula>
      <formula>0.15</formula>
    </cfRule>
  </conditionalFormatting>
  <conditionalFormatting sqref="S306:T306">
    <cfRule type="cellIs" dxfId="40" priority="48" operator="lessThan">
      <formula>3</formula>
    </cfRule>
    <cfRule type="cellIs" dxfId="39" priority="49" operator="greaterThanOrEqual">
      <formula>3</formula>
    </cfRule>
  </conditionalFormatting>
  <conditionalFormatting sqref="P357:S357">
    <cfRule type="cellIs" dxfId="38" priority="42" operator="lessThan">
      <formula>4</formula>
    </cfRule>
    <cfRule type="cellIs" dxfId="37" priority="43" operator="greaterThanOrEqual">
      <formula>4</formula>
    </cfRule>
  </conditionalFormatting>
  <conditionalFormatting sqref="P358:S359">
    <cfRule type="cellIs" dxfId="36" priority="40" operator="lessThan">
      <formula>3</formula>
    </cfRule>
    <cfRule type="cellIs" dxfId="35" priority="41" operator="greaterThanOrEqual">
      <formula>3</formula>
    </cfRule>
  </conditionalFormatting>
  <conditionalFormatting sqref="X371:X388">
    <cfRule type="cellIs" dxfId="34" priority="37" operator="lessThan">
      <formula>-0.05</formula>
    </cfRule>
    <cfRule type="cellIs" dxfId="33" priority="38" operator="greaterThan">
      <formula>0.05</formula>
    </cfRule>
    <cfRule type="cellIs" dxfId="32" priority="39" operator="between">
      <formula>-0.05</formula>
      <formula>0.05</formula>
    </cfRule>
  </conditionalFormatting>
  <conditionalFormatting sqref="T413">
    <cfRule type="cellIs" dxfId="31" priority="35" operator="lessThan">
      <formula>0.1</formula>
    </cfRule>
    <cfRule type="cellIs" dxfId="30" priority="36" operator="greaterThan">
      <formula>0.1</formula>
    </cfRule>
  </conditionalFormatting>
  <conditionalFormatting sqref="Q423:S423">
    <cfRule type="cellIs" dxfId="29" priority="33" operator="lessThan">
      <formula>0.28</formula>
    </cfRule>
    <cfRule type="cellIs" dxfId="28" priority="34" operator="greaterThan">
      <formula>0.28</formula>
    </cfRule>
  </conditionalFormatting>
  <conditionalFormatting sqref="U432 Q442:R442 U442:V442 Q450:S450">
    <cfRule type="cellIs" dxfId="27" priority="31" operator="lessThan">
      <formula>5</formula>
    </cfRule>
    <cfRule type="cellIs" dxfId="26" priority="32" operator="greaterThanOrEqual">
      <formula>5</formula>
    </cfRule>
  </conditionalFormatting>
  <conditionalFormatting sqref="U433:U434 Q443:R444 U443:V444 Q451:S452">
    <cfRule type="cellIs" dxfId="25" priority="29" operator="lessThan">
      <formula>4</formula>
    </cfRule>
    <cfRule type="cellIs" dxfId="24" priority="30" operator="greaterThanOrEqual">
      <formula>4</formula>
    </cfRule>
  </conditionalFormatting>
  <conditionalFormatting sqref="Q349 T349 W349">
    <cfRule type="cellIs" dxfId="23" priority="27" operator="lessThan">
      <formula>0.9</formula>
    </cfRule>
    <cfRule type="cellIs" dxfId="22" priority="28" operator="greaterThanOrEqual">
      <formula>0.9</formula>
    </cfRule>
  </conditionalFormatting>
  <conditionalFormatting sqref="Q350 T350 W350">
    <cfRule type="cellIs" dxfId="21" priority="25" operator="lessThan">
      <formula>0.6</formula>
    </cfRule>
    <cfRule type="cellIs" dxfId="20" priority="26" operator="greaterThanOrEqual">
      <formula>0.6</formula>
    </cfRule>
  </conditionalFormatting>
  <conditionalFormatting sqref="S274">
    <cfRule type="cellIs" dxfId="19" priority="23" operator="lessThan">
      <formula>$U$274</formula>
    </cfRule>
    <cfRule type="cellIs" dxfId="18" priority="24" operator="greaterThan">
      <formula>$U$274</formula>
    </cfRule>
  </conditionalFormatting>
  <conditionalFormatting sqref="S275">
    <cfRule type="cellIs" dxfId="17" priority="21" operator="lessThan">
      <formula>$U$275</formula>
    </cfRule>
    <cfRule type="cellIs" dxfId="16" priority="22" operator="greaterThan">
      <formula>$U$274</formula>
    </cfRule>
  </conditionalFormatting>
  <conditionalFormatting sqref="S276">
    <cfRule type="cellIs" dxfId="15" priority="19" operator="lessThan">
      <formula>$U$276</formula>
    </cfRule>
    <cfRule type="cellIs" dxfId="14" priority="20" operator="greaterThan">
      <formula>$U$276</formula>
    </cfRule>
  </conditionalFormatting>
  <conditionalFormatting sqref="Q453:S453">
    <cfRule type="cellIs" dxfId="13" priority="17" operator="equal">
      <formula>"Pass"</formula>
    </cfRule>
    <cfRule type="cellIs" dxfId="12" priority="18" operator="equal">
      <formula>"Fail"</formula>
    </cfRule>
  </conditionalFormatting>
  <conditionalFormatting sqref="R142">
    <cfRule type="cellIs" dxfId="11" priority="13" operator="equal">
      <formula>"Pass"</formula>
    </cfRule>
    <cfRule type="cellIs" dxfId="10" priority="14" operator="equal">
      <formula>"Fail"</formula>
    </cfRule>
  </conditionalFormatting>
  <conditionalFormatting sqref="X461:X462">
    <cfRule type="cellIs" dxfId="9" priority="9" operator="equal">
      <formula>"Pass"</formula>
    </cfRule>
    <cfRule type="cellIs" dxfId="8" priority="10" operator="equal">
      <formula>"Fail"</formula>
    </cfRule>
  </conditionalFormatting>
  <conditionalFormatting sqref="V304">
    <cfRule type="cellIs" dxfId="7" priority="7" operator="equal">
      <formula>"Pass"</formula>
    </cfRule>
    <cfRule type="cellIs" dxfId="6" priority="8" operator="equal">
      <formula>"Fail"</formula>
    </cfRule>
  </conditionalFormatting>
  <conditionalFormatting sqref="P313:P315">
    <cfRule type="cellIs" dxfId="5" priority="6" operator="between">
      <formula>$R$310*0.98</formula>
      <formula>$R$310*1.02</formula>
    </cfRule>
  </conditionalFormatting>
  <conditionalFormatting sqref="Q313:Q315">
    <cfRule type="cellIs" dxfId="4" priority="5" operator="between">
      <formula>$R$311*0.98</formula>
      <formula>$R$311*1.02</formula>
    </cfRule>
  </conditionalFormatting>
  <conditionalFormatting sqref="Q165:S165">
    <cfRule type="cellIs" dxfId="3" priority="3" operator="equal">
      <formula>"Pass"</formula>
    </cfRule>
    <cfRule type="cellIs" dxfId="2" priority="4" operator="equal">
      <formula>"Fail"</formula>
    </cfRule>
  </conditionalFormatting>
  <conditionalFormatting sqref="P475:S475">
    <cfRule type="cellIs" dxfId="1" priority="1" operator="lessThanOrEqual">
      <formula>0.02</formula>
    </cfRule>
    <cfRule type="cellIs" dxfId="0" priority="2" operator="greaterThan">
      <formula>0.02</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27"/>
  </cols>
  <sheetData>
    <row r="1" spans="1:23">
      <c r="A1" s="726">
        <f>Sheet1!AH10</f>
        <v>24</v>
      </c>
      <c r="B1" s="727" t="s">
        <v>24</v>
      </c>
      <c r="I1" s="726">
        <f>Sheet1!AH57</f>
        <v>28</v>
      </c>
      <c r="J1" s="727" t="s">
        <v>24</v>
      </c>
      <c r="Q1" s="726">
        <f>Sheet1!AH91</f>
        <v>28</v>
      </c>
      <c r="R1" s="727" t="s">
        <v>24</v>
      </c>
    </row>
    <row r="2" spans="1:23" ht="15" thickBot="1">
      <c r="A2" s="727" t="s">
        <v>554</v>
      </c>
      <c r="B2" s="727" t="s">
        <v>555</v>
      </c>
      <c r="C2" s="727" t="s">
        <v>556</v>
      </c>
      <c r="D2" s="727" t="s">
        <v>557</v>
      </c>
      <c r="E2" s="727" t="s">
        <v>24</v>
      </c>
      <c r="G2" s="727" t="str">
        <f>IF(E3&lt;&gt;"","HVL @ "&amp;ROUND(E3,2)&amp;" kVp","HVL @ "&amp;A1&amp;" kVp")</f>
        <v>HVL @ 24 kVp</v>
      </c>
      <c r="I2" s="727" t="s">
        <v>554</v>
      </c>
      <c r="J2" s="727" t="s">
        <v>555</v>
      </c>
      <c r="K2" s="727" t="s">
        <v>556</v>
      </c>
      <c r="L2" s="727" t="s">
        <v>557</v>
      </c>
      <c r="M2" s="727" t="s">
        <v>24</v>
      </c>
      <c r="O2" s="727" t="str">
        <f>IF(M3&lt;&gt;"","HVL @ "&amp;ROUND(M3,2)&amp;" kVp","HVL @ "&amp;I1&amp;" kVp")</f>
        <v>HVL @ 28 kVp</v>
      </c>
      <c r="Q2" s="727" t="s">
        <v>554</v>
      </c>
      <c r="R2" s="727" t="s">
        <v>555</v>
      </c>
      <c r="S2" s="727" t="s">
        <v>556</v>
      </c>
      <c r="T2" s="727" t="s">
        <v>557</v>
      </c>
      <c r="U2" s="727" t="s">
        <v>24</v>
      </c>
      <c r="W2" s="727" t="str">
        <f>IF(U3&lt;&gt;"","HVL @ "&amp;ROUND(U3,2)&amp;" kVp","HVL @ "&amp;Q1&amp;" kVp")</f>
        <v>HVL @ 28 kVp</v>
      </c>
    </row>
    <row r="3" spans="1:23" ht="15" thickBot="1">
      <c r="A3" s="728">
        <f>Sheet1!AJ10</f>
        <v>0</v>
      </c>
      <c r="B3" s="728" t="str">
        <f>IF(MIN(Sheet1!AO10:AO11)=0,"",AVERAGE(Sheet1!AO10:AO11))</f>
        <v/>
      </c>
      <c r="C3" s="728" t="str">
        <f>IF(B3="","",ABS(B3-B3/2))</f>
        <v/>
      </c>
      <c r="D3" s="728" t="str">
        <f>IF(OR(B3="",B4=""),"",IF(ABS(B3-B3/2)=SMALL(C3:C6,1),A3,IF(ABS(B4-B3/2)=SMALL(C3:C6,1),A4,IF(ABS(B5-B3/2)=SMALL(C3:C6,1),A5,IF(ABS(B6-B3/2)=SMALL(C3:C6,1),A6,"")))))</f>
        <v/>
      </c>
      <c r="E3" s="728" t="str">
        <f>IF(OR(Sheet1!AM10="",Sheet1!AM11=""),"",AVERAGE(Sheet1!AM10:AM11))</f>
        <v/>
      </c>
      <c r="G3" s="729" t="str">
        <f>IF(OR(MIN(D3:D4)=0,MIN(D7:D8)=0),"",TREND(D3:D4,E7:E8,LN(B3/2)))</f>
        <v/>
      </c>
      <c r="I3" s="728">
        <f>Sheet1!AJ57</f>
        <v>0</v>
      </c>
      <c r="J3" s="728" t="str">
        <f>IF(MIN(Sheet1!AO57:AO58)=0,"",AVERAGE(Sheet1!AO57:AO58))</f>
        <v/>
      </c>
      <c r="K3" s="728" t="str">
        <f>IF(J3="","",ABS(J3-J3/2))</f>
        <v/>
      </c>
      <c r="L3" s="728" t="str">
        <f>IF(OR(J3="",J4=""),"",IF(ABS(J3-J3/2)=SMALL(K3:K6,1),I3,IF(ABS(J4-J3/2)=SMALL(K3:K6,1),I4,IF(ABS(J5-J3/2)=SMALL(K3:K6,1),I5,IF(ABS(J6-J3/2)=SMALL(K3:K6,1),I6,"")))))</f>
        <v/>
      </c>
      <c r="M3" s="728" t="str">
        <f>IF(OR(Sheet1!AM57="",Sheet1!AM58=""),"",AVERAGE(Sheet1!AM57:AM58))</f>
        <v/>
      </c>
      <c r="O3" s="729" t="str">
        <f>IF(OR(MIN(L3:L4)=0,MIN(L7:L8)=0),"",TREND(L3:L4,M7:M8,LN(J3/2)))</f>
        <v/>
      </c>
      <c r="Q3" s="728">
        <f>Sheet1!AJ91</f>
        <v>0</v>
      </c>
      <c r="R3" s="728" t="str">
        <f>IF(MIN(Sheet1!AO91:AO94)=0,"",AVERAGE(Sheet1!AO91:AO94))</f>
        <v/>
      </c>
      <c r="S3" s="728" t="str">
        <f>IF(R3="","",ABS(R3-R3/2))</f>
        <v/>
      </c>
      <c r="T3" s="728" t="str">
        <f>IF(OR(R3="",R4="",R5=""),"",IF(ABS(R3-R3/2)=SMALL(S3:S6,1),Q3,IF(ABS(R4-R3/2)=SMALL(S3:S6,1),Q4,IF(ABS(R5-R3/2)=SMALL(S3:S6,1),Q5,IF(ABS(R6-R3/2)=SMALL(S3:S6,1),Q6,"")))))</f>
        <v/>
      </c>
      <c r="U3" s="728" t="str">
        <f>IF(OR(Sheet1!AM91="",Sheet1!AM92=""),"",AVERAGE(Sheet1!AM91:AM94))</f>
        <v/>
      </c>
      <c r="W3" s="729" t="str">
        <f>IF(OR(MIN(T3:T4)=0,MIN(T7:T8)=0),"",TREND(T3:T4,U7:U8,LN(R3/2)))</f>
        <v/>
      </c>
    </row>
    <row r="4" spans="1:23">
      <c r="A4" s="728">
        <f>Sheet1!AJ12</f>
        <v>0.3</v>
      </c>
      <c r="B4" s="728" t="str">
        <f>IF(MIN(Sheet1!AO12:AO13)=0,"",AVERAGE(Sheet1!AO12:AO13))</f>
        <v/>
      </c>
      <c r="C4" s="728" t="str">
        <f>IF(B4="","",ABS(B4-B3/2))</f>
        <v/>
      </c>
      <c r="D4" s="728" t="str">
        <f>IF(OR(B3="",B4=""),"",IF(ABS(B3-B3/2)=SMALL(C3:C6,2),A3,IF(ABS(B4-B3/2)=SMALL(C3:C6,2),A4,IF(ABS(B5-B3/2)=SMALL(C3:C6,2),A5,IF(ABS(B6-B3/2)=SMALL(C3:C6,2),A6,"")))))</f>
        <v/>
      </c>
      <c r="I4" s="728">
        <f>Sheet1!AJ59</f>
        <v>0.4</v>
      </c>
      <c r="J4" s="728" t="str">
        <f>IF(MIN(Sheet1!AO59:AO60)=0,"",AVERAGE(Sheet1!AO59:AO60))</f>
        <v/>
      </c>
      <c r="K4" s="728" t="str">
        <f>IF(J4="","",ABS(J4-J3/2))</f>
        <v/>
      </c>
      <c r="L4" s="728" t="str">
        <f>IF(OR(J3="",J4=""),"",IF(ABS(J3-J3/2)=SMALL(K3:K6,2),I3,IF(ABS(J4-J3/2)=SMALL(K3:K6,2),I4,IF(ABS(J5-J3/2)=SMALL(K3:K6,2),I5,IF(ABS(J6-J3/2)=SMALL(K3:K6,2),I6,"")))))</f>
        <v/>
      </c>
      <c r="Q4" s="728">
        <f>Sheet1!AJ95</f>
        <v>0.5</v>
      </c>
      <c r="R4" s="728" t="str">
        <f>IF(MIN(Sheet1!AO95:AO96)=0,"",AVERAGE(Sheet1!AO95:AO96))</f>
        <v/>
      </c>
      <c r="S4" s="728" t="str">
        <f>IF(R4="","",ABS(R4-R3/2))</f>
        <v/>
      </c>
      <c r="T4" s="728" t="str">
        <f>IF(OR(R3="",R4=""),"",IF(ABS(R3-R3/2)=SMALL(S3:S6,2),Q3,IF(ABS(R4-R3/2)=SMALL(S3:S6,2),Q4,IF(ABS(R5-R3/2)=SMALL(S3:S6,2),Q5,IF(ABS(R6-R3/2)=SMALL(S3:S6,2),Q6,"")))))</f>
        <v/>
      </c>
    </row>
    <row r="5" spans="1:23">
      <c r="A5" s="728" t="str">
        <f>IF(AND(Sheet1!AM14="",Sheet1!AM16=""),"",IF(Sheet1!AM14&lt;&gt;"",Sheet1!AJ14,Sheet1!AJ16))</f>
        <v/>
      </c>
      <c r="B5" s="728" t="str">
        <f>IF(AND(Sheet1!AM14="",Sheet1!AM16=""),"",IF(Sheet1!AM14&lt;&gt;"",AVERAGE(Sheet1!AO14:AO15),AVERAGE(Sheet1!AO16:AO17)))</f>
        <v/>
      </c>
      <c r="C5" s="728" t="str">
        <f>IF(B5="","",ABS(B5-B3/2))</f>
        <v/>
      </c>
      <c r="I5" s="728" t="str">
        <f>IF(AND(Sheet1!AM61="",Sheet1!AM63=""),"",IF(Sheet1!AM61&lt;&gt;"",Sheet1!AJ61,Sheet1!AJ63))</f>
        <v/>
      </c>
      <c r="J5" s="728" t="str">
        <f>IF(AND(Sheet1!AM61="",Sheet1!AM63=""),"",IF(Sheet1!AM61&lt;&gt;"",AVERAGE(Sheet1!AO61:AO62),AVERAGE(Sheet1!AO63:AO64)))</f>
        <v/>
      </c>
      <c r="K5" s="728" t="str">
        <f>IF(J5="","",ABS(J5-J3/2))</f>
        <v/>
      </c>
      <c r="Q5" s="728" t="str">
        <f>IF(AND(Sheet1!AM97="",Sheet1!AM99=""),"",IF(Sheet1!AM97&lt;&gt;"",Sheet1!AJ97,Sheet1!AJ99))</f>
        <v/>
      </c>
      <c r="R5" s="728" t="str">
        <f>IF(AND(Sheet1!AM97="",Sheet1!AM99=""),"",IF(Sheet1!AM97&lt;&gt;"",AVERAGE(Sheet1!AO97:AO98),AVERAGE(Sheet1!AO99:AO100)))</f>
        <v/>
      </c>
      <c r="S5" s="728" t="str">
        <f>IF(R5="","",ABS(R5-R3/2))</f>
        <v/>
      </c>
    </row>
    <row r="6" spans="1:23">
      <c r="A6" s="728" t="str">
        <f>IF(OR(Sheet1!AM16="",AND(Sheet1!AM14="",Sheet1!AM16&lt;&gt;"")),"",Sheet1!AJ16)</f>
        <v/>
      </c>
      <c r="B6" s="728" t="str">
        <f>IF(OR(Sheet1!AM16="",AND(Sheet1!AM14="",Sheet1!AM16&lt;&gt;"")),"",AVERAGE(Sheet1!AO16:AO17))</f>
        <v/>
      </c>
      <c r="C6" s="728" t="str">
        <f>IF(B6="","",ABS(B6-B3/2))</f>
        <v/>
      </c>
      <c r="D6" s="727" t="s">
        <v>558</v>
      </c>
      <c r="E6" s="727" t="s">
        <v>559</v>
      </c>
      <c r="I6" s="728" t="str">
        <f>IF(OR(Sheet1!AM63="",AND(Sheet1!AM61="",Sheet1!AM63&lt;&gt;"")),"",Sheet1!AJ63)</f>
        <v/>
      </c>
      <c r="J6" s="728" t="str">
        <f>IF(OR(Sheet1!AM63="",AND(Sheet1!AM61="",Sheet1!AM63&lt;&gt;"")),"",AVERAGE(Sheet1!AO63:AO64))</f>
        <v/>
      </c>
      <c r="K6" s="728" t="str">
        <f>IF(J6="","",ABS(J6-J3/2))</f>
        <v/>
      </c>
      <c r="L6" s="727" t="s">
        <v>558</v>
      </c>
      <c r="M6" s="727" t="s">
        <v>559</v>
      </c>
      <c r="Q6" s="728" t="str">
        <f>IF(OR(Sheet1!AM99="",AND(Sheet1!AM97="",Sheet1!AM99&lt;&gt;"")),"",Sheet1!AJ99)</f>
        <v/>
      </c>
      <c r="R6" s="728" t="str">
        <f>IF(OR(Sheet1!AM99="",AND(Sheet1!AM97="",Sheet1!AM99&lt;&gt;"")),"",AVERAGE(Sheet1!AO99:AO100))</f>
        <v/>
      </c>
      <c r="S6" s="728" t="str">
        <f>IF(R6="","",ABS(R6-R3/2))</f>
        <v/>
      </c>
      <c r="T6" s="727" t="s">
        <v>558</v>
      </c>
      <c r="U6" s="727" t="s">
        <v>559</v>
      </c>
    </row>
    <row r="7" spans="1:23">
      <c r="A7" s="728" t="str">
        <f>G3</f>
        <v/>
      </c>
      <c r="B7" s="728" t="str">
        <f>IF(G3="","",EXP(TREND(E7:E8,D3:D4,A7)))</f>
        <v/>
      </c>
      <c r="D7" s="728" t="str">
        <f>IF(OR(B3="",B4=""),"",IF(A3=D3,B3,IF(A4=D3,B4,IF(A5=D3,B5,IF(A6=D3,B6)))))</f>
        <v/>
      </c>
      <c r="E7" s="728" t="str">
        <f>IF(D7="","",LN(D7))</f>
        <v/>
      </c>
      <c r="I7" s="728" t="str">
        <f>O3</f>
        <v/>
      </c>
      <c r="J7" s="728" t="str">
        <f>IF(O3="","",EXP(TREND(M7:M8,L3:L4,I7)))</f>
        <v/>
      </c>
      <c r="L7" s="728" t="str">
        <f>IF(OR(J3="",J4=""),"",IF(I3=L3,J3,IF(I4=L3,J4,IF(I5=L3,J5,IF(I6=L3,J6)))))</f>
        <v/>
      </c>
      <c r="M7" s="728" t="str">
        <f>IF(L7="","",LN(L7))</f>
        <v/>
      </c>
      <c r="Q7" s="728" t="str">
        <f>W3</f>
        <v/>
      </c>
      <c r="R7" s="728" t="str">
        <f>IF(W3="","",EXP(TREND(U7:U8,T3:T4,Q7)))</f>
        <v/>
      </c>
      <c r="T7" s="728" t="str">
        <f>IF(OR(R3="",R4=""),"",IF(Q3=T3,R3,IF(Q4=T3,R4,IF(Q5=T3,R5,IF(Q6=T3,R6)))))</f>
        <v/>
      </c>
      <c r="U7" s="728" t="str">
        <f>IF(T7="","",LN(T7))</f>
        <v/>
      </c>
    </row>
    <row r="8" spans="1:23">
      <c r="D8" s="728" t="str">
        <f>IF(OR(B3="",B4=""),"",IF(A3=D4,B3,IF(A4=D4,B4,IF(A5=D4,B5,IF(A6=D4,B6)))))</f>
        <v/>
      </c>
      <c r="E8" s="728" t="str">
        <f>IF(D8="","",LN(D8))</f>
        <v/>
      </c>
      <c r="L8" s="728" t="str">
        <f>IF(OR(J3="",J4=""),"",IF(I3=L4,J3,IF(I4=L4,J4,IF(I5=L4,J5,IF(I6=L4,J6)))))</f>
        <v/>
      </c>
      <c r="M8" s="728" t="str">
        <f>IF(L8="","",LN(L8))</f>
        <v/>
      </c>
      <c r="T8" s="728" t="str">
        <f>IF(OR(R3="",R4=""),"",IF(Q3=T4,R3,IF(Q4=T4,R4,IF(Q5=T4,R5,IF(Q6=T4,R6)))))</f>
        <v/>
      </c>
      <c r="U8" s="728" t="str">
        <f>IF(T8="","",LN(T8))</f>
        <v/>
      </c>
    </row>
    <row r="9" spans="1:23">
      <c r="A9" s="726">
        <f>Sheet1!AH18</f>
        <v>25</v>
      </c>
      <c r="B9" s="727" t="s">
        <v>24</v>
      </c>
      <c r="I9" s="726">
        <f>Sheet1!AH65</f>
        <v>30</v>
      </c>
      <c r="J9" s="727" t="s">
        <v>24</v>
      </c>
      <c r="Q9" s="726">
        <f>Sheet1!AH101</f>
        <v>30</v>
      </c>
      <c r="R9" s="727" t="s">
        <v>24</v>
      </c>
    </row>
    <row r="10" spans="1:23" ht="15" thickBot="1">
      <c r="A10" s="727" t="s">
        <v>554</v>
      </c>
      <c r="B10" s="727" t="s">
        <v>555</v>
      </c>
      <c r="C10" s="727" t="s">
        <v>556</v>
      </c>
      <c r="D10" s="727" t="s">
        <v>557</v>
      </c>
      <c r="E10" s="727" t="s">
        <v>24</v>
      </c>
      <c r="G10" s="727" t="str">
        <f>IF(E11&lt;&gt;"","HVL @ "&amp;ROUND(E11,2)&amp;" kVp","HVL @ "&amp;A9&amp;" kVp")</f>
        <v>HVL @ 25 kVp</v>
      </c>
      <c r="I10" s="727" t="s">
        <v>554</v>
      </c>
      <c r="J10" s="727" t="s">
        <v>555</v>
      </c>
      <c r="K10" s="727" t="s">
        <v>556</v>
      </c>
      <c r="L10" s="727" t="s">
        <v>557</v>
      </c>
      <c r="M10" s="727" t="s">
        <v>24</v>
      </c>
      <c r="O10" s="727" t="str">
        <f>IF(M11&lt;&gt;"","HVL @ "&amp;ROUND(M11,2)&amp;" kVp","HVL @ "&amp;I9&amp;" kVp")</f>
        <v>HVL @ 30 kVp</v>
      </c>
      <c r="Q10" s="727" t="s">
        <v>554</v>
      </c>
      <c r="R10" s="727" t="s">
        <v>555</v>
      </c>
      <c r="S10" s="727" t="s">
        <v>556</v>
      </c>
      <c r="T10" s="727" t="s">
        <v>557</v>
      </c>
      <c r="U10" s="727" t="s">
        <v>24</v>
      </c>
      <c r="W10" s="727" t="str">
        <f>IF(U11&lt;&gt;"","HVL @ "&amp;ROUND(U11,2)&amp;" kVp","HVL @ "&amp;Q9&amp;" kVp")</f>
        <v>HVL @ 30 kVp</v>
      </c>
    </row>
    <row r="11" spans="1:23" ht="15" thickBot="1">
      <c r="A11" s="728">
        <f>Sheet1!AJ18</f>
        <v>0</v>
      </c>
      <c r="B11" s="728" t="str">
        <f>IF(MIN(Sheet1!AO18:AO19)=0,"",AVERAGE(Sheet1!AO18:AO19))</f>
        <v/>
      </c>
      <c r="C11" s="728" t="str">
        <f>IF(B11="","",ABS(B11-B11/2))</f>
        <v/>
      </c>
      <c r="D11" s="728" t="str">
        <f>IF(OR(B11="",B12=""),"",IF(ABS(B11-B11/2)=SMALL(C11:C14,1),A11,IF(ABS(B12-B11/2)=SMALL(C11:C14,1),A12,IF(ABS(B13-B11/2)=SMALL(C11:C14,1),A13,IF(ABS(B14-B11/2)=SMALL(C11:C14,1),A14,"")))))</f>
        <v/>
      </c>
      <c r="E11" s="728" t="str">
        <f>IF(OR(Sheet1!AM18="",Sheet1!AM19=""),"",AVERAGE(Sheet1!AM18:AM19))</f>
        <v/>
      </c>
      <c r="G11" s="729" t="str">
        <f>IF(OR(MIN(D11:D12)=0,MIN(D15:D16)=0),"",TREND(D11:D12,E15:E16,LN(B11/2)))</f>
        <v/>
      </c>
      <c r="I11" s="728">
        <f>Sheet1!AJ65</f>
        <v>0</v>
      </c>
      <c r="J11" s="728" t="str">
        <f>IF(MIN(Sheet1!AO65:AO66)=0,"",AVERAGE(Sheet1!AO65:AO66))</f>
        <v/>
      </c>
      <c r="K11" s="728" t="str">
        <f>IF(J11="","",ABS(J11-J11/2))</f>
        <v/>
      </c>
      <c r="L11" s="728" t="str">
        <f>IF(OR(J11="",J12=""),"",IF(ABS(J11-J11/2)=SMALL(K11:K14,1),I11,IF(ABS(J12-J11/2)=SMALL(K11:K14,1),I12,IF(ABS(J13-J11/2)=SMALL(K11:K14,1),I13,IF(ABS(J14-J11/2)=SMALL(K11:K14,1),I14,"")))))</f>
        <v/>
      </c>
      <c r="M11" s="728" t="str">
        <f>IF(OR(Sheet1!AM65="",Sheet1!AM66=""),"",AVERAGE(Sheet1!AM65:AM66))</f>
        <v/>
      </c>
      <c r="O11" s="729" t="str">
        <f>IF(OR(MIN(L11:L12)=0,MIN(L15:L16)=0),"",TREND(L11:L12,M15:M16,LN(J11/2)))</f>
        <v/>
      </c>
      <c r="Q11" s="728">
        <f>Sheet1!AJ101</f>
        <v>0</v>
      </c>
      <c r="R11" s="728" t="str">
        <f>IF(MIN(Sheet1!AO101:AO102)=0,"",AVERAGE(Sheet1!AO101:AO102))</f>
        <v/>
      </c>
      <c r="S11" s="728" t="str">
        <f>IF(R11="","",ABS(R11-R11/2))</f>
        <v/>
      </c>
      <c r="T11" s="728" t="str">
        <f>IF(OR(R11="",R12=""),"",IF(ABS(R11-R11/2)=SMALL(S11:S14,1),Q11,IF(ABS(R12-R11/2)=SMALL(S11:S14,1),Q12,IF(ABS(R13-R11/2)=SMALL(S11:S14,1),Q13,IF(ABS(R14-R11/2)=SMALL(S11:S14,1),Q14,"")))))</f>
        <v/>
      </c>
      <c r="U11" s="728" t="str">
        <f>IF(OR(Sheet1!AM101="",Sheet1!AM102=""),"",AVERAGE(Sheet1!AM101:AM102))</f>
        <v/>
      </c>
      <c r="W11" s="729" t="str">
        <f>IF(OR(MIN(T11:T12)=0,MIN(T15:T16)=0),"",TREND(T11:T12,U15:U16,LN(R11/2)))</f>
        <v/>
      </c>
    </row>
    <row r="12" spans="1:23">
      <c r="A12" s="728">
        <f>Sheet1!AJ20</f>
        <v>0.3</v>
      </c>
      <c r="B12" s="728" t="str">
        <f>IF(MIN(Sheet1!AO20:AO21)=0,"",AVERAGE(Sheet1!AO20:AO21))</f>
        <v/>
      </c>
      <c r="C12" s="728" t="str">
        <f>IF(B12="","",ABS(B12-B11/2))</f>
        <v/>
      </c>
      <c r="D12" s="728" t="str">
        <f>IF(OR(B11="",B12=""),"",IF(ABS(B11-B11/2)=SMALL(C11:C14,2),A11,IF(ABS(B12-B11/2)=SMALL(C11:C14,2),A12,IF(ABS(B13-B11/2)=SMALL(C11:C14,2),A13,IF(ABS(B14-B11/2)=SMALL(C11:C14,2),A14,"")))))</f>
        <v/>
      </c>
      <c r="I12" s="728">
        <f>Sheet1!AJ67</f>
        <v>0.4</v>
      </c>
      <c r="J12" s="728" t="str">
        <f>IF(MIN(Sheet1!AO67:AO68)=0,"",AVERAGE(Sheet1!AO67:AO68))</f>
        <v/>
      </c>
      <c r="K12" s="728" t="str">
        <f>IF(J12="","",ABS(J12-J11/2))</f>
        <v/>
      </c>
      <c r="L12" s="728" t="str">
        <f>IF(OR(J11="",J12=""),"",IF(ABS(J11-J11/2)=SMALL(K11:K14,2),I11,IF(ABS(J12-J11/2)=SMALL(K11:K14,2),I12,IF(ABS(J13-J11/2)=SMALL(K11:K14,2),I13,IF(ABS(J14-J11/2)=SMALL(K11:K14,2),I14,"")))))</f>
        <v/>
      </c>
      <c r="Q12" s="728">
        <f>Sheet1!AJ103</f>
        <v>0.5</v>
      </c>
      <c r="R12" s="728" t="str">
        <f>IF(MIN(Sheet1!AO103:AO104)=0,"",AVERAGE(Sheet1!AO103:AO104))</f>
        <v/>
      </c>
      <c r="S12" s="728" t="str">
        <f>IF(R12="","",ABS(R12-R11/2))</f>
        <v/>
      </c>
      <c r="T12" s="728" t="str">
        <f>IF(OR(R11="",R12=""),"",IF(ABS(R11-R11/2)=SMALL(S11:S14,2),Q11,IF(ABS(R12-R11/2)=SMALL(S11:S14,2),Q12,IF(ABS(R13-R11/2)=SMALL(S11:S14,2),Q13,IF(ABS(R14-R11/2)=SMALL(S11:S14,2),Q14,"")))))</f>
        <v/>
      </c>
    </row>
    <row r="13" spans="1:23">
      <c r="A13" s="728" t="str">
        <f>IF(AND(Sheet1!AM22="",Sheet1!AM24=""),"",IF(Sheet1!AM22&lt;&gt;"",Sheet1!AJ22,Sheet1!AJ24))</f>
        <v/>
      </c>
      <c r="B13" s="728" t="str">
        <f>IF(AND(Sheet1!AM22="",Sheet1!AM24=""),"",IF(Sheet1!AM22&lt;&gt;"",AVERAGE(Sheet1!AO22:AO23),AVERAGE(Sheet1!AO24:AO25)))</f>
        <v/>
      </c>
      <c r="C13" s="728" t="str">
        <f>IF(B13="","",ABS(B13-B11/2))</f>
        <v/>
      </c>
      <c r="I13" s="728" t="str">
        <f>IF(AND(Sheet1!AM69="",Sheet1!AM71=""),"",IF(Sheet1!AM69&lt;&gt;"",Sheet1!AJ69,Sheet1!AJ71))</f>
        <v/>
      </c>
      <c r="J13" s="728" t="str">
        <f>IF(AND(Sheet1!AM69="",Sheet1!AM71=""),"",IF(Sheet1!AM69&lt;&gt;"",AVERAGE(Sheet1!AO69:AO70),AVERAGE(Sheet1!AO71:AO72)))</f>
        <v/>
      </c>
      <c r="K13" s="728" t="str">
        <f>IF(J13="","",ABS(J13-J11/2))</f>
        <v/>
      </c>
      <c r="Q13" s="728" t="str">
        <f>IF(AND(Sheet1!AM105="",Sheet1!AM107=""),"",IF(Sheet1!AM105&lt;&gt;"",Sheet1!AJ105,Sheet1!AJ107))</f>
        <v/>
      </c>
      <c r="R13" s="728" t="str">
        <f>IF(AND(Sheet1!AM105="",Sheet1!AM107=""),"",IF(Sheet1!AM105&lt;&gt;"",AVERAGE(Sheet1!AO105:AO106),AVERAGE(Sheet1!AO107:AO108)))</f>
        <v/>
      </c>
      <c r="S13" s="728" t="str">
        <f>IF(R13="","",ABS(R13-R11/2))</f>
        <v/>
      </c>
    </row>
    <row r="14" spans="1:23">
      <c r="A14" s="728" t="str">
        <f>IF(OR(Sheet1!AM24="",AND(Sheet1!AM22="",Sheet1!AM24&lt;&gt;"")),"",Sheet1!AJ24)</f>
        <v/>
      </c>
      <c r="B14" s="728" t="str">
        <f>IF(OR(Sheet1!AM24="",AND(Sheet1!AM22="",Sheet1!AM24&lt;&gt;"")),"",AVERAGE(Sheet1!AO24:AO25))</f>
        <v/>
      </c>
      <c r="C14" s="728" t="str">
        <f>IF(B14="","",ABS(B14-B11/2))</f>
        <v/>
      </c>
      <c r="D14" s="727" t="s">
        <v>558</v>
      </c>
      <c r="E14" s="727" t="s">
        <v>559</v>
      </c>
      <c r="I14" s="728" t="str">
        <f>IF(OR(Sheet1!AM71="",AND(Sheet1!AM69="",Sheet1!AM71&lt;&gt;"")),"",Sheet1!AJ71)</f>
        <v/>
      </c>
      <c r="J14" s="728" t="str">
        <f>IF(OR(Sheet1!AM71="",AND(Sheet1!AM69="",Sheet1!AM71&lt;&gt;"")),"",AVERAGE(Sheet1!AO71:AO72))</f>
        <v/>
      </c>
      <c r="K14" s="728" t="str">
        <f>IF(J14="","",ABS(J14-J11/2))</f>
        <v/>
      </c>
      <c r="L14" s="727" t="s">
        <v>558</v>
      </c>
      <c r="M14" s="727" t="s">
        <v>559</v>
      </c>
      <c r="Q14" s="728" t="str">
        <f>IF(OR(Sheet1!AM107="",AND(Sheet1!AM105="",Sheet1!AM107&lt;&gt;"")),"",Sheet1!AJ107)</f>
        <v/>
      </c>
      <c r="R14" s="728" t="str">
        <f>IF(OR(Sheet1!AM107="",AND(Sheet1!AM105="",Sheet1!AM107&lt;&gt;"")),"",AVERAGE(Sheet1!AO107:AO108))</f>
        <v/>
      </c>
      <c r="S14" s="728" t="str">
        <f>IF(R14="","",ABS(R14-R11/2))</f>
        <v/>
      </c>
      <c r="T14" s="727" t="s">
        <v>558</v>
      </c>
      <c r="U14" s="727" t="s">
        <v>559</v>
      </c>
    </row>
    <row r="15" spans="1:23">
      <c r="A15" s="728" t="str">
        <f>G11</f>
        <v/>
      </c>
      <c r="B15" s="728" t="str">
        <f>IF(G11="","",EXP(TREND(E15:E16,D11:D12,A15)))</f>
        <v/>
      </c>
      <c r="D15" s="728" t="str">
        <f>IF(OR(B11="",B12=""),"",IF(A11=D11,B11,IF(A12=D11,B12,IF(A13=D11,B13,IF(A14=D11,B14)))))</f>
        <v/>
      </c>
      <c r="E15" s="728" t="str">
        <f>IF(D15="","",LN(D15))</f>
        <v/>
      </c>
      <c r="I15" s="728" t="str">
        <f>O11</f>
        <v/>
      </c>
      <c r="J15" s="728" t="str">
        <f>IF(O11="","",EXP(TREND(M15:M16,L11:L12,I15)))</f>
        <v/>
      </c>
      <c r="L15" s="728" t="str">
        <f>IF(OR(J11="",J12=""),"",IF(I11=L11,J11,IF(I12=L11,J12,IF(I13=L11,J13,IF(I14=L11,J14)))))</f>
        <v/>
      </c>
      <c r="M15" s="728" t="str">
        <f>IF(L15="","",LN(L15))</f>
        <v/>
      </c>
      <c r="Q15" s="728" t="str">
        <f>W11</f>
        <v/>
      </c>
      <c r="R15" s="728" t="str">
        <f>IF(W11="","",EXP(TREND(U15:U16,T11:T12,Q15)))</f>
        <v/>
      </c>
      <c r="T15" s="728" t="str">
        <f>IF(OR(R11="",R12=""),"",IF(Q11=T11,R11,IF(Q12=T11,R12,IF(Q13=T11,R13,IF(Q14=T11,R14)))))</f>
        <v/>
      </c>
      <c r="U15" s="728" t="str">
        <f>IF(T15="","",LN(T15))</f>
        <v/>
      </c>
    </row>
    <row r="16" spans="1:23">
      <c r="D16" s="728" t="str">
        <f>IF(OR(B11="",B12=""),"",IF(A11=D12,B11,IF(A12=D12,B12,IF(A13=D12,B13,IF(A14=D12,B14)))))</f>
        <v/>
      </c>
      <c r="E16" s="728" t="str">
        <f>IF(D16="","",LN(D16))</f>
        <v/>
      </c>
      <c r="L16" s="728" t="str">
        <f>IF(OR(J11="",J12=""),"",IF(I11=L12,J11,IF(I12=L12,J12,IF(I13=L12,J13,IF(I14=L12,J14)))))</f>
        <v/>
      </c>
      <c r="M16" s="728" t="str">
        <f>IF(L16="","",LN(L16))</f>
        <v/>
      </c>
      <c r="T16" s="728" t="str">
        <f>IF(OR(R11="",R12=""),"",IF(Q11=T12,R11,IF(Q12=T12,R12,IF(Q13=T12,R13,IF(Q14=T12,R14)))))</f>
        <v/>
      </c>
      <c r="U16" s="728" t="str">
        <f>IF(T16="","",LN(T16))</f>
        <v/>
      </c>
    </row>
    <row r="17" spans="1:23">
      <c r="A17" s="726">
        <f>Sheet1!AH28</f>
        <v>28</v>
      </c>
      <c r="B17" s="727" t="s">
        <v>24</v>
      </c>
      <c r="I17" s="726">
        <f>Sheet1!AH73</f>
        <v>32</v>
      </c>
      <c r="J17" s="727" t="s">
        <v>24</v>
      </c>
      <c r="Q17" s="726">
        <f>Sheet1!AH109</f>
        <v>32</v>
      </c>
      <c r="R17" s="727" t="s">
        <v>24</v>
      </c>
    </row>
    <row r="18" spans="1:23" ht="15" thickBot="1">
      <c r="A18" s="727" t="s">
        <v>554</v>
      </c>
      <c r="B18" s="727" t="s">
        <v>555</v>
      </c>
      <c r="C18" s="727" t="s">
        <v>556</v>
      </c>
      <c r="D18" s="727" t="s">
        <v>557</v>
      </c>
      <c r="E18" s="727" t="s">
        <v>24</v>
      </c>
      <c r="G18" s="727" t="str">
        <f>IF(E19&lt;&gt;"","HVL @ "&amp;ROUND(E19,2)&amp;" kVp","HVL @ "&amp;A17&amp;" kVp")</f>
        <v>HVL @ 28 kVp</v>
      </c>
      <c r="I18" s="727" t="s">
        <v>554</v>
      </c>
      <c r="J18" s="727" t="s">
        <v>555</v>
      </c>
      <c r="K18" s="727" t="s">
        <v>556</v>
      </c>
      <c r="L18" s="727" t="s">
        <v>557</v>
      </c>
      <c r="M18" s="727" t="s">
        <v>24</v>
      </c>
      <c r="O18" s="727" t="str">
        <f>IF(M19&lt;&gt;"","HVL @ "&amp;ROUND(M19,2)&amp;" kVp","HVL @ "&amp;I17&amp;" kVp")</f>
        <v>HVL @ 32 kVp</v>
      </c>
      <c r="Q18" s="727" t="s">
        <v>554</v>
      </c>
      <c r="R18" s="727" t="s">
        <v>555</v>
      </c>
      <c r="S18" s="727" t="s">
        <v>556</v>
      </c>
      <c r="T18" s="727" t="s">
        <v>557</v>
      </c>
      <c r="U18" s="727" t="s">
        <v>24</v>
      </c>
      <c r="W18" s="727" t="str">
        <f>IF(U19&lt;&gt;"","HVL @ "&amp;ROUND(U19,2)&amp;" kVp","HVL @ "&amp;Q17&amp;" kVp")</f>
        <v>HVL @ 32 kVp</v>
      </c>
    </row>
    <row r="19" spans="1:23" ht="15" thickBot="1">
      <c r="A19" s="728">
        <f>Sheet1!AJ28</f>
        <v>0</v>
      </c>
      <c r="B19" s="728" t="str">
        <f>IF(MIN(Sheet1!AO28:AO31)=0,"",AVERAGE(Sheet1!AO28:AO31))</f>
        <v/>
      </c>
      <c r="C19" s="728" t="str">
        <f>IF(B19="","",ABS(B19-B19/2))</f>
        <v/>
      </c>
      <c r="D19" s="728" t="str">
        <f>IF(OR(B19="",B20=""),"",IF(ABS(B19-B19/2)=SMALL(C19:C22,1),A19,IF(ABS(B20-B19/2)=SMALL(C19:C22,1),A20,IF(ABS(B21-B19/2)=SMALL(C19:C22,1),A21,IF(ABS(B22-B19/2)=SMALL(C19:C22,1),A22,"")))))</f>
        <v/>
      </c>
      <c r="E19" s="728" t="str">
        <f>IF(OR(Sheet1!AM26="",Sheet1!AM27=""),"",AVERAGE(Sheet1!AM26:AM27))</f>
        <v/>
      </c>
      <c r="G19" s="729" t="str">
        <f>IF(OR(MIN(D19:D20)=0,MIN(D23:D24)=0),"",TREND(D19:D20,E23:E24,LN(B19/2)))</f>
        <v/>
      </c>
      <c r="I19" s="728">
        <f>Sheet1!AJ73</f>
        <v>0</v>
      </c>
      <c r="J19" s="728" t="str">
        <f>IF(MIN(Sheet1!AO73:AO74)=0,"",AVERAGE(Sheet1!AO73:AO74))</f>
        <v/>
      </c>
      <c r="K19" s="728" t="str">
        <f>IF(J19="","",ABS(J19-J19/2))</f>
        <v/>
      </c>
      <c r="L19" s="728" t="str">
        <f>IF(OR(J19="",J20=""),"",IF(ABS(J19-J19/2)=SMALL(K19:K22,1),I19,IF(ABS(J20-J19/2)=SMALL(K19:K22,1),I20,IF(ABS(J21-J19/2)=SMALL(K19:K22,1),I21,IF(ABS(J22-J19/2)=SMALL(K19:K22,1),I22,"")))))</f>
        <v/>
      </c>
      <c r="M19" s="728" t="str">
        <f>IF(OR(Sheet1!AM73="",Sheet1!AM74=""),"",AVERAGE(Sheet1!AM73:AM74))</f>
        <v/>
      </c>
      <c r="O19" s="729" t="str">
        <f>IF(OR(MIN(L19:L20)=0,MIN(L23:L24)=0),"",TREND(L19:L20,M23:M24,LN(J19/2)))</f>
        <v/>
      </c>
      <c r="Q19" s="728">
        <f>Sheet1!AJ109</f>
        <v>0</v>
      </c>
      <c r="R19" s="728" t="str">
        <f>IF(MIN(Sheet1!AO109:AO110)=0,"",AVERAGE(Sheet1!AO109:AO110))</f>
        <v/>
      </c>
      <c r="S19" s="728" t="str">
        <f>IF(R19="","",ABS(R19-R19/2))</f>
        <v/>
      </c>
      <c r="T19" s="728" t="str">
        <f>IF(OR(R19="",R20=""),"",IF(ABS(R19-R19/2)=SMALL(S19:S22,1),Q19,IF(ABS(R20-R19/2)=SMALL(S19:S22,1),Q20,IF(ABS(R21-R19/2)=SMALL(S19:S22,1),Q21,IF(ABS(R22-R19/2)=SMALL(S19:S22,1),Q22,"")))))</f>
        <v/>
      </c>
      <c r="U19" s="728" t="str">
        <f>IF(OR(Sheet1!AM109="",Sheet1!AM110=""),"",AVERAGE(Sheet1!AM109:AM110))</f>
        <v/>
      </c>
      <c r="W19" s="729" t="str">
        <f>IF(OR(MIN(T19:T20)=0,MIN(T23:T24)=0),"",TREND(T19:T20,U23:U24,LN(R19/2)))</f>
        <v/>
      </c>
    </row>
    <row r="20" spans="1:23">
      <c r="A20" s="728">
        <f>Sheet1!AJ32</f>
        <v>0.3</v>
      </c>
      <c r="B20" s="728" t="str">
        <f>IF(MIN(Sheet1!AO32:AO33)=0,"",AVERAGE(Sheet1!AO32:AO33))</f>
        <v/>
      </c>
      <c r="C20" s="728" t="str">
        <f>IF(B20="","",ABS(B20-B19/2))</f>
        <v/>
      </c>
      <c r="D20" s="728" t="str">
        <f>IF(OR(B19="",B20=""),"",IF(ABS(B19-B19/2)=SMALL(C19:C22,2),A19,IF(ABS(B20-B19/2)=SMALL(C19:C22,2),A20,IF(ABS(B21-B19/2)=SMALL(C19:C22,2),A21,IF(ABS(B22-B19/2)=SMALL(C19:C22,2),A22,"")))))</f>
        <v/>
      </c>
      <c r="I20" s="728">
        <f>Sheet1!AJ75</f>
        <v>0.4</v>
      </c>
      <c r="J20" s="728" t="str">
        <f>IF(MIN(Sheet1!AO75:AO76)=0,"",AVERAGE(Sheet1!AO75:AO76))</f>
        <v/>
      </c>
      <c r="K20" s="728" t="str">
        <f>IF(J20="","",ABS(J20-J19/2))</f>
        <v/>
      </c>
      <c r="L20" s="728" t="str">
        <f>IF(OR(J19="",J20=""),"",IF(ABS(J19-J19/2)=SMALL(K19:K22,2),I19,IF(ABS(J20-J19/2)=SMALL(K19:K22,2),I20,IF(ABS(J21-J19/2)=SMALL(K19:K22,2),I21,IF(ABS(J22-J19/2)=SMALL(K19:K22,2),I22,"")))))</f>
        <v/>
      </c>
      <c r="Q20" s="728">
        <f>Sheet1!AJ111</f>
        <v>0.5</v>
      </c>
      <c r="R20" s="728" t="str">
        <f>IF(MIN(Sheet1!AO111:AO112)=0,"",AVERAGE(Sheet1!AO111:AO112))</f>
        <v/>
      </c>
      <c r="S20" s="728" t="str">
        <f>IF(R20="","",ABS(R20-R19/2))</f>
        <v/>
      </c>
      <c r="T20" s="728" t="str">
        <f>IF(OR(R19="",R20=""),"",IF(ABS(R19-R19/2)=SMALL(S19:S22,2),Q19,IF(ABS(R20-R19/2)=SMALL(S19:S22,2),Q20,IF(ABS(R21-R19/2)=SMALL(S19:S22,2),Q21,IF(ABS(R22-R19/2)=SMALL(S19:S22,2),Q22,"")))))</f>
        <v/>
      </c>
    </row>
    <row r="21" spans="1:23">
      <c r="A21" s="728" t="str">
        <f>IF(AND(Sheet1!AM34="",Sheet1!AM36=""),"",IF(Sheet1!AM34&lt;&gt;"",Sheet1!AJ34,Sheet1!AJ36))</f>
        <v/>
      </c>
      <c r="B21" s="728" t="str">
        <f>IF(AND(Sheet1!AM34="",Sheet1!AM36=""),"",IF(Sheet1!AM34&lt;&gt;"",AVERAGE(Sheet1!AO34:AO35),AVERAGE(Sheet1!AO36:AO37)))</f>
        <v/>
      </c>
      <c r="C21" s="728" t="str">
        <f>IF(B21="","",ABS(B21-B19/2))</f>
        <v/>
      </c>
      <c r="I21" s="728" t="str">
        <f>IF(AND(Sheet1!AM77="",Sheet1!AM79=""),"",IF(Sheet1!AM77&lt;&gt;"",Sheet1!AJ77,Sheet1!AJ79))</f>
        <v/>
      </c>
      <c r="J21" s="728" t="str">
        <f>IF(AND(Sheet1!AM77="",Sheet1!AM79=""),"",IF(Sheet1!AM77&lt;&gt;"",AVERAGE(Sheet1!AO77:AO78),AVERAGE(Sheet1!AO79:AO80)))</f>
        <v/>
      </c>
      <c r="K21" s="728" t="str">
        <f>IF(J21="","",ABS(J21-J19/2))</f>
        <v/>
      </c>
      <c r="Q21" s="728" t="str">
        <f>IF(AND(Sheet1!AM113="",Sheet1!AM115=""),"",IF(Sheet1!AM113&lt;&gt;"",Sheet1!AJ113,Sheet1!AJ115))</f>
        <v/>
      </c>
      <c r="R21" s="728" t="str">
        <f>IF(AND(Sheet1!AM113="",Sheet1!AM115=""),"",IF(Sheet1!AM113&lt;&gt;"",AVERAGE(Sheet1!AO113:AO114),AVERAGE(Sheet1!AO115:AO116)))</f>
        <v/>
      </c>
      <c r="S21" s="728" t="str">
        <f>IF(R21="","",ABS(R21-R19/2))</f>
        <v/>
      </c>
    </row>
    <row r="22" spans="1:23">
      <c r="A22" s="728" t="str">
        <f>IF(OR(Sheet1!AM36="",AND(Sheet1!AM34="",Sheet1!AM36&lt;&gt;"")),"",Sheet1!AJ36)</f>
        <v/>
      </c>
      <c r="B22" s="728" t="str">
        <f>IF(OR(Sheet1!AM36="",AND(Sheet1!AM34="",Sheet1!AM36&lt;&gt;"")),"",AVERAGE(Sheet1!AO36:AO37))</f>
        <v/>
      </c>
      <c r="C22" s="728" t="str">
        <f>IF(B22="","",ABS(B22-B19/2))</f>
        <v/>
      </c>
      <c r="D22" s="727" t="s">
        <v>558</v>
      </c>
      <c r="E22" s="727" t="s">
        <v>559</v>
      </c>
      <c r="I22" s="728" t="str">
        <f>IF(OR(Sheet1!AM79="",AND(Sheet1!AM77="",Sheet1!AM79&lt;&gt;"")),"",Sheet1!AJ79)</f>
        <v/>
      </c>
      <c r="J22" s="728" t="str">
        <f>IF(OR(Sheet1!AM79="",AND(Sheet1!AM77="",Sheet1!AM79&lt;&gt;"")),"",AVERAGE(Sheet1!AO79:AO80))</f>
        <v/>
      </c>
      <c r="K22" s="728" t="str">
        <f>IF(J22="","",ABS(J22-J19/2))</f>
        <v/>
      </c>
      <c r="L22" s="727" t="s">
        <v>558</v>
      </c>
      <c r="M22" s="727" t="s">
        <v>559</v>
      </c>
      <c r="Q22" s="728" t="str">
        <f>IF(OR(Sheet1!AM115="",AND(Sheet1!AM113="",Sheet1!AM115&lt;&gt;"")),"",Sheet1!AJ115)</f>
        <v/>
      </c>
      <c r="R22" s="728" t="str">
        <f>IF(OR(Sheet1!AM115="",AND(Sheet1!AM113="",Sheet1!AM115&lt;&gt;"")),"",AVERAGE(Sheet1!AO115:AO116))</f>
        <v/>
      </c>
      <c r="S22" s="728" t="str">
        <f>IF(R22="","",ABS(R22-R19/2))</f>
        <v/>
      </c>
      <c r="T22" s="727" t="s">
        <v>558</v>
      </c>
      <c r="U22" s="727" t="s">
        <v>559</v>
      </c>
    </row>
    <row r="23" spans="1:23">
      <c r="A23" s="728" t="str">
        <f>G19</f>
        <v/>
      </c>
      <c r="B23" s="728" t="str">
        <f>IF(G19="","",EXP(TREND(E23:E24,D19:D20,A23)))</f>
        <v/>
      </c>
      <c r="D23" s="728" t="str">
        <f>IF(OR(B19="",B20=""),"",IF(A19=D19,B19,IF(A20=D19,B20,IF(A21=D19,B21,IF(A22=D19,B22)))))</f>
        <v/>
      </c>
      <c r="E23" s="728" t="str">
        <f>IF(D23="","",LN(D23))</f>
        <v/>
      </c>
      <c r="I23" s="728" t="str">
        <f>O19</f>
        <v/>
      </c>
      <c r="J23" s="728" t="str">
        <f>IF(O19="","",EXP(TREND(M23:M24,L19:L20,I23)))</f>
        <v/>
      </c>
      <c r="L23" s="728" t="str">
        <f>IF(OR(J19="",J20=""),"",IF(I19=L19,J19,IF(I20=L19,J20,IF(I21=L19,J21,IF(I22=L19,J22)))))</f>
        <v/>
      </c>
      <c r="M23" s="728" t="str">
        <f>IF(L23="","",LN(L23))</f>
        <v/>
      </c>
      <c r="Q23" s="728" t="str">
        <f>W19</f>
        <v/>
      </c>
      <c r="R23" s="728" t="str">
        <f>IF(W19="","",EXP(TREND(U23:U24,T19:T20,Q23)))</f>
        <v/>
      </c>
      <c r="T23" s="728" t="str">
        <f>IF(OR(R19="",R20=""),"",IF(Q19=T19,R19,IF(Q20=T19,R20,IF(Q21=T19,R21,IF(Q22=T19,R22)))))</f>
        <v/>
      </c>
      <c r="U23" s="728" t="str">
        <f>IF(T23="","",LN(T23))</f>
        <v/>
      </c>
    </row>
    <row r="24" spans="1:23">
      <c r="D24" s="728" t="str">
        <f>IF(OR(B19="",B20=""),"",IF(A19=D20,B19,IF(A20=D20,B20,IF(A21=D20,B21,IF(A22=D20,B22)))))</f>
        <v/>
      </c>
      <c r="E24" s="728" t="str">
        <f>IF(D24="","",LN(D24))</f>
        <v/>
      </c>
      <c r="L24" s="728" t="str">
        <f>IF(OR(J19="",J20=""),"",IF(I19=L20,J19,IF(I20=L20,J20,IF(I21=L20,J21,IF(I22=L20,J22)))))</f>
        <v/>
      </c>
      <c r="M24" s="728" t="str">
        <f>IF(L24="","",LN(L24))</f>
        <v/>
      </c>
      <c r="T24" s="728" t="str">
        <f>IF(OR(R19="",R20=""),"",IF(Q19=T20,R19,IF(Q20=T20,R20,IF(Q21=T20,R21,IF(Q22=T20,R22)))))</f>
        <v/>
      </c>
      <c r="U24" s="728" t="str">
        <f>IF(T24="","",LN(T24))</f>
        <v/>
      </c>
    </row>
    <row r="25" spans="1:23">
      <c r="A25" s="726">
        <v>32</v>
      </c>
      <c r="B25" s="727" t="s">
        <v>24</v>
      </c>
      <c r="I25" s="726">
        <f>Sheet1!AH81</f>
        <v>34</v>
      </c>
      <c r="J25" s="727" t="s">
        <v>24</v>
      </c>
      <c r="Q25" s="726">
        <f>Sheet1!AH117</f>
        <v>34</v>
      </c>
      <c r="R25" s="727" t="s">
        <v>24</v>
      </c>
    </row>
    <row r="26" spans="1:23" ht="15" thickBot="1">
      <c r="A26" s="727" t="s">
        <v>554</v>
      </c>
      <c r="B26" s="727" t="s">
        <v>555</v>
      </c>
      <c r="C26" s="727" t="s">
        <v>556</v>
      </c>
      <c r="D26" s="727" t="s">
        <v>557</v>
      </c>
      <c r="E26" s="727" t="s">
        <v>24</v>
      </c>
      <c r="G26" s="727" t="str">
        <f>IF(E27&lt;&gt;"","HVL @ "&amp;ROUND(E27,2)&amp;" kVp","HVL @ "&amp;A25&amp;" kVp")</f>
        <v>HVL @ 32 kVp</v>
      </c>
      <c r="I26" s="727" t="s">
        <v>554</v>
      </c>
      <c r="J26" s="727" t="s">
        <v>555</v>
      </c>
      <c r="K26" s="727" t="s">
        <v>556</v>
      </c>
      <c r="L26" s="727" t="s">
        <v>557</v>
      </c>
      <c r="M26" s="727" t="s">
        <v>24</v>
      </c>
      <c r="O26" s="727" t="str">
        <f>IF(M27&lt;&gt;"","HVL @ "&amp;ROUND(M27,2)&amp;" kVp","HVL @ "&amp;I25&amp;" kVp")</f>
        <v>HVL @ 34 kVp</v>
      </c>
      <c r="Q26" s="727" t="s">
        <v>554</v>
      </c>
      <c r="R26" s="727" t="s">
        <v>555</v>
      </c>
      <c r="S26" s="727" t="s">
        <v>556</v>
      </c>
      <c r="T26" s="727" t="s">
        <v>557</v>
      </c>
      <c r="U26" s="727" t="s">
        <v>24</v>
      </c>
      <c r="W26" s="727" t="str">
        <f>IF(U27&lt;&gt;"","HVL @ "&amp;ROUND(U27,2)&amp;" kVp","HVL @ "&amp;Q25&amp;" kVp")</f>
        <v>HVL @ 34 kVp</v>
      </c>
    </row>
    <row r="27" spans="1:23" ht="15" thickBot="1">
      <c r="A27" s="728">
        <v>0</v>
      </c>
      <c r="B27" s="728" t="str">
        <f>IF(MIN(Sheet1!AO41:AO42)=0,"",AVERAGE(Sheet1!AO41:AO42))</f>
        <v/>
      </c>
      <c r="C27" s="728" t="str">
        <f>IF(B27="","",ABS(B27-B27/2))</f>
        <v/>
      </c>
      <c r="D27" s="728" t="str">
        <f>IF(OR(B27="",B28=""),"",IF(ABS(B27-B27/2)=SMALL(C27:C30,1),A27,IF(ABS(B28-B27/2)=SMALL(C27:C30,1),A28,IF(ABS(B29-B27/2)=SMALL(C27:C30,1),A29,IF(ABS(B30-B27/2)=SMALL(C27:C30,1),A30,"")))))</f>
        <v/>
      </c>
      <c r="E27" s="728" t="str">
        <f>IF(OR(Sheet1!AM34="",Sheet1!AM35=""),"",AVERAGE(Sheet1!AM34:AM35))</f>
        <v/>
      </c>
      <c r="G27" s="729" t="str">
        <f>IF(OR(MIN(D27:D28)=0,MIN(D31:D32)=0),"",TREND(D27:D28,E31:E32,LN(B27/2)))</f>
        <v/>
      </c>
      <c r="I27" s="728">
        <f>Sheet1!AJ81</f>
        <v>0</v>
      </c>
      <c r="J27" s="728" t="str">
        <f>IF(MIN(Sheet1!AO81:AO82)=0,"",AVERAGE(Sheet1!AO81:AO82))</f>
        <v/>
      </c>
      <c r="K27" s="728" t="str">
        <f>IF(J27="","",ABS(J27-J27/2))</f>
        <v/>
      </c>
      <c r="L27" s="728" t="str">
        <f>IF(OR(J27="",J28=""),"",IF(ABS(J27-J27/2)=SMALL(K27:K30,1),I27,IF(ABS(J28-J27/2)=SMALL(K27:K30,1),I28,IF(ABS(J29-J27/2)=SMALL(K27:K30,1),I29,IF(ABS(J30-J27/2)=SMALL(K27:K30,1),I30,"")))))</f>
        <v/>
      </c>
      <c r="M27" s="728" t="str">
        <f>IF(OR(Sheet1!AM81="",Sheet1!AM82=""),"",AVERAGE(Sheet1!AM81:AM82))</f>
        <v/>
      </c>
      <c r="O27" s="729" t="str">
        <f>IF(OR(MIN(L27:L28)=0,MIN(L31:L32)=0),"",TREND(L27:L28,M31:M32,LN(J27/2)))</f>
        <v/>
      </c>
      <c r="Q27" s="728">
        <f>Sheet1!AJ117</f>
        <v>0</v>
      </c>
      <c r="R27" s="728" t="str">
        <f>IF(MIN(Sheet1!AO117:AO118)=0,"",AVERAGE(Sheet1!AO117:AO118))</f>
        <v/>
      </c>
      <c r="S27" s="728" t="str">
        <f>IF(R27="","",ABS(R27-R27/2))</f>
        <v/>
      </c>
      <c r="T27" s="728" t="str">
        <f>IF(OR(R27="",R28=""),"",IF(ABS(R27-R27/2)=SMALL(S27:S30,1),Q27,IF(ABS(R28-R27/2)=SMALL(S27:S30,1),Q28,IF(ABS(R29-R27/2)=SMALL(S27:S30,1),Q29,IF(ABS(R30-R27/2)=SMALL(S27:S30,1),Q30,"")))))</f>
        <v/>
      </c>
      <c r="U27" s="728" t="str">
        <f>IF(OR(Sheet1!AM117="",Sheet1!AM118=""),"",AVERAGE(Sheet1!AM117:AM118))</f>
        <v/>
      </c>
      <c r="W27" s="729" t="str">
        <f>IF(OR(MIN(T27:T28)=0,MIN(T31:T32)=0),"",TREND(T27:T28,U31:U32,LN(R27/2)))</f>
        <v/>
      </c>
    </row>
    <row r="28" spans="1:23">
      <c r="A28" s="728">
        <f>Sheet1!AJ43</f>
        <v>0.4</v>
      </c>
      <c r="B28" s="728" t="str">
        <f>IF(MIN(Sheet1!AO43:AO44)=0,"",AVERAGE(Sheet1!AO43:AO44))</f>
        <v/>
      </c>
      <c r="C28" s="728" t="str">
        <f>IF(B28="","",ABS(B28-B27/2))</f>
        <v/>
      </c>
      <c r="D28" s="728" t="str">
        <f>IF(OR(B27="",B28=""),"",IF(ABS(B27-B27/2)=SMALL(C27:C30,2),A27,IF(ABS(B28-B27/2)=SMALL(C27:C30,2),A28,IF(ABS(B29-B27/2)=SMALL(C27:C30,2),A29,IF(ABS(B30-B27/2)=SMALL(C27:C30,2),A30,"")))))</f>
        <v/>
      </c>
      <c r="I28" s="728">
        <f>Sheet1!AJ83</f>
        <v>0.4</v>
      </c>
      <c r="J28" s="728" t="str">
        <f>IF(MIN(Sheet1!AO83:AO84)=0,"",AVERAGE(Sheet1!AO83:AO84))</f>
        <v/>
      </c>
      <c r="K28" s="728" t="str">
        <f>IF(J28="","",ABS(J28-J27/2))</f>
        <v/>
      </c>
      <c r="L28" s="728" t="str">
        <f>IF(OR(J27="",J28=""),"",IF(ABS(J27-J27/2)=SMALL(K27:K30,2),I27,IF(ABS(J28-J27/2)=SMALL(K27:K30,2),I28,IF(ABS(J29-J27/2)=SMALL(K27:K30,2),I29,IF(ABS(J30-J27/2)=SMALL(K27:K30,2),I30,"")))))</f>
        <v/>
      </c>
      <c r="Q28" s="728">
        <f>Sheet1!AJ119</f>
        <v>0.5</v>
      </c>
      <c r="R28" s="728" t="str">
        <f>IF(MIN(Sheet1!AO119:AO120)=0,"",AVERAGE(Sheet1!AO119:AO120))</f>
        <v/>
      </c>
      <c r="S28" s="728" t="str">
        <f>IF(R28="","",ABS(R28-R27/2))</f>
        <v/>
      </c>
      <c r="T28" s="728" t="str">
        <f>IF(OR(R27="",R28=""),"",IF(ABS(R27-R27/2)=SMALL(S27:S30,2),Q27,IF(ABS(R28-R27/2)=SMALL(S27:S30,2),Q28,IF(ABS(R29-R27/2)=SMALL(S27:S30,2),Q29,IF(ABS(R30-R27/2)=SMALL(S27:S30,2),Q30,"")))))</f>
        <v/>
      </c>
    </row>
    <row r="29" spans="1:23">
      <c r="A29" s="728" t="str">
        <f>IF(AND(Sheet1!AM45="",Sheet1!AM47=""),"",IF(Sheet1!AM45&lt;&gt;"",Sheet1!AJ45,Sheet1!AJ47))</f>
        <v/>
      </c>
      <c r="B29" s="728" t="str">
        <f>IF(AND(Sheet1!AM45="",Sheet1!AM47=""),"",IF(Sheet1!AM45&lt;&gt;"",AVERAGE(Sheet1!AO45:AO46),AVERAGE(Sheet1!AO47:AO48)))</f>
        <v/>
      </c>
      <c r="C29" s="728" t="str">
        <f>IF(B29="","",ABS(B29-B27/2))</f>
        <v/>
      </c>
      <c r="I29" s="728" t="str">
        <f>IF(AND(Sheet1!AM85="",Sheet1!AM87=""),"",IF(Sheet1!AM85&lt;&gt;"",Sheet1!AJ85,Sheet1!AJ87))</f>
        <v/>
      </c>
      <c r="J29" s="728" t="str">
        <f>IF(AND(Sheet1!AM85="",Sheet1!AM87=""),"",IF(Sheet1!AM85&lt;&gt;"",AVERAGE(Sheet1!AO85:AO86),AVERAGE(Sheet1!AO87:AO88)))</f>
        <v/>
      </c>
      <c r="K29" s="728" t="str">
        <f>IF(J29="","",ABS(J29-J27/2))</f>
        <v/>
      </c>
      <c r="Q29" s="728" t="str">
        <f>IF(AND(Sheet1!AM121="",Sheet1!AM123=""),"",IF(Sheet1!AM121&lt;&gt;"",Sheet1!AJ121,Sheet1!AJ123))</f>
        <v/>
      </c>
      <c r="R29" s="728" t="str">
        <f>IF(AND(Sheet1!AM121="",Sheet1!AM123=""),"",IF(Sheet1!AM121&lt;&gt;"",AVERAGE(Sheet1!AO121:AO122),AVERAGE(Sheet1!AO123:AO124)))</f>
        <v/>
      </c>
      <c r="S29" s="728" t="str">
        <f>IF(R29="","",ABS(R29-R27/2))</f>
        <v/>
      </c>
    </row>
    <row r="30" spans="1:23">
      <c r="A30" s="728" t="str">
        <f>IF(OR(Sheet1!AM47="",AND(Sheet1!AM45="",Sheet1!AM47&lt;&gt;"")),"",Sheet1!AJ47)</f>
        <v/>
      </c>
      <c r="B30" s="728" t="str">
        <f>IF(OR(Sheet1!AM47="",AND(Sheet1!AM45="",Sheet1!AM47&lt;&gt;"")),"",AVERAGE(Sheet1!AO47:AO48))</f>
        <v/>
      </c>
      <c r="C30" s="728" t="str">
        <f>IF(B30="","",ABS(B30-B27/2))</f>
        <v/>
      </c>
      <c r="D30" s="727" t="s">
        <v>558</v>
      </c>
      <c r="E30" s="727" t="s">
        <v>559</v>
      </c>
      <c r="I30" s="728" t="str">
        <f>IF(OR(Sheet1!AM87="",AND(Sheet1!AM85="",Sheet1!AM87&lt;&gt;"")),"",Sheet1!AJ87)</f>
        <v/>
      </c>
      <c r="J30" s="728" t="str">
        <f>IF(OR(Sheet1!AM87="",AND(Sheet1!AM85="",Sheet1!AM87&lt;&gt;"")),"",AVERAGE(Sheet1!AO87:AO88))</f>
        <v/>
      </c>
      <c r="K30" s="728" t="str">
        <f>IF(J30="","",ABS(J30-J27/2))</f>
        <v/>
      </c>
      <c r="L30" s="727" t="s">
        <v>558</v>
      </c>
      <c r="M30" s="727" t="s">
        <v>559</v>
      </c>
      <c r="Q30" s="728" t="str">
        <f>IF(OR(Sheet1!AM123="",AND(Sheet1!AM121="",Sheet1!AM123&lt;&gt;"")),"",Sheet1!AJ123)</f>
        <v/>
      </c>
      <c r="R30" s="728" t="str">
        <f>IF(OR(Sheet1!AM123="",AND(Sheet1!AM121="",Sheet1!AM123&lt;&gt;"")),"",AVERAGE(Sheet1!AO123:AO124))</f>
        <v/>
      </c>
      <c r="S30" s="728" t="str">
        <f>IF(R30="","",ABS(R30-R27/2))</f>
        <v/>
      </c>
      <c r="T30" s="727" t="s">
        <v>558</v>
      </c>
      <c r="U30" s="727" t="s">
        <v>559</v>
      </c>
    </row>
    <row r="31" spans="1:23">
      <c r="A31" s="728" t="str">
        <f>G27</f>
        <v/>
      </c>
      <c r="B31" s="728" t="str">
        <f>IF(G27="","",EXP(TREND(E31:E32,D27:D28,A31)))</f>
        <v/>
      </c>
      <c r="D31" s="728" t="str">
        <f>IF(OR(B27="",B28=""),"",IF(A27=D27,B27,IF(A28=D27,B28,IF(A29=D27,B29,IF(A30=D27,B30)))))</f>
        <v/>
      </c>
      <c r="E31" s="728" t="str">
        <f>IF(D31="","",LN(D31))</f>
        <v/>
      </c>
      <c r="I31" s="728" t="str">
        <f>O27</f>
        <v/>
      </c>
      <c r="J31" s="728" t="str">
        <f>IF(O27="","",EXP(TREND(M31:M32,L27:L28,I31)))</f>
        <v/>
      </c>
      <c r="L31" s="728" t="str">
        <f>IF(OR(J27="",J28=""),"",IF(I27=L27,J27,IF(I28=L27,J28,IF(I29=L27,J29,IF(I30=L27,J30)))))</f>
        <v/>
      </c>
      <c r="M31" s="728" t="str">
        <f>IF(L31="","",LN(L31))</f>
        <v/>
      </c>
      <c r="Q31" s="728" t="str">
        <f>W27</f>
        <v/>
      </c>
      <c r="R31" s="728" t="str">
        <f>IF(W27="","",EXP(TREND(U31:U32,T27:T28,Q31)))</f>
        <v/>
      </c>
      <c r="T31" s="728" t="str">
        <f>IF(OR(R27="",R28=""),"",IF(Q27=T27,R27,IF(Q28=T27,R28,IF(Q29=T27,R29,IF(Q30=T27,R30)))))</f>
        <v/>
      </c>
      <c r="U31" s="728" t="str">
        <f>IF(T31="","",LN(T31))</f>
        <v/>
      </c>
    </row>
    <row r="32" spans="1:23">
      <c r="D32" s="728" t="str">
        <f>IF(OR(B27="",B28=""),"",IF(A27=D28,B27,IF(A28=D28,B28,IF(A29=D28,B29,IF(A30=D28,B30)))))</f>
        <v/>
      </c>
      <c r="E32" s="728" t="str">
        <f>IF(D32="","",LN(D32))</f>
        <v/>
      </c>
      <c r="L32" s="728" t="str">
        <f>IF(OR(J27="",J28=""),"",IF(I27=L28,J27,IF(I28=L28,J28,IF(I29=L28,J29,IF(I30=L28,J30)))))</f>
        <v/>
      </c>
      <c r="M32" s="728" t="str">
        <f>IF(L32="","",LN(L32))</f>
        <v/>
      </c>
      <c r="T32" s="728" t="str">
        <f>IF(OR(R27="",R28=""),"",IF(Q27=T28,R27,IF(Q28=T28,R28,IF(Q29=T28,R29,IF(Q30=T28,R30)))))</f>
        <v/>
      </c>
      <c r="U32" s="728" t="str">
        <f>IF(T32="","",LN(T32))</f>
        <v/>
      </c>
    </row>
    <row r="33" spans="1:23">
      <c r="A33" s="726">
        <v>34</v>
      </c>
      <c r="B33" s="727" t="s">
        <v>24</v>
      </c>
      <c r="Q33" s="726">
        <f>Sheet1!AH125</f>
        <v>38</v>
      </c>
      <c r="R33" s="727" t="s">
        <v>24</v>
      </c>
    </row>
    <row r="34" spans="1:23" ht="15" thickBot="1">
      <c r="A34" s="727" t="s">
        <v>554</v>
      </c>
      <c r="B34" s="727" t="s">
        <v>555</v>
      </c>
      <c r="C34" s="727" t="s">
        <v>556</v>
      </c>
      <c r="D34" s="727" t="s">
        <v>557</v>
      </c>
      <c r="E34" s="727" t="s">
        <v>24</v>
      </c>
      <c r="G34" s="727" t="str">
        <f>IF(E35&lt;&gt;"","HVL @ "&amp;ROUND(E35,2)&amp;" kVp","HVL @ "&amp;A33&amp;" kVp")</f>
        <v>HVL @ 34 kVp</v>
      </c>
      <c r="Q34" s="727" t="s">
        <v>554</v>
      </c>
      <c r="R34" s="727" t="s">
        <v>555</v>
      </c>
      <c r="S34" s="727" t="s">
        <v>556</v>
      </c>
      <c r="T34" s="727" t="s">
        <v>557</v>
      </c>
      <c r="U34" s="727" t="s">
        <v>24</v>
      </c>
      <c r="W34" s="727" t="str">
        <f>IF(U35&lt;&gt;"","HVL @ "&amp;ROUND(U35,2)&amp;" kVp","HVL @ "&amp;Q33&amp;" kVp")</f>
        <v>HVL @ 38 kVp</v>
      </c>
    </row>
    <row r="35" spans="1:23" ht="15" thickBot="1">
      <c r="A35" s="728">
        <v>0</v>
      </c>
      <c r="B35" s="728" t="str">
        <f>IF(MIN(Sheet1!AO49:AO50)=0,"",AVERAGE(Sheet1!AO49:AO50))</f>
        <v/>
      </c>
      <c r="C35" s="728" t="str">
        <f>IF(B35="","",ABS(B35-B35/2))</f>
        <v/>
      </c>
      <c r="D35" s="728" t="str">
        <f>IF(OR(B35="",B36=""),"",IF(ABS(B35-B35/2)=SMALL(C35:C38,1),A35,IF(ABS(B36-B35/2)=SMALL(C35:C38,1),A36,IF(ABS(B37-B35/2)=SMALL(C35:C38,1),A37,IF(ABS(B38-B35/2)=SMALL(C35:C38,1),A38,"")))))</f>
        <v/>
      </c>
      <c r="E35" s="728" t="str">
        <f>IF(OR(Sheet1!AM42="",Sheet1!AM43=""),"",AVERAGE(Sheet1!AM42:AM43))</f>
        <v/>
      </c>
      <c r="G35" s="729" t="str">
        <f>IF(OR(MIN(D35:D36)=0,MIN(D39:D40)=0),"",TREND(D35:D36,E39:E40,LN(B35/2)))</f>
        <v/>
      </c>
      <c r="Q35" s="728">
        <f>Sheet1!AJ125</f>
        <v>0</v>
      </c>
      <c r="R35" s="728" t="str">
        <f>IF(MIN(Sheet1!AO125:AO126)=0,"",AVERAGE(Sheet1!AO125:AO126))</f>
        <v/>
      </c>
      <c r="S35" s="728" t="str">
        <f>IF(R35="","",ABS(R35-R35/2))</f>
        <v/>
      </c>
      <c r="T35" s="728" t="str">
        <f>IF(OR(R35="",R36=""),"",IF(ABS(R35-R35/2)=SMALL(S35:S38,1),Q35,IF(ABS(R36-R35/2)=SMALL(S35:S38,1),Q36,IF(ABS(R37-R35/2)=SMALL(S35:S38,1),Q37,IF(ABS(R38-R35/2)=SMALL(S35:S38,1),Q38,"")))))</f>
        <v/>
      </c>
      <c r="U35" s="728" t="str">
        <f>IF(OR(Sheet1!AM89="",Sheet1!AM90=""),"",AVERAGE(Sheet1!AM89:AM90))</f>
        <v/>
      </c>
      <c r="W35" s="729" t="str">
        <f>IF(OR(MIN(T35:T36)=0,MIN(T39:T40)=0),"",TREND(T35:T36,U39:U40,LN(R35/2)))</f>
        <v/>
      </c>
    </row>
    <row r="36" spans="1:23">
      <c r="A36" s="728">
        <f>Sheet1!AJ51</f>
        <v>0.4</v>
      </c>
      <c r="B36" s="728" t="str">
        <f>IF(MIN(Sheet1!AO51:AO52)=0,"",AVERAGE(Sheet1!AO51:AO52))</f>
        <v/>
      </c>
      <c r="C36" s="728" t="str">
        <f>IF(B36="","",ABS(B36-B35/2))</f>
        <v/>
      </c>
      <c r="D36" s="728" t="str">
        <f>IF(OR(B35="",B36=""),"",IF(ABS(B35-B35/2)=SMALL(C35:C38,2),A35,IF(ABS(B36-B35/2)=SMALL(C35:C38,2),A36,IF(ABS(B37-B35/2)=SMALL(C35:C38,2),A37,IF(ABS(B38-B35/2)=SMALL(C35:C38,2),A38,"")))))</f>
        <v/>
      </c>
      <c r="Q36" s="728">
        <f>Sheet1!AJ127</f>
        <v>0.6</v>
      </c>
      <c r="R36" s="728" t="str">
        <f>IF(MIN(Sheet1!AO127:AO128)=0,"",AVERAGE(Sheet1!AO127:AO128))</f>
        <v/>
      </c>
      <c r="S36" s="728" t="str">
        <f>IF(R36="","",ABS(R36-R35/2))</f>
        <v/>
      </c>
      <c r="T36" s="728" t="str">
        <f>IF(OR(R35="",R36=""),"",IF(ABS(R35-R35/2)=SMALL(S35:S38,2),Q35,IF(ABS(R36-R35/2)=SMALL(S35:S38,2),Q36,IF(ABS(R37-R35/2)=SMALL(S35:S38,2),Q37,IF(ABS(R38-R35/2)=SMALL(S35:S38,2),Q38,"")))))</f>
        <v/>
      </c>
    </row>
    <row r="37" spans="1:23">
      <c r="A37" s="728" t="str">
        <f>IF(AND(Sheet1!AM53="",Sheet1!AM55=""),"",IF(Sheet1!AM53&lt;&gt;"",Sheet1!AJ53,Sheet1!AJ55))</f>
        <v/>
      </c>
      <c r="B37" s="728" t="str">
        <f>IF(AND(Sheet1!AM53="",Sheet1!AM55=""),"",IF(Sheet1!AM53&lt;&gt;"",AVERAGE(Sheet1!AO53:AO54),AVERAGE(Sheet1!AO55:AO56)))</f>
        <v/>
      </c>
      <c r="C37" s="728" t="str">
        <f>IF(B37="","",ABS(B37-B35/2))</f>
        <v/>
      </c>
      <c r="Q37" s="728" t="str">
        <f>IF(AND(Sheet1!AM129="",Sheet1!AM131=""),"",IF(Sheet1!AM129&lt;&gt;"",Sheet1!AJ129,Sheet1!AJ131))</f>
        <v/>
      </c>
      <c r="R37" s="728" t="str">
        <f>IF(AND(Sheet1!AM129="",Sheet1!AM131=""),"",IF(Sheet1!AM129&lt;&gt;"",AVERAGE(Sheet1!AO129:AO130),AVERAGE(Sheet1!AO131:AO132)))</f>
        <v/>
      </c>
      <c r="S37" s="728" t="str">
        <f>IF(R37="","",ABS(R37-R35/2))</f>
        <v/>
      </c>
    </row>
    <row r="38" spans="1:23">
      <c r="A38" s="728" t="str">
        <f>IF(OR(Sheet1!AM55="",AND(Sheet1!AM53="",Sheet1!AM55&lt;&gt;"")),"",Sheet1!AJ55)</f>
        <v/>
      </c>
      <c r="B38" s="728" t="str">
        <f>IF(OR(Sheet1!AM55="",AND(Sheet1!AM53="",Sheet1!AM55&lt;&gt;"")),"",AVERAGE(Sheet1!AO55:AO56))</f>
        <v/>
      </c>
      <c r="C38" s="728" t="str">
        <f>IF(B38="","",ABS(B38-B35/2))</f>
        <v/>
      </c>
      <c r="D38" s="727" t="s">
        <v>558</v>
      </c>
      <c r="E38" s="727" t="s">
        <v>559</v>
      </c>
      <c r="Q38" s="728" t="str">
        <f>IF(OR(Sheet1!AM131="",AND(Sheet1!AM129="",Sheet1!AM131&lt;&gt;"")),"",Sheet1!AJ131)</f>
        <v/>
      </c>
      <c r="R38" s="728" t="str">
        <f>IF(OR(Sheet1!AM131="",AND(Sheet1!AM129="",Sheet1!AM131&lt;&gt;"")),"",AVERAGE(Sheet1!AO131:AO132))</f>
        <v/>
      </c>
      <c r="S38" s="728" t="str">
        <f>IF(R38="","",ABS(R38-R35/2))</f>
        <v/>
      </c>
      <c r="T38" s="727" t="s">
        <v>558</v>
      </c>
      <c r="U38" s="727" t="s">
        <v>559</v>
      </c>
    </row>
    <row r="39" spans="1:23">
      <c r="A39" s="728" t="str">
        <f>G35</f>
        <v/>
      </c>
      <c r="B39" s="728" t="str">
        <f>IF(G35="","",EXP(TREND(E39:E40,D35:D36,A39)))</f>
        <v/>
      </c>
      <c r="D39" s="728" t="str">
        <f>IF(OR(B35="",B36=""),"",IF(A35=D35,B35,IF(A36=D35,B36,IF(A37=D35,B37,IF(A38=D35,B38)))))</f>
        <v/>
      </c>
      <c r="E39" s="728" t="str">
        <f>IF(D39="","",LN(D39))</f>
        <v/>
      </c>
      <c r="Q39" s="728" t="str">
        <f>W35</f>
        <v/>
      </c>
      <c r="R39" s="728" t="str">
        <f>IF(W35="","",EXP(TREND(U39:U40,T35:T36,Q39)))</f>
        <v/>
      </c>
      <c r="T39" s="728" t="str">
        <f>IF(OR(R35="",R36=""),"",IF(Q35=T35,R35,IF(Q36=T35,R36,IF(Q37=T35,R37,IF(Q38=T35,R38)))))</f>
        <v/>
      </c>
      <c r="U39" s="728" t="str">
        <f>IF(T39="","",LN(T39))</f>
        <v/>
      </c>
    </row>
    <row r="40" spans="1:23">
      <c r="D40" s="728" t="str">
        <f>IF(OR(B35="",B36=""),"",IF(A35=D36,B35,IF(A36=D36,B36,IF(A37=D36,B37,IF(A38=D36,B38)))))</f>
        <v/>
      </c>
      <c r="E40" s="728" t="str">
        <f>IF(D40="","",LN(D40))</f>
        <v/>
      </c>
      <c r="T40" s="728" t="str">
        <f>IF(OR(R35="",R36=""),"",IF(Q35=T36,R35,IF(Q36=T36,R36,IF(Q37=T36,R37,IF(Q38=T36,R38)))))</f>
        <v/>
      </c>
      <c r="U40" s="728"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81" t="s">
        <v>733</v>
      </c>
      <c r="B2" s="782">
        <f>Sheet1!F13</f>
        <v>2302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I53" zoomScale="75" zoomScaleNormal="75" workbookViewId="0">
      <selection activeCell="AB53" sqref="AB53"/>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4"/>
      <c r="B2" s="1005" t="s">
        <v>24</v>
      </c>
      <c r="C2" s="1005"/>
      <c r="D2" s="1005"/>
      <c r="E2" s="1005"/>
      <c r="F2" s="1005"/>
      <c r="G2" s="1005"/>
      <c r="H2" s="1005"/>
      <c r="I2" s="1005"/>
      <c r="J2" s="1005"/>
      <c r="K2" s="304"/>
      <c r="L2" s="1005" t="s">
        <v>24</v>
      </c>
      <c r="M2" s="1005"/>
      <c r="N2" s="1005"/>
      <c r="O2" s="1005"/>
      <c r="P2" s="1005"/>
      <c r="Q2" s="1005"/>
      <c r="R2" s="1005"/>
      <c r="S2" s="1005"/>
      <c r="T2" s="1005"/>
      <c r="U2" s="304"/>
      <c r="V2" s="1005" t="s">
        <v>24</v>
      </c>
      <c r="W2" s="1005"/>
      <c r="X2" s="1005"/>
      <c r="Y2" s="1005"/>
      <c r="Z2" s="1005"/>
      <c r="AA2" s="1005"/>
      <c r="AB2" s="1005"/>
      <c r="AC2" s="1005"/>
      <c r="AD2" s="1005"/>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4"/>
      <c r="B26" s="1006" t="s">
        <v>24</v>
      </c>
      <c r="C26" s="1006"/>
      <c r="D26" s="1006"/>
      <c r="E26" s="1006"/>
      <c r="F26" s="1006"/>
      <c r="G26" s="1006"/>
      <c r="H26" s="1006"/>
      <c r="I26" s="1006"/>
      <c r="J26" s="1006"/>
      <c r="K26" s="1006"/>
      <c r="L26" s="1006"/>
      <c r="M26" s="218"/>
      <c r="N26" s="304"/>
      <c r="O26" s="1005" t="s">
        <v>24</v>
      </c>
      <c r="P26" s="1005"/>
      <c r="Q26" s="1005"/>
      <c r="R26" s="1005"/>
      <c r="S26" s="1005"/>
      <c r="T26" s="1005"/>
      <c r="U26" s="1005"/>
      <c r="V26" s="1005"/>
      <c r="W26" s="1005"/>
      <c r="X26" s="1005"/>
      <c r="Y26" s="1005"/>
      <c r="Z26" s="1005"/>
      <c r="AA26" s="1005"/>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1007" t="s">
        <v>426</v>
      </c>
      <c r="C51" s="1007" t="s">
        <v>427</v>
      </c>
      <c r="D51" s="1009" t="s">
        <v>428</v>
      </c>
      <c r="E51" s="1010"/>
      <c r="F51" s="1010"/>
      <c r="G51" s="1010"/>
      <c r="H51" s="1010"/>
      <c r="I51" s="1010"/>
      <c r="J51" s="1010"/>
      <c r="K51" s="1011"/>
    </row>
    <row r="52" spans="1:19" ht="14.1" customHeight="1">
      <c r="B52" s="1008"/>
      <c r="C52" s="1008"/>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59">
        <f>SLOPE(D56:K56,$D$52:$K$52)</f>
        <v>-9.9285714285714269E-2</v>
      </c>
      <c r="M56" s="759">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9" t="s">
        <v>70</v>
      </c>
      <c r="B62" s="712" t="s">
        <v>268</v>
      </c>
      <c r="C62" s="712" t="s">
        <v>436</v>
      </c>
      <c r="D62" s="712" t="s">
        <v>334</v>
      </c>
      <c r="E62" s="259" t="s">
        <v>70</v>
      </c>
      <c r="F62" s="712" t="s">
        <v>268</v>
      </c>
      <c r="G62" s="712" t="s">
        <v>436</v>
      </c>
      <c r="H62" s="712" t="s">
        <v>334</v>
      </c>
      <c r="I62" s="259" t="s">
        <v>70</v>
      </c>
      <c r="J62" s="712" t="s">
        <v>268</v>
      </c>
      <c r="K62" s="712" t="s">
        <v>436</v>
      </c>
      <c r="L62" s="712" t="s">
        <v>334</v>
      </c>
      <c r="O62" s="968"/>
      <c r="P62" s="968"/>
      <c r="Q62" s="968"/>
      <c r="R62" s="968"/>
      <c r="S62" s="968"/>
    </row>
    <row r="63" spans="1:19" ht="14.1" customHeight="1">
      <c r="A63" s="712" t="str">
        <f>Sheet1!P371</f>
        <v>Mo/Mo</v>
      </c>
      <c r="B63" s="712">
        <f>Sheet1!Q371</f>
        <v>24</v>
      </c>
      <c r="C63" s="712">
        <f t="shared" ref="C63:C69" si="0">B63^2</f>
        <v>576</v>
      </c>
      <c r="D63" s="299" t="str">
        <f>Sheet1!V371</f>
        <v/>
      </c>
      <c r="E63" s="712" t="str">
        <f>Sheet1!P378</f>
        <v>Mo/</v>
      </c>
      <c r="F63" s="712">
        <f>Sheet1!Q378</f>
        <v>28</v>
      </c>
      <c r="G63" s="712">
        <f t="shared" ref="G63:G66" si="1">F63^2</f>
        <v>784</v>
      </c>
      <c r="H63" s="299" t="str">
        <f>Sheet1!V378</f>
        <v/>
      </c>
      <c r="I63" s="300" t="str">
        <f>Sheet1!P384</f>
        <v>/</v>
      </c>
      <c r="J63" s="712">
        <f>Sheet1!Q384</f>
        <v>28</v>
      </c>
      <c r="K63" s="712">
        <f t="shared" ref="K63:K66" si="2">J63^2</f>
        <v>784</v>
      </c>
      <c r="L63" s="298" t="str">
        <f>Sheet1!V384</f>
        <v/>
      </c>
      <c r="O63" s="716"/>
      <c r="P63" s="716"/>
      <c r="Q63" s="716"/>
      <c r="R63" s="716"/>
      <c r="S63" s="716"/>
    </row>
    <row r="64" spans="1:19" ht="14.1" customHeight="1">
      <c r="A64" s="259"/>
      <c r="B64" s="712">
        <f>Sheet1!Q372</f>
        <v>25</v>
      </c>
      <c r="C64" s="712">
        <f t="shared" si="0"/>
        <v>625</v>
      </c>
      <c r="D64" s="299" t="str">
        <f>Sheet1!V372</f>
        <v/>
      </c>
      <c r="E64" s="259"/>
      <c r="F64" s="712">
        <f>Sheet1!Q379</f>
        <v>30</v>
      </c>
      <c r="G64" s="712">
        <f t="shared" si="1"/>
        <v>900</v>
      </c>
      <c r="H64" s="299" t="str">
        <f>Sheet1!V379</f>
        <v/>
      </c>
      <c r="I64" s="300"/>
      <c r="J64" s="712">
        <f>Sheet1!Q385</f>
        <v>30</v>
      </c>
      <c r="K64" s="712">
        <f t="shared" si="2"/>
        <v>900</v>
      </c>
      <c r="L64" s="298" t="str">
        <f>Sheet1!V385</f>
        <v/>
      </c>
      <c r="O64" s="270"/>
      <c r="P64" s="270"/>
      <c r="Q64" s="270"/>
      <c r="R64" s="270"/>
      <c r="S64" s="270"/>
    </row>
    <row r="65" spans="1:19" ht="14.1" customHeight="1">
      <c r="A65" s="712"/>
      <c r="B65" s="712">
        <f>Sheet1!Q373</f>
        <v>26</v>
      </c>
      <c r="C65" s="712">
        <f t="shared" si="0"/>
        <v>676</v>
      </c>
      <c r="D65" s="299" t="str">
        <f>Sheet1!V373</f>
        <v/>
      </c>
      <c r="E65" s="712"/>
      <c r="F65" s="712">
        <f>Sheet1!Q380</f>
        <v>32</v>
      </c>
      <c r="G65" s="712">
        <f t="shared" si="1"/>
        <v>1024</v>
      </c>
      <c r="H65" s="299" t="str">
        <f>Sheet1!V380</f>
        <v/>
      </c>
      <c r="I65" s="300"/>
      <c r="J65" s="712">
        <f>Sheet1!Q386</f>
        <v>32</v>
      </c>
      <c r="K65" s="712">
        <f t="shared" si="2"/>
        <v>1024</v>
      </c>
      <c r="L65" s="298" t="str">
        <f>Sheet1!V386</f>
        <v/>
      </c>
      <c r="O65" s="270"/>
      <c r="P65" s="270"/>
      <c r="Q65" s="270"/>
      <c r="R65" s="270"/>
      <c r="S65" s="270"/>
    </row>
    <row r="66" spans="1:19" ht="14.1" customHeight="1">
      <c r="A66" s="712"/>
      <c r="B66" s="712">
        <f>Sheet1!Q374</f>
        <v>28</v>
      </c>
      <c r="C66" s="712">
        <f t="shared" si="0"/>
        <v>784</v>
      </c>
      <c r="D66" s="299" t="str">
        <f>Sheet1!V374</f>
        <v/>
      </c>
      <c r="E66" s="712"/>
      <c r="F66" s="712">
        <f>Sheet1!Q381</f>
        <v>34</v>
      </c>
      <c r="G66" s="712">
        <f t="shared" si="1"/>
        <v>1156</v>
      </c>
      <c r="H66" s="299" t="str">
        <f>Sheet1!V381</f>
        <v/>
      </c>
      <c r="I66" s="300"/>
      <c r="J66" s="712">
        <f>Sheet1!Q387</f>
        <v>34</v>
      </c>
      <c r="K66" s="712">
        <f t="shared" si="2"/>
        <v>1156</v>
      </c>
      <c r="L66" s="298" t="str">
        <f>Sheet1!V387</f>
        <v/>
      </c>
      <c r="O66" s="270"/>
      <c r="P66" s="270"/>
      <c r="Q66" s="270"/>
      <c r="R66" s="270"/>
      <c r="S66" s="270"/>
    </row>
    <row r="67" spans="1:19" ht="14.1" customHeight="1">
      <c r="A67" s="712"/>
      <c r="B67" s="712">
        <f>Sheet1!Q375</f>
        <v>30</v>
      </c>
      <c r="C67" s="712">
        <f t="shared" si="0"/>
        <v>900</v>
      </c>
      <c r="D67" s="299" t="str">
        <f>Sheet1!V375</f>
        <v/>
      </c>
      <c r="E67" s="712"/>
      <c r="F67" s="712"/>
      <c r="G67" s="712"/>
      <c r="H67" s="299" t="str">
        <f>Sheet1!V382</f>
        <v/>
      </c>
      <c r="I67" s="300"/>
      <c r="J67" s="712"/>
      <c r="K67" s="712"/>
      <c r="L67" s="298" t="str">
        <f>Sheet1!V388</f>
        <v/>
      </c>
      <c r="O67" s="270"/>
      <c r="P67" s="270"/>
      <c r="Q67" s="270"/>
      <c r="R67" s="270"/>
      <c r="S67" s="270"/>
    </row>
    <row r="68" spans="1:19" ht="14.1" customHeight="1">
      <c r="A68" s="712"/>
      <c r="B68" s="712">
        <f>Sheet1!Q376</f>
        <v>32</v>
      </c>
      <c r="C68" s="712">
        <f t="shared" si="0"/>
        <v>1024</v>
      </c>
      <c r="D68" s="299" t="str">
        <f>Sheet1!V376</f>
        <v/>
      </c>
      <c r="E68" s="712"/>
      <c r="F68" s="712"/>
      <c r="G68" s="712"/>
      <c r="I68" s="271"/>
      <c r="L68" s="68"/>
      <c r="O68" s="270"/>
      <c r="P68" s="270"/>
      <c r="Q68" s="270"/>
      <c r="R68" s="270"/>
      <c r="S68" s="270"/>
    </row>
    <row r="69" spans="1:19" ht="14.1" customHeight="1">
      <c r="A69" s="861"/>
      <c r="B69" s="861">
        <v>34</v>
      </c>
      <c r="C69" s="861">
        <f t="shared" si="0"/>
        <v>1156</v>
      </c>
      <c r="D69" s="299" t="str">
        <f>Sheet1!V377</f>
        <v/>
      </c>
      <c r="E69" s="861"/>
      <c r="F69" s="861"/>
      <c r="G69" s="861"/>
      <c r="I69" s="271"/>
      <c r="L69" s="68"/>
      <c r="O69" s="270"/>
      <c r="P69" s="270"/>
      <c r="Q69" s="270"/>
      <c r="R69" s="270"/>
      <c r="S69" s="270"/>
    </row>
    <row r="70" spans="1:19" ht="14.1" customHeight="1">
      <c r="A70" s="712"/>
      <c r="B70" s="712"/>
      <c r="C70" s="712"/>
      <c r="D70" s="712" t="str">
        <f>A63</f>
        <v>Mo/Mo</v>
      </c>
      <c r="E70" s="712" t="str">
        <f>E63</f>
        <v>Mo/</v>
      </c>
      <c r="F70" s="300" t="str">
        <f>I63</f>
        <v>/</v>
      </c>
      <c r="O70" s="270"/>
      <c r="P70" s="270"/>
      <c r="Q70" s="270"/>
      <c r="R70" s="270"/>
      <c r="S70" s="270"/>
    </row>
    <row r="71" spans="1:19" ht="14.1" customHeight="1">
      <c r="C71" s="35" t="s">
        <v>439</v>
      </c>
      <c r="D71" s="21" t="e">
        <f>SLOPE(D63:D69,$C$63:$C$69)</f>
        <v>#DIV/0!</v>
      </c>
      <c r="E71" s="21" t="e">
        <f>SLOPE(H63:H66,$G$63:$G$66)</f>
        <v>#DIV/0!</v>
      </c>
      <c r="F71" s="21" t="e">
        <f>SLOPE(L63:L66,$K$63:$K$66)</f>
        <v>#DIV/0!</v>
      </c>
      <c r="G71" s="35"/>
      <c r="K71" s="35"/>
      <c r="O71" s="270"/>
      <c r="P71" s="270"/>
      <c r="Q71" s="270"/>
      <c r="R71" s="270"/>
      <c r="S71" s="270"/>
    </row>
    <row r="72" spans="1:19" ht="14.1" customHeight="1">
      <c r="C72" s="35" t="s">
        <v>440</v>
      </c>
      <c r="D72" s="21" t="e">
        <f>INTERCEPT(D63:D69,$C$63:$C$69)</f>
        <v>#DIV/0!</v>
      </c>
      <c r="E72" s="21" t="e">
        <f>INTERCEPT(H63:H66,$G$63:$G$66)</f>
        <v>#DIV/0!</v>
      </c>
      <c r="F72" s="21" t="e">
        <f>INTERCEPT(L63:L66,$K$63:$K$66)</f>
        <v>#DIV/0!</v>
      </c>
      <c r="G72" s="35"/>
      <c r="K72" s="35"/>
      <c r="N72" s="68"/>
      <c r="O72" s="270"/>
      <c r="P72" s="270"/>
      <c r="Q72" s="270"/>
      <c r="R72" s="270"/>
      <c r="S72" s="270"/>
    </row>
    <row r="73" spans="1:19" ht="14.1" customHeight="1">
      <c r="C73" s="35" t="s">
        <v>539</v>
      </c>
      <c r="D73" s="21" t="e">
        <f>RSQ(D63:D69,C63:C69)</f>
        <v>#DIV/0!</v>
      </c>
      <c r="E73" s="21" t="e">
        <f>RSQ(H63:H66,G63:G66)</f>
        <v>#DIV/0!</v>
      </c>
      <c r="F73" s="21" t="e">
        <f>RSQ(L63:L66,K63:K66)</f>
        <v>#DIV/0!</v>
      </c>
      <c r="N73" s="68"/>
      <c r="O73" s="270"/>
      <c r="P73" s="270"/>
      <c r="Q73" s="270"/>
      <c r="R73" s="270"/>
      <c r="S73" s="270"/>
    </row>
    <row r="74" spans="1:19" ht="14.1" customHeight="1">
      <c r="A74" s="75" t="s">
        <v>351</v>
      </c>
      <c r="C74" s="21" t="s">
        <v>630</v>
      </c>
      <c r="N74" s="68"/>
      <c r="O74" s="270"/>
      <c r="P74" s="270"/>
      <c r="Q74" s="270"/>
      <c r="R74" s="270"/>
      <c r="S74" s="270"/>
    </row>
    <row r="75" spans="1:19" ht="14.1" customHeight="1">
      <c r="A75" s="259" t="s">
        <v>70</v>
      </c>
      <c r="B75" s="712" t="s">
        <v>268</v>
      </c>
      <c r="C75" s="712" t="s">
        <v>354</v>
      </c>
      <c r="D75" s="259" t="s">
        <v>70</v>
      </c>
      <c r="E75" s="712" t="s">
        <v>268</v>
      </c>
      <c r="F75" s="712" t="s">
        <v>354</v>
      </c>
      <c r="G75" s="259" t="s">
        <v>70</v>
      </c>
      <c r="H75" s="712" t="s">
        <v>268</v>
      </c>
      <c r="I75" s="712" t="s">
        <v>354</v>
      </c>
      <c r="K75" s="276" t="s">
        <v>22</v>
      </c>
      <c r="L75" s="276" t="s">
        <v>23</v>
      </c>
      <c r="M75" s="276" t="s">
        <v>441</v>
      </c>
      <c r="O75" s="270"/>
      <c r="P75" s="270"/>
      <c r="Q75" s="270"/>
      <c r="R75" s="270"/>
      <c r="S75" s="270"/>
    </row>
    <row r="76" spans="1:19" ht="14.1" customHeight="1">
      <c r="A76" s="712" t="str">
        <f>Sheet1!P371</f>
        <v>Mo/Mo</v>
      </c>
      <c r="B76" s="271" t="e">
        <f>AVERAGE(Sheet1!AM10:AM11)</f>
        <v>#DIV/0!</v>
      </c>
      <c r="C76" s="271" t="e">
        <f>AVERAGE(Sheet1!AQ10:AQ11)</f>
        <v>#DIV/0!</v>
      </c>
      <c r="D76" s="712" t="str">
        <f>Sheet1!P378</f>
        <v>Mo/</v>
      </c>
      <c r="E76" s="271" t="e">
        <f>AVERAGE(Sheet1!AM57:AM58)</f>
        <v>#DIV/0!</v>
      </c>
      <c r="F76" s="271" t="e">
        <f>AVERAGE(Sheet1!AQ57:AQ58)</f>
        <v>#DIV/0!</v>
      </c>
      <c r="G76" s="712" t="str">
        <f>Sheet1!P384</f>
        <v>/</v>
      </c>
      <c r="H76" s="271" t="e">
        <f>AVERAGE(Sheet1!AM91:AM94)</f>
        <v>#DIV/0!</v>
      </c>
      <c r="I76" s="271" t="e">
        <f>AVERAGE(Sheet1!AQ91:AQ94)</f>
        <v>#DIV/0!</v>
      </c>
      <c r="K76" s="276" t="s">
        <v>31</v>
      </c>
      <c r="L76" s="276" t="s">
        <v>31</v>
      </c>
      <c r="M76" s="276">
        <v>0.12</v>
      </c>
      <c r="O76" s="270"/>
      <c r="P76" s="270"/>
      <c r="Q76" s="270"/>
      <c r="R76" s="270"/>
      <c r="S76" s="270"/>
    </row>
    <row r="77" spans="1:19" ht="14.1" customHeight="1">
      <c r="A77" s="259"/>
      <c r="B77" s="271" t="e">
        <f>AVERAGE(Sheet1!AM18:AM19)</f>
        <v>#DIV/0!</v>
      </c>
      <c r="C77" s="271" t="e">
        <f>AVERAGE(Sheet1!AQ18:AQ19)</f>
        <v>#DIV/0!</v>
      </c>
      <c r="D77" s="259"/>
      <c r="E77" s="271" t="e">
        <f>AVERAGE(Sheet1!AM65:AM66)</f>
        <v>#DIV/0!</v>
      </c>
      <c r="F77" s="271" t="e">
        <f>AVERAGE(Sheet1!AQ65:AQ66)</f>
        <v>#DIV/0!</v>
      </c>
      <c r="H77" s="271" t="e">
        <f>AVERAGE(Sheet1!AM101:AM102)</f>
        <v>#DIV/0!</v>
      </c>
      <c r="I77" s="271" t="e">
        <f>AVERAGE(Sheet1!AQ101:AQ102)</f>
        <v>#DIV/0!</v>
      </c>
      <c r="K77" s="276" t="s">
        <v>31</v>
      </c>
      <c r="L77" s="276" t="s">
        <v>54</v>
      </c>
      <c r="M77" s="276">
        <v>0.19</v>
      </c>
      <c r="O77" s="270"/>
      <c r="P77" s="270"/>
      <c r="Q77" s="270"/>
      <c r="R77" s="270"/>
      <c r="S77" s="270"/>
    </row>
    <row r="78" spans="1:19" ht="14.1" customHeight="1">
      <c r="A78" s="712"/>
      <c r="B78" s="271">
        <f>Sheet1!AM26</f>
        <v>0</v>
      </c>
      <c r="C78" s="271">
        <f>Sheet1!AQ26</f>
        <v>0</v>
      </c>
      <c r="D78" s="712"/>
      <c r="E78" s="271" t="e">
        <f>AVERAGE(Sheet1!AM73:AM74)</f>
        <v>#DIV/0!</v>
      </c>
      <c r="F78" s="271" t="e">
        <f>AVERAGE(Sheet1!AQ73:AQ74)</f>
        <v>#DIV/0!</v>
      </c>
      <c r="H78" s="271" t="e">
        <f>AVERAGE(Sheet1!AM109:AM110)</f>
        <v>#DIV/0!</v>
      </c>
      <c r="I78" s="271" t="e">
        <f>AVERAGE(Sheet1!AQ109:AQ110)</f>
        <v>#DIV/0!</v>
      </c>
      <c r="K78" s="276" t="s">
        <v>54</v>
      </c>
      <c r="L78" s="276" t="s">
        <v>54</v>
      </c>
      <c r="M78" s="276">
        <v>0.22</v>
      </c>
      <c r="O78" s="270"/>
      <c r="P78" s="270"/>
      <c r="Q78" s="270"/>
      <c r="R78" s="270"/>
      <c r="S78" s="270"/>
    </row>
    <row r="79" spans="1:19" ht="14.1" customHeight="1">
      <c r="B79" s="271" t="e">
        <f>AVERAGE(Sheet1!AM27:AM31)</f>
        <v>#DIV/0!</v>
      </c>
      <c r="C79" s="271" t="e">
        <f>AVERAGE(Sheet1!AQ27:AQ31)</f>
        <v>#DIV/0!</v>
      </c>
      <c r="E79" s="271" t="e">
        <f>AVERAGE(Sheet1!AM81:AM82)</f>
        <v>#DIV/0!</v>
      </c>
      <c r="F79" s="271" t="e">
        <f>AVERAGE(Sheet1!AQ81:AQ82)</f>
        <v>#DIV/0!</v>
      </c>
      <c r="H79" s="271" t="e">
        <f>AVERAGE(Sheet1!AM117:AM118)</f>
        <v>#DIV/0!</v>
      </c>
      <c r="I79" s="271" t="e">
        <f>AVERAGE(Sheet1!AQ117:AQ118)</f>
        <v>#DIV/0!</v>
      </c>
      <c r="K79" s="305" t="s">
        <v>442</v>
      </c>
      <c r="L79" s="305" t="s">
        <v>443</v>
      </c>
      <c r="M79" s="305"/>
      <c r="O79" s="270"/>
      <c r="P79" s="270"/>
      <c r="Q79" s="270"/>
      <c r="R79" s="270"/>
      <c r="S79" s="270"/>
    </row>
    <row r="80" spans="1:19" ht="14.1" customHeight="1">
      <c r="B80" s="271">
        <f>Sheet1!AM40</f>
        <v>0</v>
      </c>
      <c r="C80" s="271">
        <f>Sheet1!AQ40</f>
        <v>0</v>
      </c>
      <c r="H80" s="35"/>
      <c r="K80" s="305"/>
      <c r="L80" s="305" t="s">
        <v>444</v>
      </c>
      <c r="M80" s="305"/>
      <c r="O80" s="270"/>
      <c r="P80" s="270"/>
      <c r="Q80" s="270"/>
      <c r="R80" s="270"/>
      <c r="S80" s="270"/>
    </row>
    <row r="81" spans="1:19" ht="14.1" customHeight="1">
      <c r="B81" s="271" t="e">
        <f>AVERAGE(Sheet1!AM41:AM42)</f>
        <v>#DIV/0!</v>
      </c>
      <c r="C81" s="271" t="e">
        <f>AVERAGE(Sheet1!AQ41:AQ42)</f>
        <v>#DIV/0!</v>
      </c>
      <c r="H81" s="35"/>
      <c r="K81" s="305"/>
      <c r="L81" s="305" t="s">
        <v>445</v>
      </c>
      <c r="M81" s="305"/>
      <c r="O81" s="270"/>
      <c r="P81" s="270"/>
      <c r="Q81" s="270"/>
      <c r="R81" s="270"/>
      <c r="S81" s="270"/>
    </row>
    <row r="82" spans="1:19" ht="14.1" customHeight="1">
      <c r="B82" s="271" t="e">
        <f>AVERAGE(Sheet1!AM49:AM50)</f>
        <v>#DIV/0!</v>
      </c>
      <c r="C82" s="271" t="e">
        <f>AVERAGE(Sheet1!AQ49:AQ50)</f>
        <v>#DIV/0!</v>
      </c>
      <c r="H82" s="35"/>
      <c r="K82" s="305"/>
      <c r="L82" s="305"/>
      <c r="M82" s="305"/>
      <c r="O82" s="270"/>
      <c r="P82" s="270"/>
      <c r="Q82" s="270"/>
      <c r="R82" s="270"/>
      <c r="S82" s="270"/>
    </row>
    <row r="83" spans="1:19" ht="14.1" customHeight="1">
      <c r="D83" s="712" t="str">
        <f>A76</f>
        <v>Mo/Mo</v>
      </c>
      <c r="E83" s="712" t="str">
        <f>D76</f>
        <v>Mo/</v>
      </c>
      <c r="F83" s="712" t="str">
        <f>G76</f>
        <v>/</v>
      </c>
      <c r="K83" s="305"/>
      <c r="M83" s="305"/>
      <c r="O83" s="270"/>
      <c r="P83" s="270"/>
      <c r="Q83" s="270"/>
      <c r="R83" s="270"/>
      <c r="S83" s="270"/>
    </row>
    <row r="84" spans="1:19" ht="14.1" customHeight="1">
      <c r="C84" s="35" t="s">
        <v>439</v>
      </c>
      <c r="D84" s="712" t="e">
        <f>SLOPE(C76:C82,B76:B82)</f>
        <v>#DIV/0!</v>
      </c>
      <c r="E84" s="712" t="e">
        <f>SLOPE(F76:F79,E76:E79)</f>
        <v>#DIV/0!</v>
      </c>
      <c r="F84" s="712" t="e">
        <f>SLOPE(I76:I79,H76:H79)</f>
        <v>#DIV/0!</v>
      </c>
      <c r="K84" s="305"/>
      <c r="L84" s="305"/>
      <c r="M84" s="305"/>
      <c r="O84" s="270"/>
      <c r="P84" s="270"/>
      <c r="Q84" s="270"/>
      <c r="R84" s="270"/>
      <c r="S84" s="270"/>
    </row>
    <row r="85" spans="1:19" ht="14.1" customHeight="1">
      <c r="C85" s="35" t="s">
        <v>440</v>
      </c>
      <c r="D85" s="712" t="e">
        <f>INTERCEPT(C76:C82,B76:B82)</f>
        <v>#DIV/0!</v>
      </c>
      <c r="E85" s="712" t="e">
        <f>INTERCEPT(F76:F79,E76:E79)</f>
        <v>#DIV/0!</v>
      </c>
      <c r="F85" s="712" t="e">
        <f>INTERCEPT(I76:I79,H76:H79)</f>
        <v>#DIV/0!</v>
      </c>
      <c r="K85" s="305"/>
      <c r="L85" s="305"/>
      <c r="M85" s="305"/>
      <c r="O85" s="270"/>
      <c r="P85" s="270"/>
      <c r="Q85" s="270"/>
      <c r="R85" s="270"/>
      <c r="S85" s="270"/>
    </row>
    <row r="86" spans="1:19" ht="14.1" customHeight="1">
      <c r="C86" s="35" t="s">
        <v>539</v>
      </c>
      <c r="D86" s="21" t="e">
        <f>RSQ(C76:C82,B76:B82)</f>
        <v>#DIV/0!</v>
      </c>
      <c r="E86" s="21" t="e">
        <f>RSQ(F76:F79,E76:E79)</f>
        <v>#DIV/0!</v>
      </c>
      <c r="F86" s="21" t="e">
        <f>RSQ(I76:I79,H76:H79)</f>
        <v>#DIV/0!</v>
      </c>
      <c r="N86" s="68"/>
      <c r="O86" s="270"/>
      <c r="P86" s="270"/>
      <c r="Q86" s="270"/>
      <c r="R86" s="270"/>
      <c r="S86" s="270"/>
    </row>
    <row r="87" spans="1:19" ht="14.1" customHeight="1">
      <c r="A87" s="75" t="s">
        <v>446</v>
      </c>
      <c r="B87" s="21" t="e">
        <f>"DGN values (mrad/R) for "&amp;Sheet1!$T$259&amp;" kV and HVL="&amp;ROUND(Sheet1!$X$262,2)&amp;" mm Al"</f>
        <v>#VALUE!</v>
      </c>
      <c r="N87" s="68"/>
      <c r="O87" s="270"/>
      <c r="P87" s="270"/>
      <c r="Q87" s="270"/>
      <c r="R87" s="270"/>
      <c r="S87" s="270"/>
    </row>
    <row r="88" spans="1:19" ht="14.1" customHeight="1">
      <c r="A88" s="277" t="s">
        <v>236</v>
      </c>
      <c r="B88" s="277" t="s">
        <v>261</v>
      </c>
      <c r="C88" s="277" t="s">
        <v>447</v>
      </c>
      <c r="D88" s="277" t="s">
        <v>425</v>
      </c>
      <c r="E88" s="277" t="s">
        <v>437</v>
      </c>
      <c r="F88" s="277" t="s">
        <v>237</v>
      </c>
      <c r="N88" s="68"/>
      <c r="O88" s="270"/>
      <c r="P88" s="270"/>
      <c r="Q88" s="270"/>
      <c r="R88" s="270"/>
      <c r="S88" s="270"/>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9" t="str">
        <f>IF(Sheet1!$X$262="","",(L53*Sheet1!$X$262+M53)*(L54*Sheet1!$X$262+M54)*HLOOKUP(Sheet1!$Q$260,B58:D59,2))</f>
        <v/>
      </c>
      <c r="E89" s="712" t="e">
        <f>IF(ISERR(Sheet1!$X$262),"TBD",VLOOKUP(Sheet1!X262,N27:AA48,MATCH(Sheet1!$T$259,N27:AA27,0)))</f>
        <v>#N/A</v>
      </c>
      <c r="F89" s="712" t="e">
        <f>IF(ISERR(Sheet1!$X$262),"TBD",VLOOKUP(Sheet1!X262,A27:M48,MATCH(Sheet1!T259,A27:M27,0)))</f>
        <v>#N/A</v>
      </c>
      <c r="N89" s="68"/>
      <c r="O89" s="270"/>
      <c r="P89" s="270"/>
      <c r="Q89" s="270"/>
      <c r="R89" s="270"/>
      <c r="S89" s="270"/>
    </row>
    <row r="90" spans="1:19" ht="14.1" customHeight="1">
      <c r="N90" s="68"/>
      <c r="O90" s="270"/>
      <c r="P90" s="270"/>
      <c r="Q90" s="270"/>
      <c r="R90" s="270"/>
      <c r="S90" s="270"/>
    </row>
    <row r="91" spans="1:19" ht="14.1" customHeight="1">
      <c r="A91" s="75" t="s">
        <v>448</v>
      </c>
      <c r="N91" s="68"/>
      <c r="O91" s="270"/>
      <c r="P91" s="270"/>
      <c r="Q91" s="270"/>
      <c r="R91" s="270"/>
      <c r="S91" s="270"/>
    </row>
    <row r="92" spans="1:19" ht="14.1" customHeight="1">
      <c r="B92" s="712" t="s">
        <v>268</v>
      </c>
      <c r="D92" s="11" t="s">
        <v>449</v>
      </c>
      <c r="E92" s="11" t="s">
        <v>450</v>
      </c>
      <c r="F92" s="11" t="s">
        <v>436</v>
      </c>
      <c r="G92" s="11" t="s">
        <v>451</v>
      </c>
      <c r="H92" s="11" t="s">
        <v>452</v>
      </c>
      <c r="I92" s="11" t="s">
        <v>453</v>
      </c>
      <c r="J92" s="11" t="s">
        <v>454</v>
      </c>
      <c r="N92" s="68"/>
      <c r="O92" s="270"/>
      <c r="P92" s="270"/>
      <c r="Q92" s="270"/>
      <c r="R92" s="270"/>
      <c r="S92" s="270"/>
    </row>
    <row r="93" spans="1:19" ht="14.1" customHeight="1">
      <c r="A93" s="21" t="s">
        <v>237</v>
      </c>
      <c r="B93" s="712" t="s">
        <v>455</v>
      </c>
      <c r="C93" s="11">
        <v>27.585999999999999</v>
      </c>
      <c r="D93" s="11">
        <v>-8375.0727645925508</v>
      </c>
      <c r="E93" s="11">
        <v>975.92543560432796</v>
      </c>
      <c r="F93" s="11">
        <v>-37.913729682039403</v>
      </c>
      <c r="G93" s="11">
        <v>0.49086583472609402</v>
      </c>
      <c r="H93" s="11">
        <v>0</v>
      </c>
      <c r="I93" s="11">
        <v>0</v>
      </c>
      <c r="J93" s="11">
        <v>0</v>
      </c>
      <c r="N93" s="68"/>
      <c r="O93" s="270"/>
      <c r="P93" s="270"/>
      <c r="Q93" s="270"/>
      <c r="R93" s="270"/>
      <c r="S93" s="270"/>
    </row>
    <row r="94" spans="1:19" ht="14.1" customHeight="1">
      <c r="B94" s="712" t="s">
        <v>456</v>
      </c>
      <c r="C94" s="11">
        <v>27.585999999999999</v>
      </c>
      <c r="D94" s="11">
        <v>-9984.6167916494396</v>
      </c>
      <c r="E94" s="11">
        <v>1436.52454571413</v>
      </c>
      <c r="F94" s="11">
        <v>-82.505102185254898</v>
      </c>
      <c r="G94" s="11">
        <v>2.36559081763837</v>
      </c>
      <c r="H94" s="11">
        <v>-3.38672433779705E-2</v>
      </c>
      <c r="I94" s="11">
        <v>1.93686920423126E-4</v>
      </c>
      <c r="J94" s="11">
        <v>0</v>
      </c>
      <c r="N94" s="68"/>
      <c r="O94" s="270"/>
      <c r="P94" s="270"/>
      <c r="Q94" s="270"/>
      <c r="R94" s="270"/>
      <c r="S94" s="270"/>
    </row>
    <row r="95" spans="1:19" ht="14.1" customHeight="1">
      <c r="C95" s="21" t="s">
        <v>457</v>
      </c>
      <c r="N95" s="68"/>
      <c r="O95" s="270"/>
      <c r="P95" s="270"/>
      <c r="Q95" s="270"/>
      <c r="R95" s="270"/>
      <c r="S95" s="270"/>
    </row>
    <row r="96" spans="1:19" ht="14.1" customHeight="1">
      <c r="C96" s="21" t="s">
        <v>458</v>
      </c>
      <c r="N96" s="68"/>
      <c r="O96" s="270"/>
      <c r="P96" s="270"/>
      <c r="Q96" s="270"/>
      <c r="R96" s="270"/>
      <c r="S96" s="270"/>
    </row>
    <row r="97" spans="1:19" ht="14.1" customHeight="1">
      <c r="B97" s="712" t="s">
        <v>268</v>
      </c>
      <c r="D97" s="11" t="s">
        <v>449</v>
      </c>
      <c r="E97" s="11" t="s">
        <v>450</v>
      </c>
      <c r="F97" s="11" t="s">
        <v>436</v>
      </c>
      <c r="G97" s="11" t="s">
        <v>451</v>
      </c>
      <c r="H97" s="11" t="s">
        <v>452</v>
      </c>
      <c r="I97" s="11" t="s">
        <v>453</v>
      </c>
      <c r="J97" s="11" t="s">
        <v>454</v>
      </c>
      <c r="N97" s="68"/>
      <c r="O97" s="270"/>
      <c r="P97" s="270"/>
      <c r="Q97" s="270"/>
      <c r="R97" s="270"/>
      <c r="S97" s="270"/>
    </row>
    <row r="98" spans="1:19" ht="14.1" customHeight="1">
      <c r="A98" s="21" t="s">
        <v>437</v>
      </c>
      <c r="B98" s="712" t="s">
        <v>455</v>
      </c>
      <c r="C98" s="11">
        <v>30.1</v>
      </c>
      <c r="D98" s="11">
        <v>-540847.69550077303</v>
      </c>
      <c r="E98" s="11">
        <v>100186.23364273099</v>
      </c>
      <c r="F98" s="11">
        <v>-7418.4790179812599</v>
      </c>
      <c r="G98" s="11">
        <v>274.47660929577501</v>
      </c>
      <c r="H98" s="11">
        <v>-5.07436954359087</v>
      </c>
      <c r="I98" s="11">
        <v>3.7500574787580898E-2</v>
      </c>
      <c r="J98" s="11">
        <v>0</v>
      </c>
      <c r="N98" s="68"/>
      <c r="O98" s="270"/>
      <c r="P98" s="270"/>
      <c r="Q98" s="270"/>
      <c r="R98" s="270"/>
      <c r="S98" s="270"/>
    </row>
    <row r="99" spans="1:19" ht="14.1" customHeight="1">
      <c r="B99" s="712" t="s">
        <v>456</v>
      </c>
      <c r="C99" s="11">
        <v>30.1</v>
      </c>
      <c r="D99" s="11">
        <v>-11057.773936199201</v>
      </c>
      <c r="E99" s="11">
        <v>1297.2285673766901</v>
      </c>
      <c r="F99" s="11">
        <v>-56.989188989725697</v>
      </c>
      <c r="G99" s="11">
        <v>1.1115828564217201</v>
      </c>
      <c r="H99" s="11">
        <v>-8.1233997365129599E-3</v>
      </c>
      <c r="I99" s="11">
        <v>0</v>
      </c>
      <c r="J99" s="11">
        <v>0</v>
      </c>
      <c r="N99" s="68"/>
      <c r="O99" s="270"/>
      <c r="P99" s="270"/>
      <c r="Q99" s="270"/>
      <c r="R99" s="270"/>
      <c r="S99" s="270"/>
    </row>
    <row r="100" spans="1:19" ht="14.1" customHeight="1">
      <c r="C100" s="21" t="s">
        <v>459</v>
      </c>
      <c r="N100" s="68"/>
      <c r="O100" s="270"/>
      <c r="P100" s="270"/>
      <c r="Q100" s="270"/>
      <c r="R100" s="270"/>
      <c r="S100" s="270"/>
    </row>
    <row r="101" spans="1:19" ht="14.1" customHeight="1">
      <c r="C101" s="21" t="s">
        <v>460</v>
      </c>
      <c r="N101" s="68"/>
      <c r="O101" s="270"/>
      <c r="P101" s="270"/>
      <c r="Q101" s="270"/>
      <c r="R101" s="270"/>
      <c r="S101" s="270"/>
    </row>
    <row r="102" spans="1:19" ht="14.1" customHeight="1">
      <c r="N102" s="68"/>
      <c r="O102" s="270"/>
      <c r="P102" s="270"/>
      <c r="Q102" s="270"/>
      <c r="R102" s="270"/>
      <c r="S102" s="270"/>
    </row>
    <row r="103" spans="1:19" ht="14.1" customHeight="1">
      <c r="A103" s="75" t="s">
        <v>461</v>
      </c>
      <c r="N103" s="68"/>
      <c r="O103" s="270"/>
      <c r="P103" s="270"/>
      <c r="Q103" s="270"/>
      <c r="R103" s="270"/>
      <c r="S103" s="270"/>
    </row>
    <row r="104" spans="1:19" ht="14.1" customHeight="1">
      <c r="B104" s="712" t="s">
        <v>268</v>
      </c>
      <c r="D104" s="11" t="s">
        <v>449</v>
      </c>
      <c r="E104" s="11" t="s">
        <v>450</v>
      </c>
      <c r="F104" s="11" t="s">
        <v>436</v>
      </c>
      <c r="G104" s="11" t="s">
        <v>451</v>
      </c>
      <c r="H104" s="11" t="s">
        <v>452</v>
      </c>
      <c r="N104" s="68"/>
      <c r="O104" s="270"/>
      <c r="P104" s="270"/>
      <c r="Q104" s="270"/>
      <c r="R104" s="270"/>
      <c r="S104" s="270"/>
    </row>
    <row r="105" spans="1:19" ht="14.1" customHeight="1">
      <c r="A105" s="21" t="s">
        <v>237</v>
      </c>
      <c r="B105" s="712" t="s">
        <v>455</v>
      </c>
      <c r="C105" s="11">
        <v>26.9</v>
      </c>
      <c r="D105" s="105">
        <v>138.88667000000001</v>
      </c>
      <c r="E105" s="105">
        <v>-10.72639</v>
      </c>
      <c r="F105" s="105">
        <v>0.26216</v>
      </c>
      <c r="G105" s="105">
        <v>-8.1999999999999998E-4</v>
      </c>
      <c r="H105" s="105"/>
      <c r="N105" s="68"/>
      <c r="O105" s="270"/>
      <c r="P105" s="270"/>
      <c r="Q105" s="270"/>
      <c r="R105" s="270"/>
      <c r="S105" s="270"/>
    </row>
    <row r="106" spans="1:19" ht="14.1" customHeight="1">
      <c r="B106" s="712" t="s">
        <v>456</v>
      </c>
      <c r="C106" s="11">
        <v>26.9</v>
      </c>
      <c r="D106" s="105">
        <v>-5009.7751651999997</v>
      </c>
      <c r="E106" s="105">
        <v>605.73200599999996</v>
      </c>
      <c r="F106" s="105">
        <v>-27.3018617</v>
      </c>
      <c r="G106" s="105">
        <v>0.54671139999999996</v>
      </c>
      <c r="H106" s="105">
        <v>-4.0986E-3</v>
      </c>
      <c r="N106" s="68"/>
      <c r="O106" s="270"/>
      <c r="P106" s="270"/>
      <c r="Q106" s="270"/>
      <c r="R106" s="270"/>
      <c r="S106" s="270"/>
    </row>
    <row r="107" spans="1:19" ht="14.1" customHeight="1">
      <c r="N107" s="68"/>
      <c r="O107" s="270"/>
      <c r="P107" s="270"/>
      <c r="Q107" s="270"/>
      <c r="R107" s="270"/>
      <c r="S107" s="270"/>
    </row>
    <row r="108" spans="1:19" ht="14.1" customHeight="1">
      <c r="A108" s="21" t="s">
        <v>437</v>
      </c>
      <c r="B108" s="712" t="s">
        <v>268</v>
      </c>
      <c r="D108" s="11" t="s">
        <v>449</v>
      </c>
      <c r="E108" s="11" t="s">
        <v>450</v>
      </c>
      <c r="F108" s="11" t="s">
        <v>436</v>
      </c>
      <c r="G108" s="11" t="s">
        <v>451</v>
      </c>
      <c r="H108" s="11" t="s">
        <v>452</v>
      </c>
      <c r="N108" s="68"/>
      <c r="O108" s="270"/>
      <c r="P108" s="270"/>
      <c r="Q108" s="270"/>
      <c r="R108" s="270"/>
      <c r="S108" s="270"/>
    </row>
    <row r="109" spans="1:19" ht="14.1" customHeight="1">
      <c r="B109" s="712" t="s">
        <v>455</v>
      </c>
      <c r="C109" s="11">
        <v>28.7</v>
      </c>
      <c r="D109" s="11">
        <v>296.34185000000002</v>
      </c>
      <c r="E109" s="11">
        <v>-31.629249999999999</v>
      </c>
      <c r="F109" s="11">
        <v>1.18025</v>
      </c>
      <c r="G109" s="11">
        <v>-1.417E-2</v>
      </c>
      <c r="H109" s="11"/>
      <c r="N109" s="68"/>
      <c r="O109" s="270"/>
      <c r="P109" s="270"/>
      <c r="Q109" s="270"/>
      <c r="R109" s="270"/>
      <c r="S109" s="270"/>
    </row>
    <row r="110" spans="1:19" ht="14.1" customHeight="1">
      <c r="B110" s="712" t="s">
        <v>456</v>
      </c>
      <c r="C110" s="11">
        <v>28.7</v>
      </c>
      <c r="D110" s="11">
        <v>4.8344690000000003</v>
      </c>
      <c r="E110" s="11">
        <v>0.919242</v>
      </c>
      <c r="F110" s="11"/>
      <c r="G110" s="11"/>
      <c r="H110" s="11"/>
      <c r="N110" s="68"/>
      <c r="O110" s="270"/>
      <c r="P110" s="270"/>
      <c r="Q110" s="270"/>
      <c r="R110" s="270"/>
      <c r="S110" s="270"/>
    </row>
    <row r="111" spans="1:19" ht="14.1" customHeight="1">
      <c r="N111" s="68"/>
      <c r="O111" s="270"/>
      <c r="P111" s="270"/>
      <c r="Q111" s="270"/>
      <c r="R111" s="270"/>
      <c r="S111" s="270"/>
    </row>
    <row r="112" spans="1:19" ht="14.1" customHeight="1">
      <c r="A112" s="21" t="s">
        <v>438</v>
      </c>
      <c r="D112" s="11" t="s">
        <v>449</v>
      </c>
      <c r="E112" s="11" t="s">
        <v>450</v>
      </c>
      <c r="F112" s="11" t="s">
        <v>436</v>
      </c>
      <c r="G112" s="11" t="s">
        <v>451</v>
      </c>
      <c r="H112" s="11" t="s">
        <v>452</v>
      </c>
      <c r="N112" s="68"/>
      <c r="O112" s="270"/>
      <c r="P112" s="270"/>
      <c r="Q112" s="270"/>
      <c r="R112" s="270"/>
      <c r="S112" s="270"/>
    </row>
    <row r="113" spans="1:19" ht="14.1" customHeight="1">
      <c r="B113" s="712" t="s">
        <v>455</v>
      </c>
      <c r="C113" s="11">
        <v>28.7</v>
      </c>
      <c r="D113" s="11">
        <v>49.311149999999998</v>
      </c>
      <c r="E113" s="11">
        <v>-2.9301699999999999</v>
      </c>
      <c r="F113" s="11">
        <v>7.3789999999999994E-2</v>
      </c>
      <c r="G113" s="11"/>
      <c r="H113" s="11"/>
      <c r="N113" s="68"/>
      <c r="O113" s="270"/>
      <c r="P113" s="270"/>
      <c r="Q113" s="270"/>
      <c r="R113" s="270"/>
      <c r="S113" s="270"/>
    </row>
    <row r="114" spans="1:19" ht="14.1" customHeight="1">
      <c r="B114" s="712"/>
      <c r="C114" s="235" t="s">
        <v>462</v>
      </c>
      <c r="D114" s="11">
        <v>-24.875</v>
      </c>
      <c r="E114" s="11">
        <v>1.8031999999999999</v>
      </c>
      <c r="F114" s="11"/>
      <c r="G114" s="11"/>
      <c r="H114" s="11"/>
      <c r="N114" s="68"/>
      <c r="O114" s="270"/>
      <c r="P114" s="270"/>
      <c r="Q114" s="270"/>
      <c r="R114" s="270"/>
      <c r="S114" s="270"/>
    </row>
    <row r="115" spans="1:19" ht="14.1" customHeight="1">
      <c r="B115" s="712" t="s">
        <v>456</v>
      </c>
      <c r="C115" s="11">
        <v>30.1</v>
      </c>
      <c r="D115" s="11">
        <v>-4.8346099999999996</v>
      </c>
      <c r="E115" s="11">
        <v>1.1571499999999999</v>
      </c>
      <c r="F115" s="11"/>
      <c r="G115" s="11"/>
      <c r="H115" s="11"/>
      <c r="N115" s="68"/>
      <c r="O115" s="270"/>
      <c r="P115" s="270"/>
      <c r="Q115" s="270"/>
      <c r="R115" s="270"/>
      <c r="S115" s="270"/>
    </row>
    <row r="116" spans="1:19" ht="14.1" customHeight="1">
      <c r="N116" s="68"/>
      <c r="O116" s="270"/>
      <c r="P116" s="270"/>
      <c r="Q116" s="270"/>
      <c r="R116" s="270"/>
      <c r="S116" s="270"/>
    </row>
    <row r="117" spans="1:19" ht="14.1" customHeight="1">
      <c r="N117" s="68"/>
      <c r="O117" s="270"/>
      <c r="P117" s="270"/>
      <c r="Q117" s="270"/>
      <c r="R117" s="270"/>
      <c r="S117" s="270"/>
    </row>
    <row r="118" spans="1:19" ht="14.1" customHeight="1">
      <c r="A118" s="21" t="s">
        <v>463</v>
      </c>
      <c r="N118" s="68"/>
      <c r="O118" s="270"/>
      <c r="P118" s="270"/>
      <c r="Q118" s="270"/>
      <c r="R118" s="270"/>
      <c r="S118" s="270"/>
    </row>
    <row r="119" spans="1:19" ht="14.1" customHeight="1">
      <c r="C119" s="712" t="s">
        <v>464</v>
      </c>
      <c r="D119" s="712" t="s">
        <v>465</v>
      </c>
      <c r="E119" s="712" t="s">
        <v>466</v>
      </c>
      <c r="F119" s="712" t="s">
        <v>467</v>
      </c>
      <c r="G119" s="712" t="s">
        <v>468</v>
      </c>
      <c r="N119" s="68"/>
      <c r="O119" s="270"/>
      <c r="P119" s="270"/>
      <c r="Q119" s="270"/>
      <c r="R119" s="270"/>
      <c r="S119" s="270"/>
    </row>
    <row r="120" spans="1:19" ht="14.1" customHeight="1">
      <c r="B120" s="35" t="s">
        <v>402</v>
      </c>
      <c r="C120" s="712" t="s">
        <v>469</v>
      </c>
      <c r="D120" s="712" t="s">
        <v>470</v>
      </c>
      <c r="E120" s="712" t="s">
        <v>471</v>
      </c>
      <c r="F120" s="712" t="s">
        <v>470</v>
      </c>
      <c r="G120" s="712" t="s">
        <v>325</v>
      </c>
      <c r="N120" s="68"/>
      <c r="O120" s="270"/>
      <c r="P120" s="270"/>
      <c r="Q120" s="270"/>
      <c r="R120" s="270"/>
      <c r="S120" s="270"/>
    </row>
    <row r="121" spans="1:19" ht="14.1" customHeight="1">
      <c r="B121" s="35" t="s">
        <v>406</v>
      </c>
      <c r="C121" s="712" t="s">
        <v>469</v>
      </c>
      <c r="D121" s="712" t="s">
        <v>470</v>
      </c>
      <c r="E121" s="712" t="s">
        <v>470</v>
      </c>
      <c r="F121" s="712" t="s">
        <v>470</v>
      </c>
      <c r="G121" s="712" t="s">
        <v>325</v>
      </c>
      <c r="N121" s="68"/>
      <c r="O121" s="270"/>
      <c r="P121" s="270"/>
      <c r="Q121" s="270"/>
      <c r="R121" s="270"/>
      <c r="S121" s="270"/>
    </row>
    <row r="122" spans="1:19" ht="14.1" customHeight="1">
      <c r="B122" s="35" t="s">
        <v>472</v>
      </c>
      <c r="C122" s="712" t="s">
        <v>469</v>
      </c>
      <c r="D122" s="712" t="s">
        <v>470</v>
      </c>
      <c r="E122" s="712" t="s">
        <v>471</v>
      </c>
      <c r="F122" s="712" t="s">
        <v>470</v>
      </c>
      <c r="G122" s="712" t="s">
        <v>325</v>
      </c>
      <c r="N122" s="68"/>
      <c r="O122" s="270"/>
      <c r="P122" s="270"/>
      <c r="Q122" s="270"/>
      <c r="R122" s="270"/>
      <c r="S122" s="270"/>
    </row>
    <row r="123" spans="1:19" ht="14.1" customHeight="1">
      <c r="B123" s="35" t="s">
        <v>473</v>
      </c>
      <c r="C123" s="712" t="s">
        <v>469</v>
      </c>
      <c r="D123" s="712" t="s">
        <v>470</v>
      </c>
      <c r="E123" s="712" t="s">
        <v>470</v>
      </c>
      <c r="F123" s="712" t="s">
        <v>470</v>
      </c>
      <c r="G123" s="712" t="s">
        <v>325</v>
      </c>
      <c r="N123" s="68"/>
      <c r="O123" s="270"/>
      <c r="P123" s="270"/>
      <c r="Q123" s="270"/>
      <c r="R123" s="270"/>
      <c r="S123" s="270"/>
    </row>
    <row r="124" spans="1:19" ht="14.1" customHeight="1">
      <c r="B124" s="35" t="s">
        <v>474</v>
      </c>
      <c r="C124" s="712" t="s">
        <v>469</v>
      </c>
      <c r="D124" s="712" t="s">
        <v>470</v>
      </c>
      <c r="E124" s="712" t="s">
        <v>470</v>
      </c>
      <c r="F124" s="712" t="s">
        <v>470</v>
      </c>
      <c r="G124" s="712" t="s">
        <v>325</v>
      </c>
      <c r="N124" s="68"/>
      <c r="O124" s="270"/>
      <c r="P124" s="270"/>
      <c r="Q124" s="270"/>
      <c r="R124" s="270"/>
      <c r="S124" s="270"/>
    </row>
    <row r="125" spans="1:19" ht="14.1" customHeight="1">
      <c r="B125" s="35" t="s">
        <v>475</v>
      </c>
      <c r="C125" s="712" t="s">
        <v>469</v>
      </c>
      <c r="D125" s="712" t="s">
        <v>470</v>
      </c>
      <c r="E125" s="712" t="s">
        <v>470</v>
      </c>
      <c r="F125" s="712" t="s">
        <v>470</v>
      </c>
      <c r="G125" s="712" t="s">
        <v>325</v>
      </c>
      <c r="N125" s="68"/>
      <c r="O125" s="270"/>
      <c r="P125" s="270"/>
      <c r="Q125" s="270"/>
      <c r="R125" s="270"/>
      <c r="S125" s="270"/>
    </row>
    <row r="126" spans="1:19" ht="14.1" customHeight="1">
      <c r="B126" s="35" t="s">
        <v>294</v>
      </c>
      <c r="C126" s="712" t="s">
        <v>469</v>
      </c>
      <c r="D126" s="712" t="s">
        <v>470</v>
      </c>
      <c r="E126" s="712" t="s">
        <v>470</v>
      </c>
      <c r="F126" s="712" t="s">
        <v>470</v>
      </c>
      <c r="G126" s="712" t="s">
        <v>325</v>
      </c>
      <c r="N126" s="68"/>
      <c r="O126" s="270"/>
      <c r="P126" s="270"/>
      <c r="Q126" s="270"/>
      <c r="R126" s="270"/>
      <c r="S126" s="270"/>
    </row>
    <row r="127" spans="1:19" ht="14.1" customHeight="1">
      <c r="B127" s="35" t="s">
        <v>476</v>
      </c>
      <c r="C127" s="712" t="s">
        <v>469</v>
      </c>
      <c r="D127" s="712" t="s">
        <v>470</v>
      </c>
      <c r="E127" s="712" t="s">
        <v>470</v>
      </c>
      <c r="F127" s="712" t="s">
        <v>470</v>
      </c>
      <c r="G127" s="712" t="s">
        <v>325</v>
      </c>
      <c r="N127" s="68"/>
      <c r="O127" s="270"/>
      <c r="P127" s="270"/>
      <c r="Q127" s="270"/>
      <c r="R127" s="270"/>
      <c r="S127" s="270"/>
    </row>
    <row r="128" spans="1:19" ht="14.1" customHeight="1">
      <c r="B128" s="35" t="s">
        <v>477</v>
      </c>
      <c r="C128" s="712" t="s">
        <v>469</v>
      </c>
      <c r="D128" s="712" t="s">
        <v>470</v>
      </c>
      <c r="E128" s="712" t="s">
        <v>470</v>
      </c>
      <c r="F128" s="712" t="s">
        <v>470</v>
      </c>
      <c r="G128" s="712" t="s">
        <v>325</v>
      </c>
      <c r="N128" s="68"/>
      <c r="O128" s="68"/>
      <c r="P128" s="68"/>
      <c r="Q128" s="68"/>
      <c r="R128" s="68"/>
      <c r="S128" s="68"/>
    </row>
    <row r="129" spans="2:7" ht="14.1" customHeight="1">
      <c r="B129" s="35" t="s">
        <v>354</v>
      </c>
      <c r="C129" s="712" t="s">
        <v>469</v>
      </c>
      <c r="D129" s="712" t="s">
        <v>470</v>
      </c>
      <c r="E129" s="712" t="s">
        <v>470</v>
      </c>
      <c r="F129" s="712" t="s">
        <v>470</v>
      </c>
      <c r="G129" s="712" t="s">
        <v>325</v>
      </c>
    </row>
    <row r="130" spans="2:7" ht="14.1" customHeight="1">
      <c r="B130" s="35" t="s">
        <v>268</v>
      </c>
      <c r="C130" s="712" t="s">
        <v>469</v>
      </c>
      <c r="D130" s="712" t="s">
        <v>470</v>
      </c>
      <c r="E130" s="712" t="s">
        <v>470</v>
      </c>
      <c r="F130" s="712" t="s">
        <v>470</v>
      </c>
      <c r="G130" s="712"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8" customWidth="1"/>
    <col min="2" max="16384" width="9" style="498"/>
  </cols>
  <sheetData>
    <row r="1" spans="1:1">
      <c r="A1" s="563" t="s">
        <v>488</v>
      </c>
    </row>
    <row r="2" spans="1:1">
      <c r="A2" s="498" t="s">
        <v>489</v>
      </c>
    </row>
    <row r="3" spans="1:1">
      <c r="A3" s="498" t="s">
        <v>490</v>
      </c>
    </row>
    <row r="5" spans="1:1">
      <c r="A5" s="563" t="s">
        <v>491</v>
      </c>
    </row>
    <row r="6" spans="1:1">
      <c r="A6" s="498" t="s">
        <v>489</v>
      </c>
    </row>
    <row r="7" spans="1:1">
      <c r="A7" s="498" t="s">
        <v>490</v>
      </c>
    </row>
    <row r="8" spans="1:1">
      <c r="A8" s="498" t="s">
        <v>492</v>
      </c>
    </row>
    <row r="10" spans="1:1">
      <c r="A10" s="562" t="s">
        <v>493</v>
      </c>
    </row>
    <row r="11" spans="1:1">
      <c r="A11" s="561">
        <v>6</v>
      </c>
    </row>
    <row r="12" spans="1:1">
      <c r="A12" s="561">
        <v>5.5</v>
      </c>
    </row>
    <row r="13" spans="1:1">
      <c r="A13" s="561">
        <v>5</v>
      </c>
    </row>
    <row r="14" spans="1:1">
      <c r="A14" s="561">
        <v>4.5</v>
      </c>
    </row>
    <row r="15" spans="1:1">
      <c r="A15" s="561">
        <v>4</v>
      </c>
    </row>
    <row r="16" spans="1:1">
      <c r="A16" s="561">
        <v>3.5</v>
      </c>
    </row>
    <row r="17" spans="1:1">
      <c r="A17" s="561">
        <v>3</v>
      </c>
    </row>
    <row r="18" spans="1:1">
      <c r="A18" s="561">
        <v>2.5</v>
      </c>
    </row>
    <row r="19" spans="1:1">
      <c r="A19" s="561">
        <v>2</v>
      </c>
    </row>
    <row r="20" spans="1:1">
      <c r="A20" s="561">
        <v>1.5</v>
      </c>
    </row>
    <row r="21" spans="1:1">
      <c r="A21" s="561">
        <v>1</v>
      </c>
    </row>
    <row r="22" spans="1:1">
      <c r="A22" s="561">
        <v>0.5</v>
      </c>
    </row>
    <row r="24" spans="1:1">
      <c r="A24" s="563" t="s">
        <v>383</v>
      </c>
    </row>
    <row r="25" spans="1:1">
      <c r="A25" s="519" t="s">
        <v>769</v>
      </c>
    </row>
    <row r="26" spans="1:1">
      <c r="A26" s="519" t="s">
        <v>770</v>
      </c>
    </row>
    <row r="27" spans="1:1">
      <c r="A27" s="519" t="s">
        <v>771</v>
      </c>
    </row>
    <row r="28" spans="1:1">
      <c r="A28" s="519" t="s">
        <v>772</v>
      </c>
    </row>
    <row r="29" spans="1:1">
      <c r="A29" s="519"/>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2018-06-22T12:32:28Z</dcterms:modified>
</cp:coreProperties>
</file>