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Z:\workspace\EquipTestingSpreadsheets\"/>
    </mc:Choice>
  </mc:AlternateContent>
  <xr:revisionPtr revIDLastSave="0" documentId="13_ncr:1_{FFDD3818-E7ED-49CB-A23E-66A9C9AF2434}" xr6:coauthVersionLast="47" xr6:coauthVersionMax="47" xr10:uidLastSave="{00000000-0000-0000-0000-000000000000}"/>
  <bookViews>
    <workbookView xWindow="-108" yWindow="-108" windowWidth="23256" windowHeight="13176" tabRatio="688" firstSheet="7" activeTab="14" xr2:uid="{00000000-000D-0000-FFFF-FFFF00000000}"/>
  </bookViews>
  <sheets>
    <sheet name="Table" sheetId="1" r:id="rId1"/>
    <sheet name="RadFluoro" sheetId="5" r:id="rId2"/>
    <sheet name="CT" sheetId="4" r:id="rId3"/>
    <sheet name="ShieldEvaluation" sheetId="2" r:id="rId4"/>
    <sheet name="FitParameters" sheetId="3" r:id="rId5"/>
    <sheet name="NCRP147_4.1" sheetId="16" r:id="rId6"/>
    <sheet name="NCRP147_4.2" sheetId="17" r:id="rId7"/>
    <sheet name="NCRP147_4.3" sheetId="18" r:id="rId8"/>
    <sheet name="NCRP147_4.4" sheetId="19" r:id="rId9"/>
    <sheet name="NCRP147_4.5" sheetId="26" r:id="rId10"/>
    <sheet name="NCRP147_4.7" sheetId="20" r:id="rId11"/>
    <sheet name="NCRP147_5.2" sheetId="21" r:id="rId12"/>
    <sheet name="NCRP147_A1" sheetId="22" r:id="rId13"/>
    <sheet name="NCRP147_B1" sheetId="23" r:id="rId14"/>
    <sheet name="NCRP147_C1" sheetId="24" r:id="rId15"/>
    <sheet name="W_Rh_Al_Ag" sheetId="25" r:id="rId16"/>
  </sheets>
  <externalReferences>
    <externalReference r:id="rId17"/>
  </externalReferences>
  <definedNames>
    <definedName name="FitParams">FitParameters!$A$5:$AF$30</definedName>
    <definedName name="inch_value">Table!$AF$6:$AF$41</definedName>
    <definedName name="minimum_Pb" localSheetId="9">[1]Table!$AG$6:$AG$41</definedName>
    <definedName name="minimum_Pb">Table!$AG$6:$AG$41</definedName>
    <definedName name="mm_value" localSheetId="9">[1]Table!$AE$6:$AE$41</definedName>
    <definedName name="mm_value">Table!$AE$6:$AE$41</definedName>
    <definedName name="_xlnm.Print_Area" localSheetId="2">CT!$A$1:$H$50</definedName>
    <definedName name="_xlnm.Print_Area" localSheetId="1">RadFluoro!$A$1:$J$40</definedName>
    <definedName name="_xlnm.Print_Area" localSheetId="3">ShieldEvaluation!$A$1:$G$36</definedName>
    <definedName name="_xlnm.Print_Area" localSheetId="0">Table!$A$1:$N$112</definedName>
    <definedName name="RefDist" localSheetId="9">[1]ShieldEvaluation!$F$16</definedName>
    <definedName name="RefDist">ShieldEvaluation!$F$16</definedName>
    <definedName name="RefExp" localSheetId="9">[1]ShieldEvaluation!$G$16</definedName>
    <definedName name="RefExp">ShieldEvaluation!$G$16</definedName>
    <definedName name="RefkV" localSheetId="9">[1]ShieldEvaluation!$C$16</definedName>
    <definedName name="RefkV">ShieldEvaluation!$C$16</definedName>
    <definedName name="RefOutput" localSheetId="9">[1]ShieldEvaluation!$H$16</definedName>
    <definedName name="RefOutput">ShieldEvaluation!$H$16</definedName>
  </definedName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7" i="4" l="1"/>
  <c r="U27" i="4"/>
  <c r="T27" i="4"/>
  <c r="S27" i="4"/>
  <c r="R27" i="4"/>
  <c r="Q27" i="4"/>
  <c r="H64" i="24" a="1"/>
  <c r="H64" i="24" s="1"/>
  <c r="E64" i="24" a="1"/>
  <c r="E64" i="24" s="1"/>
  <c r="B64" i="24" a="1"/>
  <c r="B64" i="24" s="1"/>
  <c r="H57" i="24" a="1"/>
  <c r="H57" i="24" s="1"/>
  <c r="E57" i="24" a="1"/>
  <c r="E57" i="24" s="1"/>
  <c r="B57" i="24" a="1"/>
  <c r="B57" i="24" s="1"/>
  <c r="S38" i="4"/>
  <c r="Y18" i="4"/>
  <c r="Y19" i="4" s="1"/>
  <c r="D30" i="2" l="1"/>
  <c r="F30" i="2" s="1"/>
  <c r="L31" i="2" s="1"/>
  <c r="D29" i="2"/>
  <c r="F29" i="2" s="1"/>
  <c r="N31" i="2" l="1"/>
  <c r="Q31" i="2"/>
  <c r="O31" i="2"/>
  <c r="M31" i="2"/>
  <c r="P31" i="2"/>
  <c r="R31" i="2"/>
  <c r="J39" i="4"/>
  <c r="K39" i="4" s="1"/>
  <c r="G30" i="2" l="1"/>
  <c r="H30" i="2" s="1"/>
  <c r="L8" i="5" l="1"/>
  <c r="K8" i="5"/>
  <c r="L7" i="5"/>
  <c r="K7" i="5"/>
  <c r="L4" i="5"/>
  <c r="K4" i="5"/>
  <c r="L3" i="5"/>
  <c r="K3" i="5"/>
  <c r="D40" i="5" l="1"/>
  <c r="D39" i="5"/>
  <c r="D38" i="5"/>
  <c r="D37" i="5"/>
  <c r="D36" i="5"/>
  <c r="D35" i="5"/>
  <c r="D34" i="5"/>
  <c r="D33" i="5"/>
  <c r="D32" i="5"/>
  <c r="D31" i="5"/>
  <c r="D30" i="5"/>
  <c r="D29" i="5"/>
  <c r="D28" i="5"/>
  <c r="A44" i="5" l="1"/>
  <c r="A40" i="5"/>
  <c r="A55" i="5" s="1"/>
  <c r="A39" i="5"/>
  <c r="A54" i="5" s="1"/>
  <c r="A38" i="5"/>
  <c r="A53" i="5" s="1"/>
  <c r="A37" i="5"/>
  <c r="A52" i="5" s="1"/>
  <c r="A36" i="5"/>
  <c r="A51" i="5" s="1"/>
  <c r="A35" i="5"/>
  <c r="A50" i="5" s="1"/>
  <c r="A34" i="5"/>
  <c r="A49" i="5" s="1"/>
  <c r="A33" i="5"/>
  <c r="A48" i="5" s="1"/>
  <c r="A32" i="5"/>
  <c r="A47" i="5" s="1"/>
  <c r="A31" i="5"/>
  <c r="A46" i="5" s="1"/>
  <c r="A30" i="5"/>
  <c r="A45" i="5" s="1"/>
  <c r="A29" i="5"/>
  <c r="A28" i="5"/>
  <c r="A43" i="5" s="1"/>
  <c r="B61" i="22" l="1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I9" i="20"/>
  <c r="I10" i="20"/>
  <c r="I11" i="20"/>
  <c r="I12" i="20"/>
  <c r="I13" i="20"/>
  <c r="I14" i="20"/>
  <c r="I15" i="20"/>
  <c r="I16" i="20"/>
  <c r="I8" i="20"/>
  <c r="G9" i="20"/>
  <c r="G10" i="20"/>
  <c r="G11" i="20"/>
  <c r="G12" i="20"/>
  <c r="G13" i="20"/>
  <c r="G14" i="20"/>
  <c r="G15" i="20"/>
  <c r="G16" i="20"/>
  <c r="G8" i="20"/>
  <c r="B15" i="20"/>
  <c r="B12" i="20"/>
  <c r="B11" i="20"/>
  <c r="B11" i="18"/>
  <c r="B10" i="18"/>
  <c r="B9" i="18"/>
  <c r="B8" i="18"/>
  <c r="J29" i="17"/>
  <c r="B12" i="18" s="1"/>
  <c r="I29" i="17"/>
  <c r="H29" i="17"/>
  <c r="B14" i="20" s="1"/>
  <c r="G29" i="17"/>
  <c r="B7" i="18" s="1"/>
  <c r="F29" i="17"/>
  <c r="E29" i="17"/>
  <c r="D29" i="17"/>
  <c r="B10" i="20" s="1"/>
  <c r="C29" i="17"/>
  <c r="B9" i="20" s="1"/>
  <c r="B29" i="17"/>
  <c r="B8" i="20" s="1"/>
  <c r="B13" i="20" l="1"/>
  <c r="B16" i="20"/>
  <c r="B5" i="18"/>
  <c r="B6" i="18"/>
  <c r="C55" i="5"/>
  <c r="E55" i="5" s="1"/>
  <c r="H55" i="5" s="1"/>
  <c r="C54" i="5"/>
  <c r="E54" i="5" s="1"/>
  <c r="H54" i="5" s="1"/>
  <c r="C52" i="5"/>
  <c r="E52" i="5" s="1"/>
  <c r="G52" i="5" s="1"/>
  <c r="C51" i="5"/>
  <c r="E51" i="5" s="1"/>
  <c r="G51" i="5" s="1"/>
  <c r="C45" i="5"/>
  <c r="E45" i="5" s="1"/>
  <c r="G45" i="5" s="1"/>
  <c r="E40" i="5"/>
  <c r="F40" i="5" s="1"/>
  <c r="H40" i="5" s="1"/>
  <c r="E39" i="5"/>
  <c r="F39" i="5" s="1"/>
  <c r="H39" i="5" s="1"/>
  <c r="E37" i="5"/>
  <c r="F37" i="5" s="1"/>
  <c r="G37" i="5" s="1"/>
  <c r="I37" i="5" s="1"/>
  <c r="E36" i="5"/>
  <c r="F36" i="5" s="1"/>
  <c r="G36" i="5" s="1"/>
  <c r="I36" i="5" s="1"/>
  <c r="E30" i="5"/>
  <c r="F30" i="5" s="1"/>
  <c r="G30" i="5" s="1"/>
  <c r="I30" i="5" s="1"/>
  <c r="C53" i="5"/>
  <c r="E53" i="5" s="1"/>
  <c r="G53" i="5" s="1"/>
  <c r="C50" i="5"/>
  <c r="E50" i="5" s="1"/>
  <c r="G50" i="5" s="1"/>
  <c r="C49" i="5"/>
  <c r="E49" i="5" s="1"/>
  <c r="G49" i="5" s="1"/>
  <c r="E33" i="5"/>
  <c r="F33" i="5" s="1"/>
  <c r="G33" i="5" s="1"/>
  <c r="I33" i="5" s="1"/>
  <c r="E32" i="5"/>
  <c r="F32" i="5" s="1"/>
  <c r="G32" i="5" s="1"/>
  <c r="I32" i="5" s="1"/>
  <c r="C46" i="5"/>
  <c r="E46" i="5" s="1"/>
  <c r="G46" i="5" s="1"/>
  <c r="E29" i="5"/>
  <c r="F29" i="5" s="1"/>
  <c r="G29" i="5" s="1"/>
  <c r="I29" i="5" s="1"/>
  <c r="E28" i="5"/>
  <c r="F28" i="5" s="1"/>
  <c r="G28" i="5" s="1"/>
  <c r="I28" i="5" s="1"/>
  <c r="E8" i="18" l="1"/>
  <c r="F7" i="18"/>
  <c r="F9" i="18"/>
  <c r="E7" i="18"/>
  <c r="E5" i="18"/>
  <c r="F12" i="18"/>
  <c r="F6" i="18"/>
  <c r="F8" i="18"/>
  <c r="E12" i="18"/>
  <c r="E6" i="18"/>
  <c r="F11" i="18"/>
  <c r="F5" i="18"/>
  <c r="F10" i="18"/>
  <c r="E9" i="18"/>
  <c r="E11" i="18"/>
  <c r="E10" i="18"/>
  <c r="E34" i="5"/>
  <c r="F34" i="5" s="1"/>
  <c r="G34" i="5" s="1"/>
  <c r="I34" i="5" s="1"/>
  <c r="E38" i="5"/>
  <c r="F38" i="5" s="1"/>
  <c r="G38" i="5" s="1"/>
  <c r="I38" i="5" s="1"/>
  <c r="C44" i="5"/>
  <c r="E44" i="5" s="1"/>
  <c r="G44" i="5" s="1"/>
  <c r="C48" i="5"/>
  <c r="E48" i="5" s="1"/>
  <c r="G48" i="5" s="1"/>
  <c r="E31" i="5"/>
  <c r="F31" i="5" s="1"/>
  <c r="G31" i="5" s="1"/>
  <c r="I31" i="5" s="1"/>
  <c r="E35" i="5"/>
  <c r="F35" i="5" s="1"/>
  <c r="G35" i="5" s="1"/>
  <c r="I35" i="5" s="1"/>
  <c r="C43" i="5"/>
  <c r="E43" i="5" s="1"/>
  <c r="G43" i="5" s="1"/>
  <c r="C47" i="5"/>
  <c r="E47" i="5" s="1"/>
  <c r="G47" i="5" s="1"/>
  <c r="J44" i="4" l="1"/>
  <c r="K44" i="4" s="1"/>
  <c r="E44" i="4"/>
  <c r="J43" i="4"/>
  <c r="K43" i="4" s="1"/>
  <c r="E43" i="4"/>
  <c r="J42" i="4"/>
  <c r="K42" i="4" s="1"/>
  <c r="E42" i="4"/>
  <c r="J41" i="4"/>
  <c r="K41" i="4" s="1"/>
  <c r="E41" i="4"/>
  <c r="J40" i="4"/>
  <c r="K40" i="4" s="1"/>
  <c r="E40" i="4"/>
  <c r="E39" i="4"/>
  <c r="J38" i="4"/>
  <c r="K38" i="4" s="1"/>
  <c r="E38" i="4"/>
  <c r="J37" i="4"/>
  <c r="K37" i="4" s="1"/>
  <c r="E37" i="4"/>
  <c r="J36" i="4"/>
  <c r="K36" i="4" s="1"/>
  <c r="E36" i="4"/>
  <c r="J35" i="4"/>
  <c r="K35" i="4" s="1"/>
  <c r="E35" i="4"/>
  <c r="J34" i="4"/>
  <c r="K34" i="4" s="1"/>
  <c r="E34" i="4"/>
  <c r="J33" i="4"/>
  <c r="K33" i="4" s="1"/>
  <c r="E33" i="4"/>
  <c r="J32" i="4"/>
  <c r="K32" i="4" s="1"/>
  <c r="E32" i="4"/>
  <c r="J31" i="4"/>
  <c r="K31" i="4" s="1"/>
  <c r="E31" i="4"/>
  <c r="J30" i="4"/>
  <c r="K30" i="4" s="1"/>
  <c r="E30" i="4"/>
  <c r="J29" i="4"/>
  <c r="K29" i="4" s="1"/>
  <c r="E29" i="4"/>
  <c r="P27" i="4"/>
  <c r="F19" i="4"/>
  <c r="F20" i="4" s="1"/>
  <c r="F21" i="4" s="1"/>
  <c r="L38" i="4" l="1"/>
  <c r="M38" i="4" s="1"/>
  <c r="O38" i="4" s="1"/>
  <c r="L29" i="4"/>
  <c r="M29" i="4" s="1"/>
  <c r="O29" i="4" s="1"/>
  <c r="L44" i="4"/>
  <c r="L40" i="4"/>
  <c r="M40" i="4" s="1"/>
  <c r="O40" i="4" s="1"/>
  <c r="L36" i="4"/>
  <c r="M36" i="4" s="1"/>
  <c r="O36" i="4" s="1"/>
  <c r="L32" i="4"/>
  <c r="M32" i="4" s="1"/>
  <c r="O32" i="4" s="1"/>
  <c r="L43" i="4"/>
  <c r="L31" i="4"/>
  <c r="M31" i="4" s="1"/>
  <c r="O31" i="4" s="1"/>
  <c r="L42" i="4"/>
  <c r="M42" i="4" s="1"/>
  <c r="O42" i="4" s="1"/>
  <c r="L34" i="4"/>
  <c r="M34" i="4" s="1"/>
  <c r="O34" i="4" s="1"/>
  <c r="L30" i="4"/>
  <c r="M30" i="4" s="1"/>
  <c r="O30" i="4" s="1"/>
  <c r="L39" i="4"/>
  <c r="L41" i="4"/>
  <c r="M41" i="4" s="1"/>
  <c r="O41" i="4" s="1"/>
  <c r="L37" i="4"/>
  <c r="M37" i="4" s="1"/>
  <c r="O37" i="4" s="1"/>
  <c r="L33" i="4"/>
  <c r="M33" i="4" s="1"/>
  <c r="O33" i="4" s="1"/>
  <c r="L35" i="4"/>
  <c r="M35" i="4" s="1"/>
  <c r="O35" i="4" s="1"/>
  <c r="M43" i="4"/>
  <c r="O43" i="4" s="1"/>
  <c r="M44" i="4"/>
  <c r="O44" i="4" s="1"/>
  <c r="F22" i="4"/>
  <c r="N38" i="4" l="1"/>
  <c r="M39" i="4"/>
  <c r="N39" i="4" s="1"/>
  <c r="H37" i="4"/>
  <c r="N37" i="4"/>
  <c r="P37" i="4"/>
  <c r="H33" i="4"/>
  <c r="N33" i="4"/>
  <c r="P33" i="4"/>
  <c r="P32" i="4"/>
  <c r="H32" i="4"/>
  <c r="N32" i="4"/>
  <c r="N42" i="4"/>
  <c r="P42" i="4"/>
  <c r="H42" i="4"/>
  <c r="P40" i="4"/>
  <c r="Q40" i="4" s="1"/>
  <c r="R40" i="4" s="1"/>
  <c r="H40" i="4"/>
  <c r="N40" i="4"/>
  <c r="P29" i="4"/>
  <c r="H29" i="4"/>
  <c r="N29" i="4"/>
  <c r="P31" i="4"/>
  <c r="H31" i="4"/>
  <c r="N31" i="4"/>
  <c r="P30" i="4"/>
  <c r="H30" i="4"/>
  <c r="N30" i="4"/>
  <c r="P35" i="4"/>
  <c r="H35" i="4"/>
  <c r="N35" i="4"/>
  <c r="P44" i="4"/>
  <c r="H44" i="4"/>
  <c r="N44" i="4"/>
  <c r="H41" i="4"/>
  <c r="N41" i="4"/>
  <c r="P41" i="4"/>
  <c r="P36" i="4"/>
  <c r="H36" i="4"/>
  <c r="N36" i="4"/>
  <c r="P38" i="4"/>
  <c r="Q38" i="4" s="1"/>
  <c r="R38" i="4" s="1"/>
  <c r="H38" i="4"/>
  <c r="N34" i="4"/>
  <c r="P34" i="4"/>
  <c r="H34" i="4"/>
  <c r="P43" i="4"/>
  <c r="H43" i="4"/>
  <c r="N43" i="4"/>
  <c r="P39" i="4" l="1"/>
  <c r="Q39" i="4" s="1"/>
  <c r="R39" i="4" s="1"/>
  <c r="O39" i="4"/>
  <c r="H39" i="4" s="1"/>
  <c r="K26" i="1"/>
  <c r="B17" i="1"/>
  <c r="D17" i="1"/>
  <c r="K28" i="1"/>
  <c r="D11" i="1"/>
  <c r="L28" i="1"/>
  <c r="P28" i="1" s="1"/>
  <c r="AT66" i="1"/>
  <c r="E17" i="1"/>
  <c r="C17" i="1"/>
  <c r="B47" i="1"/>
  <c r="Q28" i="1"/>
  <c r="J28" i="1" s="1"/>
  <c r="S66" i="1"/>
  <c r="F17" i="1"/>
  <c r="L26" i="1"/>
  <c r="B45" i="1"/>
  <c r="B81" i="1" s="1"/>
  <c r="Q26" i="1"/>
  <c r="J26" i="1" s="1"/>
  <c r="K27" i="1"/>
  <c r="L27" i="1"/>
  <c r="B46" i="1"/>
  <c r="B82" i="1" s="1"/>
  <c r="Q27" i="1"/>
  <c r="J27" i="1" s="1"/>
  <c r="K29" i="1"/>
  <c r="L29" i="1"/>
  <c r="P29" i="1" s="1"/>
  <c r="B48" i="1"/>
  <c r="B84" i="1" s="1"/>
  <c r="Q29" i="1"/>
  <c r="J29" i="1" s="1"/>
  <c r="M29" i="1" s="1"/>
  <c r="E48" i="1" s="1"/>
  <c r="K30" i="1"/>
  <c r="L30" i="1"/>
  <c r="P30" i="1" s="1"/>
  <c r="B49" i="1"/>
  <c r="B85" i="1" s="1"/>
  <c r="Q30" i="1"/>
  <c r="J30" i="1" s="1"/>
  <c r="M30" i="1" s="1"/>
  <c r="N30" i="1"/>
  <c r="H49" i="1" s="1"/>
  <c r="K31" i="1"/>
  <c r="N31" i="1" s="1"/>
  <c r="L31" i="1"/>
  <c r="P31" i="1" s="1"/>
  <c r="B50" i="1"/>
  <c r="B86" i="1" s="1"/>
  <c r="Q31" i="1"/>
  <c r="J31" i="1" s="1"/>
  <c r="M31" i="1" s="1"/>
  <c r="K32" i="1"/>
  <c r="L32" i="1"/>
  <c r="P32" i="1" s="1"/>
  <c r="B51" i="1"/>
  <c r="Q32" i="1"/>
  <c r="J32" i="1" s="1"/>
  <c r="M32" i="1" s="1"/>
  <c r="N32" i="1"/>
  <c r="H51" i="1" s="1"/>
  <c r="K33" i="1"/>
  <c r="L33" i="1"/>
  <c r="B52" i="1"/>
  <c r="B88" i="1" s="1"/>
  <c r="Q33" i="1"/>
  <c r="J33" i="1" s="1"/>
  <c r="M33" i="1"/>
  <c r="E52" i="1"/>
  <c r="E88" i="1" s="1"/>
  <c r="N33" i="1"/>
  <c r="H52" i="1" s="1"/>
  <c r="K34" i="1"/>
  <c r="L34" i="1"/>
  <c r="P34" i="1" s="1"/>
  <c r="B53" i="1"/>
  <c r="Q34" i="1"/>
  <c r="J34" i="1" s="1"/>
  <c r="M34" i="1"/>
  <c r="E53" i="1"/>
  <c r="E89" i="1" s="1"/>
  <c r="N34" i="1"/>
  <c r="H53" i="1" s="1"/>
  <c r="K35" i="1"/>
  <c r="L35" i="1"/>
  <c r="B54" i="1"/>
  <c r="B90" i="1" s="1"/>
  <c r="Q35" i="1"/>
  <c r="J35" i="1" s="1"/>
  <c r="M35" i="1"/>
  <c r="E54" i="1"/>
  <c r="N35" i="1"/>
  <c r="H54" i="1" s="1"/>
  <c r="K36" i="1"/>
  <c r="L36" i="1"/>
  <c r="P36" i="1" s="1"/>
  <c r="B55" i="1"/>
  <c r="Q36" i="1"/>
  <c r="J36" i="1" s="1"/>
  <c r="M36" i="1"/>
  <c r="E55" i="1"/>
  <c r="E91" i="1" s="1"/>
  <c r="N36" i="1"/>
  <c r="H55" i="1" s="1"/>
  <c r="K37" i="1"/>
  <c r="L37" i="1"/>
  <c r="P37" i="1" s="1"/>
  <c r="B56" i="1"/>
  <c r="B92" i="1" s="1"/>
  <c r="Q37" i="1"/>
  <c r="J37" i="1" s="1"/>
  <c r="M37" i="1"/>
  <c r="E56" i="1"/>
  <c r="K56" i="1" s="1"/>
  <c r="K92" i="1" s="1"/>
  <c r="N37" i="1"/>
  <c r="H56" i="1" s="1"/>
  <c r="K38" i="1"/>
  <c r="L38" i="1"/>
  <c r="P38" i="1" s="1"/>
  <c r="B57" i="1"/>
  <c r="B93" i="1" s="1"/>
  <c r="Q38" i="1"/>
  <c r="J38" i="1" s="1"/>
  <c r="M38" i="1"/>
  <c r="E57" i="1"/>
  <c r="K57" i="1" s="1"/>
  <c r="K93" i="1" s="1"/>
  <c r="N38" i="1"/>
  <c r="H57" i="1" s="1"/>
  <c r="B58" i="1"/>
  <c r="B94" i="1" s="1"/>
  <c r="E58" i="1"/>
  <c r="N39" i="1"/>
  <c r="H58" i="1" s="1"/>
  <c r="L23" i="1"/>
  <c r="J23" i="1"/>
  <c r="L21" i="1"/>
  <c r="J21" i="1"/>
  <c r="AT71" i="1"/>
  <c r="A46" i="1"/>
  <c r="A82" i="1" s="1"/>
  <c r="A100" i="1" s="1"/>
  <c r="T66" i="1"/>
  <c r="G17" i="1"/>
  <c r="L16" i="1"/>
  <c r="A47" i="1"/>
  <c r="A83" i="1" s="1"/>
  <c r="A101" i="1" s="1"/>
  <c r="A48" i="1"/>
  <c r="A84" i="1" s="1"/>
  <c r="A102" i="1" s="1"/>
  <c r="A49" i="1"/>
  <c r="A85" i="1" s="1"/>
  <c r="A103" i="1" s="1"/>
  <c r="A50" i="1"/>
  <c r="A86" i="1" s="1"/>
  <c r="A104" i="1" s="1"/>
  <c r="A51" i="1"/>
  <c r="A87" i="1" s="1"/>
  <c r="A105" i="1" s="1"/>
  <c r="A52" i="1"/>
  <c r="A88" i="1" s="1"/>
  <c r="A106" i="1" s="1"/>
  <c r="A53" i="1"/>
  <c r="A89" i="1" s="1"/>
  <c r="A107" i="1" s="1"/>
  <c r="A54" i="1"/>
  <c r="A55" i="1"/>
  <c r="A91" i="1" s="1"/>
  <c r="A109" i="1" s="1"/>
  <c r="A56" i="1"/>
  <c r="A57" i="1"/>
  <c r="A75" i="1" s="1"/>
  <c r="A58" i="1"/>
  <c r="A76" i="1" s="1"/>
  <c r="A45" i="1"/>
  <c r="A81" i="1" s="1"/>
  <c r="A99" i="1" s="1"/>
  <c r="AT61" i="1"/>
  <c r="S61" i="1"/>
  <c r="T61" i="1" s="1"/>
  <c r="S71" i="1"/>
  <c r="T71" i="1" s="1"/>
  <c r="B83" i="1"/>
  <c r="M78" i="1"/>
  <c r="D78" i="1"/>
  <c r="M42" i="1"/>
  <c r="D42" i="1"/>
  <c r="L17" i="1"/>
  <c r="L18" i="1"/>
  <c r="A92" i="1"/>
  <c r="A110" i="1" s="1"/>
  <c r="A90" i="1"/>
  <c r="A108" i="1" s="1"/>
  <c r="A41" i="1"/>
  <c r="A77" i="1" s="1"/>
  <c r="Z23" i="1"/>
  <c r="Q39" i="1"/>
  <c r="J39" i="1" s="1"/>
  <c r="AR65" i="1"/>
  <c r="AS65" i="1" s="1"/>
  <c r="AR46" i="1"/>
  <c r="AS46" i="1" s="1"/>
  <c r="AR47" i="1"/>
  <c r="AS47" i="1" s="1"/>
  <c r="AR56" i="1"/>
  <c r="AS56" i="1" s="1"/>
  <c r="AR61" i="1"/>
  <c r="AS61" i="1" s="1"/>
  <c r="AR71" i="1"/>
  <c r="AS71" i="1" s="1"/>
  <c r="AR66" i="1"/>
  <c r="AS66" i="1" s="1"/>
  <c r="G22" i="1"/>
  <c r="AM65" i="1"/>
  <c r="AN65" i="1" s="1"/>
  <c r="AM46" i="1"/>
  <c r="AN46" i="1"/>
  <c r="AM47" i="1"/>
  <c r="AN47" i="1" s="1"/>
  <c r="AM56" i="1"/>
  <c r="AN56" i="1" s="1"/>
  <c r="AM61" i="1"/>
  <c r="AN61" i="1" s="1"/>
  <c r="AM71" i="1"/>
  <c r="AN71" i="1"/>
  <c r="AM66" i="1"/>
  <c r="AN66" i="1" s="1"/>
  <c r="G21" i="1"/>
  <c r="AH65" i="1"/>
  <c r="AI65" i="1" s="1"/>
  <c r="AH46" i="1"/>
  <c r="AI46" i="1" s="1"/>
  <c r="AH47" i="1"/>
  <c r="AI47" i="1" s="1"/>
  <c r="AH56" i="1"/>
  <c r="AI56" i="1" s="1"/>
  <c r="AH61" i="1"/>
  <c r="AI61" i="1" s="1"/>
  <c r="AH71" i="1"/>
  <c r="AI71" i="1" s="1"/>
  <c r="AH66" i="1"/>
  <c r="AI66" i="1" s="1"/>
  <c r="G20" i="1"/>
  <c r="AC65" i="1"/>
  <c r="AD65" i="1" s="1"/>
  <c r="AC46" i="1"/>
  <c r="AD46" i="1" s="1"/>
  <c r="AC47" i="1"/>
  <c r="AD47" i="1" s="1"/>
  <c r="AC56" i="1"/>
  <c r="AD56" i="1" s="1"/>
  <c r="AC61" i="1"/>
  <c r="AD61" i="1" s="1"/>
  <c r="AC71" i="1"/>
  <c r="AD71" i="1" s="1"/>
  <c r="AC66" i="1"/>
  <c r="AD66" i="1" s="1"/>
  <c r="G19" i="1"/>
  <c r="X65" i="1"/>
  <c r="Y65" i="1" s="1"/>
  <c r="X46" i="1"/>
  <c r="Y46" i="1" s="1"/>
  <c r="X47" i="1"/>
  <c r="Y47" i="1" s="1"/>
  <c r="X56" i="1"/>
  <c r="Y56" i="1" s="1"/>
  <c r="X61" i="1"/>
  <c r="Y61" i="1" s="1"/>
  <c r="X71" i="1"/>
  <c r="Y71" i="1" s="1"/>
  <c r="X66" i="1"/>
  <c r="Y66" i="1" s="1"/>
  <c r="G18" i="1"/>
  <c r="S65" i="1"/>
  <c r="T65" i="1" s="1"/>
  <c r="S46" i="1"/>
  <c r="T46" i="1" s="1"/>
  <c r="S47" i="1"/>
  <c r="T47" i="1" s="1"/>
  <c r="S56" i="1"/>
  <c r="T56" i="1" s="1"/>
  <c r="F22" i="1"/>
  <c r="F21" i="1"/>
  <c r="F20" i="1"/>
  <c r="F19" i="1"/>
  <c r="F18" i="1"/>
  <c r="D22" i="1"/>
  <c r="D21" i="1"/>
  <c r="D20" i="1"/>
  <c r="D19" i="1"/>
  <c r="D18" i="1"/>
  <c r="C22" i="1"/>
  <c r="C21" i="1"/>
  <c r="C20" i="1"/>
  <c r="C19" i="1"/>
  <c r="C18" i="1"/>
  <c r="B22" i="1"/>
  <c r="B21" i="1"/>
  <c r="B20" i="1"/>
  <c r="B19" i="1"/>
  <c r="B18" i="1"/>
  <c r="AT65" i="1"/>
  <c r="AT46" i="1"/>
  <c r="AT47" i="1"/>
  <c r="AT56" i="1"/>
  <c r="E18" i="1"/>
  <c r="E19" i="1"/>
  <c r="E20" i="1"/>
  <c r="E21" i="1"/>
  <c r="E22" i="1"/>
  <c r="X19" i="1"/>
  <c r="Y19" i="1"/>
  <c r="Z19" i="1"/>
  <c r="AA19" i="1"/>
  <c r="AB19" i="1"/>
  <c r="X20" i="1"/>
  <c r="Y20" i="1"/>
  <c r="Z20" i="1"/>
  <c r="AA20" i="1"/>
  <c r="AB20" i="1"/>
  <c r="X21" i="1"/>
  <c r="Y21" i="1"/>
  <c r="Z21" i="1"/>
  <c r="AA21" i="1"/>
  <c r="AB21" i="1"/>
  <c r="W20" i="1"/>
  <c r="W21" i="1"/>
  <c r="W19" i="1"/>
  <c r="W35" i="1"/>
  <c r="X35" i="1"/>
  <c r="Y35" i="1"/>
  <c r="Z35" i="1"/>
  <c r="AA35" i="1"/>
  <c r="AB35" i="1"/>
  <c r="W36" i="1"/>
  <c r="X36" i="1"/>
  <c r="Y36" i="1"/>
  <c r="Z36" i="1"/>
  <c r="AA36" i="1"/>
  <c r="AB36" i="1"/>
  <c r="W37" i="1"/>
  <c r="X37" i="1"/>
  <c r="Y37" i="1"/>
  <c r="Z37" i="1"/>
  <c r="AA37" i="1"/>
  <c r="AB37" i="1"/>
  <c r="X34" i="1"/>
  <c r="Y34" i="1"/>
  <c r="Z34" i="1"/>
  <c r="AA34" i="1"/>
  <c r="AB34" i="1"/>
  <c r="W34" i="1"/>
  <c r="W29" i="1"/>
  <c r="X29" i="1"/>
  <c r="Y29" i="1"/>
  <c r="Z29" i="1"/>
  <c r="AA29" i="1"/>
  <c r="AB29" i="1"/>
  <c r="W31" i="1"/>
  <c r="X31" i="1"/>
  <c r="Y31" i="1"/>
  <c r="Z31" i="1"/>
  <c r="AA31" i="1"/>
  <c r="AB31" i="1"/>
  <c r="W32" i="1"/>
  <c r="X32" i="1"/>
  <c r="Y32" i="1"/>
  <c r="Z32" i="1"/>
  <c r="AA32" i="1"/>
  <c r="AB32" i="1"/>
  <c r="Y30" i="1"/>
  <c r="Z30" i="1"/>
  <c r="AA30" i="1"/>
  <c r="AB30" i="1"/>
  <c r="W30" i="1"/>
  <c r="X30" i="1"/>
  <c r="AT57" i="1"/>
  <c r="AT60" i="1"/>
  <c r="AT59" i="1"/>
  <c r="B69" i="1"/>
  <c r="B105" i="1" s="1"/>
  <c r="C69" i="1"/>
  <c r="C105" i="1" s="1"/>
  <c r="D69" i="1"/>
  <c r="D105" i="1" s="1"/>
  <c r="Z27" i="1"/>
  <c r="Z26" i="1"/>
  <c r="AB26" i="1"/>
  <c r="W26" i="1"/>
  <c r="AH57" i="1"/>
  <c r="AI57" i="1" s="1"/>
  <c r="AH60" i="1"/>
  <c r="AI60" i="1" s="1"/>
  <c r="AH59" i="1"/>
  <c r="AI59" i="1" s="1"/>
  <c r="AM57" i="1"/>
  <c r="AN57" i="1" s="1"/>
  <c r="AM60" i="1"/>
  <c r="AN60" i="1" s="1"/>
  <c r="AM59" i="1"/>
  <c r="AN59" i="1" s="1"/>
  <c r="AR57" i="1"/>
  <c r="AS57" i="1" s="1"/>
  <c r="AR60" i="1"/>
  <c r="AS60" i="1" s="1"/>
  <c r="AR59" i="1"/>
  <c r="AS59" i="1" s="1"/>
  <c r="B70" i="1"/>
  <c r="B106" i="1" s="1"/>
  <c r="C70" i="1"/>
  <c r="C106" i="1" s="1"/>
  <c r="D70" i="1"/>
  <c r="D106" i="1" s="1"/>
  <c r="E70" i="1"/>
  <c r="E106" i="1" s="1"/>
  <c r="F70" i="1"/>
  <c r="F106" i="1" s="1"/>
  <c r="G70" i="1"/>
  <c r="G106" i="1" s="1"/>
  <c r="B71" i="1"/>
  <c r="B107" i="1" s="1"/>
  <c r="C71" i="1"/>
  <c r="C107" i="1" s="1"/>
  <c r="D71" i="1"/>
  <c r="D107" i="1" s="1"/>
  <c r="E71" i="1"/>
  <c r="E107" i="1" s="1"/>
  <c r="F71" i="1"/>
  <c r="F107" i="1" s="1"/>
  <c r="G71" i="1"/>
  <c r="G107" i="1" s="1"/>
  <c r="B72" i="1"/>
  <c r="B108" i="1" s="1"/>
  <c r="C72" i="1"/>
  <c r="C108" i="1" s="1"/>
  <c r="D72" i="1"/>
  <c r="D108" i="1" s="1"/>
  <c r="E72" i="1"/>
  <c r="E108" i="1" s="1"/>
  <c r="F72" i="1"/>
  <c r="F108" i="1" s="1"/>
  <c r="G72" i="1"/>
  <c r="G108" i="1" s="1"/>
  <c r="B73" i="1"/>
  <c r="B109" i="1" s="1"/>
  <c r="C73" i="1"/>
  <c r="C109" i="1" s="1"/>
  <c r="D73" i="1"/>
  <c r="D109" i="1" s="1"/>
  <c r="E73" i="1"/>
  <c r="E109" i="1" s="1"/>
  <c r="F73" i="1"/>
  <c r="F109" i="1" s="1"/>
  <c r="G73" i="1"/>
  <c r="G109" i="1" s="1"/>
  <c r="H73" i="1"/>
  <c r="H109" i="1" s="1"/>
  <c r="I73" i="1"/>
  <c r="I109" i="1" s="1"/>
  <c r="J73" i="1"/>
  <c r="J109" i="1" s="1"/>
  <c r="B87" i="1"/>
  <c r="C51" i="1"/>
  <c r="C87" i="1" s="1"/>
  <c r="D51" i="1"/>
  <c r="D87" i="1" s="1"/>
  <c r="S60" i="1"/>
  <c r="S59" i="1"/>
  <c r="T59" i="1" s="1"/>
  <c r="X62" i="1"/>
  <c r="Y62" i="1" s="1"/>
  <c r="X58" i="1"/>
  <c r="Y58" i="1" s="1"/>
  <c r="X60" i="1"/>
  <c r="Y60" i="1" s="1"/>
  <c r="X59" i="1"/>
  <c r="Y59" i="1" s="1"/>
  <c r="AC57" i="1"/>
  <c r="AD57" i="1" s="1"/>
  <c r="AC60" i="1"/>
  <c r="AD60" i="1" s="1"/>
  <c r="AC59" i="1"/>
  <c r="AD59" i="1" s="1"/>
  <c r="T60" i="1"/>
  <c r="C52" i="1"/>
  <c r="C88" i="1" s="1"/>
  <c r="D52" i="1"/>
  <c r="D88" i="1" s="1"/>
  <c r="F52" i="1"/>
  <c r="F88" i="1" s="1"/>
  <c r="G52" i="1"/>
  <c r="G88" i="1" s="1"/>
  <c r="B89" i="1"/>
  <c r="C53" i="1"/>
  <c r="C89" i="1" s="1"/>
  <c r="D53" i="1"/>
  <c r="D89" i="1" s="1"/>
  <c r="F53" i="1"/>
  <c r="L53" i="1" s="1"/>
  <c r="L89" i="1" s="1"/>
  <c r="G53" i="1"/>
  <c r="G89" i="1" s="1"/>
  <c r="C54" i="1"/>
  <c r="C90" i="1" s="1"/>
  <c r="D54" i="1"/>
  <c r="D90" i="1" s="1"/>
  <c r="E90" i="1"/>
  <c r="F54" i="1"/>
  <c r="F90" i="1" s="1"/>
  <c r="G54" i="1"/>
  <c r="G90" i="1" s="1"/>
  <c r="K54" i="1"/>
  <c r="K90" i="1" s="1"/>
  <c r="B91" i="1"/>
  <c r="C55" i="1"/>
  <c r="C91" i="1" s="1"/>
  <c r="D55" i="1"/>
  <c r="D91" i="1" s="1"/>
  <c r="F55" i="1"/>
  <c r="F91" i="1" s="1"/>
  <c r="G55" i="1"/>
  <c r="M55" i="1" s="1"/>
  <c r="M91" i="1" s="1"/>
  <c r="I55" i="1"/>
  <c r="I91" i="1" s="1"/>
  <c r="J55" i="1"/>
  <c r="J91" i="1" s="1"/>
  <c r="A70" i="1"/>
  <c r="A71" i="1"/>
  <c r="A72" i="1"/>
  <c r="X23" i="1"/>
  <c r="Y23" i="1"/>
  <c r="AA23" i="1"/>
  <c r="AB23" i="1"/>
  <c r="X24" i="1"/>
  <c r="Y24" i="1"/>
  <c r="Z24" i="1"/>
  <c r="AA24" i="1"/>
  <c r="AB24" i="1"/>
  <c r="X25" i="1"/>
  <c r="Y25" i="1"/>
  <c r="Z25" i="1"/>
  <c r="AA25" i="1"/>
  <c r="AB25" i="1"/>
  <c r="X26" i="1"/>
  <c r="Y26" i="1"/>
  <c r="AA26" i="1"/>
  <c r="X27" i="1"/>
  <c r="Y27" i="1"/>
  <c r="AA27" i="1"/>
  <c r="AB27" i="1"/>
  <c r="W24" i="1"/>
  <c r="W25" i="1"/>
  <c r="W27" i="1"/>
  <c r="W23" i="1"/>
  <c r="P33" i="1"/>
  <c r="P35" i="1"/>
  <c r="O36" i="1"/>
  <c r="J74" i="1"/>
  <c r="J110" i="1" s="1"/>
  <c r="K39" i="1"/>
  <c r="M39" i="1"/>
  <c r="L39" i="1"/>
  <c r="P39" i="1" s="1"/>
  <c r="AT48" i="1"/>
  <c r="G74" i="1"/>
  <c r="G110" i="1" s="1"/>
  <c r="G75" i="1"/>
  <c r="M75" i="1" s="1"/>
  <c r="M111" i="1" s="1"/>
  <c r="G76" i="1"/>
  <c r="G112" i="1" s="1"/>
  <c r="F74" i="1"/>
  <c r="L74" i="1" s="1"/>
  <c r="L110" i="1" s="1"/>
  <c r="F75" i="1"/>
  <c r="L75" i="1" s="1"/>
  <c r="L111" i="1" s="1"/>
  <c r="F76" i="1"/>
  <c r="L76" i="1" s="1"/>
  <c r="L112" i="1" s="1"/>
  <c r="E74" i="1"/>
  <c r="E110" i="1" s="1"/>
  <c r="E75" i="1"/>
  <c r="K75" i="1" s="1"/>
  <c r="K111" i="1" s="1"/>
  <c r="E76" i="1"/>
  <c r="K76" i="1" s="1"/>
  <c r="K112" i="1" s="1"/>
  <c r="G56" i="1"/>
  <c r="M56" i="1" s="1"/>
  <c r="M92" i="1" s="1"/>
  <c r="G57" i="1"/>
  <c r="M57" i="1" s="1"/>
  <c r="M93" i="1" s="1"/>
  <c r="G58" i="1"/>
  <c r="G94" i="1" s="1"/>
  <c r="F56" i="1"/>
  <c r="L56" i="1" s="1"/>
  <c r="L92" i="1" s="1"/>
  <c r="F57" i="1"/>
  <c r="L57" i="1" s="1"/>
  <c r="L93" i="1" s="1"/>
  <c r="F58" i="1"/>
  <c r="L58" i="1" s="1"/>
  <c r="L94" i="1" s="1"/>
  <c r="S48" i="1"/>
  <c r="S49" i="1"/>
  <c r="T49" i="1" s="1"/>
  <c r="S50" i="1"/>
  <c r="T50" i="1" s="1"/>
  <c r="S51" i="1"/>
  <c r="T51" i="1" s="1"/>
  <c r="S52" i="1"/>
  <c r="T52" i="1" s="1"/>
  <c r="S53" i="1"/>
  <c r="S54" i="1"/>
  <c r="T54" i="1" s="1"/>
  <c r="S55" i="1"/>
  <c r="AT51" i="1"/>
  <c r="D64" i="1"/>
  <c r="D100" i="1" s="1"/>
  <c r="D65" i="1"/>
  <c r="D101" i="1" s="1"/>
  <c r="D66" i="1"/>
  <c r="D102" i="1" s="1"/>
  <c r="D67" i="1"/>
  <c r="D103" i="1" s="1"/>
  <c r="D68" i="1"/>
  <c r="D104" i="1" s="1"/>
  <c r="D74" i="1"/>
  <c r="D75" i="1"/>
  <c r="D111" i="1" s="1"/>
  <c r="D76" i="1"/>
  <c r="D112" i="1" s="1"/>
  <c r="D63" i="1"/>
  <c r="D99" i="1" s="1"/>
  <c r="C64" i="1"/>
  <c r="C100" i="1" s="1"/>
  <c r="C65" i="1"/>
  <c r="C101" i="1" s="1"/>
  <c r="C66" i="1"/>
  <c r="C102" i="1" s="1"/>
  <c r="C67" i="1"/>
  <c r="C103" i="1" s="1"/>
  <c r="C68" i="1"/>
  <c r="C74" i="1"/>
  <c r="C110" i="1" s="1"/>
  <c r="C75" i="1"/>
  <c r="C76" i="1"/>
  <c r="C112" i="1" s="1"/>
  <c r="C63" i="1"/>
  <c r="C99" i="1" s="1"/>
  <c r="B64" i="1"/>
  <c r="B100" i="1" s="1"/>
  <c r="B65" i="1"/>
  <c r="B101" i="1" s="1"/>
  <c r="B66" i="1"/>
  <c r="B102" i="1" s="1"/>
  <c r="B67" i="1"/>
  <c r="B103" i="1" s="1"/>
  <c r="B68" i="1"/>
  <c r="B104" i="1" s="1"/>
  <c r="B74" i="1"/>
  <c r="B75" i="1"/>
  <c r="B111" i="1" s="1"/>
  <c r="B76" i="1"/>
  <c r="B112" i="1" s="1"/>
  <c r="B63" i="1"/>
  <c r="B99" i="1" s="1"/>
  <c r="D46" i="1"/>
  <c r="D82" i="1" s="1"/>
  <c r="D47" i="1"/>
  <c r="D83" i="1" s="1"/>
  <c r="D48" i="1"/>
  <c r="D84" i="1" s="1"/>
  <c r="D49" i="1"/>
  <c r="D85" i="1" s="1"/>
  <c r="D50" i="1"/>
  <c r="D86" i="1" s="1"/>
  <c r="D56" i="1"/>
  <c r="D92" i="1" s="1"/>
  <c r="D57" i="1"/>
  <c r="D93" i="1" s="1"/>
  <c r="D58" i="1"/>
  <c r="D94" i="1" s="1"/>
  <c r="D45" i="1"/>
  <c r="D81" i="1" s="1"/>
  <c r="C46" i="1"/>
  <c r="C82" i="1" s="1"/>
  <c r="C47" i="1"/>
  <c r="C83" i="1" s="1"/>
  <c r="C48" i="1"/>
  <c r="C84" i="1" s="1"/>
  <c r="C49" i="1"/>
  <c r="C85" i="1" s="1"/>
  <c r="C50" i="1"/>
  <c r="C86" i="1" s="1"/>
  <c r="C56" i="1"/>
  <c r="C92" i="1" s="1"/>
  <c r="C57" i="1"/>
  <c r="C93" i="1" s="1"/>
  <c r="C58" i="1"/>
  <c r="C94" i="1" s="1"/>
  <c r="C45" i="1"/>
  <c r="C81" i="1" s="1"/>
  <c r="AR48" i="1"/>
  <c r="AS48" i="1" s="1"/>
  <c r="AR51" i="1"/>
  <c r="AS51" i="1" s="1"/>
  <c r="AM48" i="1"/>
  <c r="AM51" i="1"/>
  <c r="AH48" i="1"/>
  <c r="AI48" i="1" s="1"/>
  <c r="AH51" i="1"/>
  <c r="AI51" i="1" s="1"/>
  <c r="C104" i="1"/>
  <c r="B110" i="1"/>
  <c r="D110" i="1"/>
  <c r="C111" i="1"/>
  <c r="M62" i="1"/>
  <c r="M98" i="1" s="1"/>
  <c r="J62" i="1"/>
  <c r="J98" i="1" s="1"/>
  <c r="G62" i="1"/>
  <c r="G98" i="1" s="1"/>
  <c r="D62" i="1"/>
  <c r="D98" i="1" s="1"/>
  <c r="K58" i="1"/>
  <c r="K94" i="1" s="1"/>
  <c r="AC48" i="1"/>
  <c r="AC51" i="1"/>
  <c r="AD51" i="1" s="1"/>
  <c r="X48" i="1"/>
  <c r="Y48" i="1" s="1"/>
  <c r="X51" i="1"/>
  <c r="AD48" i="1"/>
  <c r="Y51" i="1"/>
  <c r="T48" i="1"/>
  <c r="E94" i="1"/>
  <c r="AR70" i="1"/>
  <c r="AS70" i="1" s="1"/>
  <c r="AR69" i="1"/>
  <c r="AS69" i="1" s="1"/>
  <c r="AR68" i="1"/>
  <c r="AS68" i="1" s="1"/>
  <c r="AR67" i="1"/>
  <c r="AS67" i="1" s="1"/>
  <c r="AR64" i="1"/>
  <c r="AS64" i="1" s="1"/>
  <c r="AR63" i="1"/>
  <c r="AS63" i="1" s="1"/>
  <c r="AR62" i="1"/>
  <c r="AS62" i="1" s="1"/>
  <c r="AR58" i="1"/>
  <c r="AS58" i="1" s="1"/>
  <c r="AR55" i="1"/>
  <c r="AS55" i="1" s="1"/>
  <c r="AR54" i="1"/>
  <c r="AS54" i="1" s="1"/>
  <c r="AR53" i="1"/>
  <c r="AS53" i="1" s="1"/>
  <c r="AR52" i="1"/>
  <c r="AS52" i="1" s="1"/>
  <c r="AR50" i="1"/>
  <c r="AS50" i="1" s="1"/>
  <c r="AR49" i="1"/>
  <c r="AS49" i="1" s="1"/>
  <c r="AM70" i="1"/>
  <c r="AN70" i="1" s="1"/>
  <c r="AM69" i="1"/>
  <c r="AN69" i="1" s="1"/>
  <c r="AM68" i="1"/>
  <c r="AN68" i="1" s="1"/>
  <c r="AM67" i="1"/>
  <c r="AN67" i="1" s="1"/>
  <c r="AM64" i="1"/>
  <c r="AN64" i="1" s="1"/>
  <c r="AM63" i="1"/>
  <c r="AN63" i="1" s="1"/>
  <c r="AM62" i="1"/>
  <c r="AN62" i="1" s="1"/>
  <c r="AM58" i="1"/>
  <c r="AN58" i="1" s="1"/>
  <c r="AM55" i="1"/>
  <c r="AN55" i="1" s="1"/>
  <c r="AM54" i="1"/>
  <c r="AN54" i="1" s="1"/>
  <c r="AM53" i="1"/>
  <c r="AN53" i="1" s="1"/>
  <c r="AM52" i="1"/>
  <c r="AN52" i="1" s="1"/>
  <c r="AN51" i="1"/>
  <c r="AM50" i="1"/>
  <c r="AN50" i="1" s="1"/>
  <c r="AM49" i="1"/>
  <c r="AN49" i="1" s="1"/>
  <c r="AN48" i="1"/>
  <c r="AH70" i="1"/>
  <c r="AI70" i="1" s="1"/>
  <c r="AH69" i="1"/>
  <c r="AI69" i="1" s="1"/>
  <c r="AH68" i="1"/>
  <c r="AI68" i="1" s="1"/>
  <c r="AH67" i="1"/>
  <c r="AI67" i="1" s="1"/>
  <c r="AH64" i="1"/>
  <c r="AI64" i="1" s="1"/>
  <c r="AH63" i="1"/>
  <c r="AI63" i="1" s="1"/>
  <c r="AH62" i="1"/>
  <c r="AI62" i="1" s="1"/>
  <c r="AH58" i="1"/>
  <c r="AI58" i="1" s="1"/>
  <c r="AH55" i="1"/>
  <c r="AI55" i="1" s="1"/>
  <c r="AH54" i="1"/>
  <c r="AI54" i="1" s="1"/>
  <c r="AH53" i="1"/>
  <c r="AI53" i="1" s="1"/>
  <c r="AH52" i="1"/>
  <c r="AI52" i="1" s="1"/>
  <c r="AH50" i="1"/>
  <c r="AI50" i="1" s="1"/>
  <c r="AH49" i="1"/>
  <c r="AI49" i="1" s="1"/>
  <c r="AC70" i="1"/>
  <c r="AD70" i="1" s="1"/>
  <c r="AC69" i="1"/>
  <c r="AD69" i="1" s="1"/>
  <c r="AC68" i="1"/>
  <c r="AD68" i="1" s="1"/>
  <c r="AC67" i="1"/>
  <c r="AD67" i="1" s="1"/>
  <c r="AC64" i="1"/>
  <c r="AD64" i="1" s="1"/>
  <c r="AC63" i="1"/>
  <c r="AD63" i="1" s="1"/>
  <c r="AC62" i="1"/>
  <c r="AD62" i="1" s="1"/>
  <c r="AC58" i="1"/>
  <c r="AD58" i="1" s="1"/>
  <c r="AC55" i="1"/>
  <c r="AD55" i="1" s="1"/>
  <c r="AC54" i="1"/>
  <c r="AD54" i="1" s="1"/>
  <c r="AC53" i="1"/>
  <c r="AD53" i="1" s="1"/>
  <c r="AC52" i="1"/>
  <c r="AD52" i="1" s="1"/>
  <c r="AC50" i="1"/>
  <c r="AD50" i="1" s="1"/>
  <c r="AC49" i="1"/>
  <c r="AD49" i="1" s="1"/>
  <c r="X70" i="1"/>
  <c r="Y70" i="1" s="1"/>
  <c r="X69" i="1"/>
  <c r="Y69" i="1" s="1"/>
  <c r="X68" i="1"/>
  <c r="Y68" i="1" s="1"/>
  <c r="X67" i="1"/>
  <c r="Y67" i="1" s="1"/>
  <c r="X64" i="1"/>
  <c r="Y64" i="1" s="1"/>
  <c r="X63" i="1"/>
  <c r="Y63" i="1" s="1"/>
  <c r="X57" i="1"/>
  <c r="Y57" i="1" s="1"/>
  <c r="X55" i="1"/>
  <c r="Y55" i="1" s="1"/>
  <c r="X54" i="1"/>
  <c r="Y54" i="1" s="1"/>
  <c r="X53" i="1"/>
  <c r="Y53" i="1" s="1"/>
  <c r="X52" i="1"/>
  <c r="Y52" i="1" s="1"/>
  <c r="X50" i="1"/>
  <c r="Y50" i="1" s="1"/>
  <c r="X49" i="1"/>
  <c r="Y49" i="1" s="1"/>
  <c r="T53" i="1"/>
  <c r="T55" i="1"/>
  <c r="S57" i="1"/>
  <c r="T57" i="1" s="1"/>
  <c r="S58" i="1"/>
  <c r="T58" i="1" s="1"/>
  <c r="S62" i="1"/>
  <c r="T62" i="1" s="1"/>
  <c r="S63" i="1"/>
  <c r="T63" i="1" s="1"/>
  <c r="S64" i="1"/>
  <c r="T64" i="1" s="1"/>
  <c r="S67" i="1"/>
  <c r="T67" i="1" s="1"/>
  <c r="S68" i="1"/>
  <c r="T68" i="1" s="1"/>
  <c r="S69" i="1"/>
  <c r="T69" i="1" s="1"/>
  <c r="S70" i="1"/>
  <c r="T70" i="1" s="1"/>
  <c r="AT52" i="1"/>
  <c r="AT53" i="1"/>
  <c r="AT54" i="1"/>
  <c r="AT55" i="1"/>
  <c r="AT58" i="1"/>
  <c r="AT62" i="1"/>
  <c r="AT63" i="1"/>
  <c r="AT64" i="1"/>
  <c r="AT67" i="1"/>
  <c r="AT68" i="1"/>
  <c r="AT69" i="1"/>
  <c r="AT70" i="1"/>
  <c r="AT50" i="1"/>
  <c r="AT49" i="1"/>
  <c r="F40" i="1"/>
  <c r="C62" i="1"/>
  <c r="I62" i="1" s="1"/>
  <c r="B62" i="1"/>
  <c r="E62" i="1" s="1"/>
  <c r="E98" i="1" s="1"/>
  <c r="C44" i="1"/>
  <c r="F44" i="1" s="1"/>
  <c r="F80" i="1" s="1"/>
  <c r="D44" i="1"/>
  <c r="D80" i="1" s="1"/>
  <c r="B44" i="1"/>
  <c r="B80" i="1" s="1"/>
  <c r="G44" i="1"/>
  <c r="G80" i="1" s="1"/>
  <c r="H44" i="1"/>
  <c r="K44" i="1" s="1"/>
  <c r="K80" i="1" s="1"/>
  <c r="I44" i="1"/>
  <c r="L44" i="1" s="1"/>
  <c r="L80" i="1" s="1"/>
  <c r="J44" i="1"/>
  <c r="M44" i="1" s="1"/>
  <c r="M80" i="1" s="1"/>
  <c r="J80" i="1"/>
  <c r="A74" i="1"/>
  <c r="A68" i="1"/>
  <c r="A67" i="1"/>
  <c r="A65" i="1"/>
  <c r="A64" i="1"/>
  <c r="A63" i="1"/>
  <c r="P26" i="1"/>
  <c r="P27" i="1"/>
  <c r="AF30" i="3"/>
  <c r="AD30" i="3"/>
  <c r="AE30" i="3" s="1"/>
  <c r="Y30" i="3"/>
  <c r="Z30" i="3" s="1"/>
  <c r="T30" i="3"/>
  <c r="U30" i="3" s="1"/>
  <c r="O30" i="3"/>
  <c r="P30" i="3" s="1"/>
  <c r="J30" i="3"/>
  <c r="K30" i="3" s="1"/>
  <c r="E30" i="3"/>
  <c r="F30" i="3" s="1"/>
  <c r="AF29" i="3"/>
  <c r="AD29" i="3"/>
  <c r="AE29" i="3" s="1"/>
  <c r="Y29" i="3"/>
  <c r="Z29" i="3" s="1"/>
  <c r="T29" i="3"/>
  <c r="U29" i="3" s="1"/>
  <c r="O29" i="3"/>
  <c r="P29" i="3" s="1"/>
  <c r="J29" i="3"/>
  <c r="K29" i="3" s="1"/>
  <c r="E29" i="3"/>
  <c r="F29" i="3" s="1"/>
  <c r="AF28" i="3"/>
  <c r="AD28" i="3"/>
  <c r="AE28" i="3" s="1"/>
  <c r="Y28" i="3"/>
  <c r="Z28" i="3" s="1"/>
  <c r="T28" i="3"/>
  <c r="U28" i="3" s="1"/>
  <c r="O28" i="3"/>
  <c r="P28" i="3" s="1"/>
  <c r="J28" i="3"/>
  <c r="K28" i="3" s="1"/>
  <c r="E28" i="3"/>
  <c r="F28" i="3" s="1"/>
  <c r="AF27" i="3"/>
  <c r="AD27" i="3"/>
  <c r="AE27" i="3" s="1"/>
  <c r="Y27" i="3"/>
  <c r="Z27" i="3" s="1"/>
  <c r="T27" i="3"/>
  <c r="U27" i="3" s="1"/>
  <c r="O27" i="3"/>
  <c r="P27" i="3" s="1"/>
  <c r="J27" i="3"/>
  <c r="K27" i="3" s="1"/>
  <c r="E27" i="3"/>
  <c r="F27" i="3" s="1"/>
  <c r="AF26" i="3"/>
  <c r="AD26" i="3"/>
  <c r="AE26" i="3" s="1"/>
  <c r="Y26" i="3"/>
  <c r="Z26" i="3" s="1"/>
  <c r="T26" i="3"/>
  <c r="U26" i="3" s="1"/>
  <c r="O26" i="3"/>
  <c r="P26" i="3" s="1"/>
  <c r="J26" i="3"/>
  <c r="K26" i="3" s="1"/>
  <c r="E26" i="3"/>
  <c r="F26" i="3" s="1"/>
  <c r="AF25" i="3"/>
  <c r="AD25" i="3"/>
  <c r="AE25" i="3" s="1"/>
  <c r="Y25" i="3"/>
  <c r="Z25" i="3" s="1"/>
  <c r="T25" i="3"/>
  <c r="U25" i="3" s="1"/>
  <c r="O25" i="3"/>
  <c r="P25" i="3" s="1"/>
  <c r="J25" i="3"/>
  <c r="K25" i="3" s="1"/>
  <c r="E25" i="3"/>
  <c r="F25" i="3" s="1"/>
  <c r="AF24" i="3"/>
  <c r="AD24" i="3"/>
  <c r="AE24" i="3" s="1"/>
  <c r="Q18" i="2" s="1"/>
  <c r="Y24" i="3"/>
  <c r="Z24" i="3" s="1"/>
  <c r="Q17" i="2" s="1"/>
  <c r="T24" i="3"/>
  <c r="U24" i="3" s="1"/>
  <c r="O24" i="3"/>
  <c r="P24" i="3" s="1"/>
  <c r="J24" i="3"/>
  <c r="K24" i="3" s="1"/>
  <c r="E24" i="3"/>
  <c r="F24" i="3" s="1"/>
  <c r="AF23" i="3"/>
  <c r="AD23" i="3"/>
  <c r="AE23" i="3" s="1"/>
  <c r="Y23" i="3"/>
  <c r="Z23" i="3" s="1"/>
  <c r="T23" i="3"/>
  <c r="U23" i="3" s="1"/>
  <c r="O23" i="3"/>
  <c r="P23" i="3" s="1"/>
  <c r="J23" i="3"/>
  <c r="K23" i="3" s="1"/>
  <c r="E23" i="3"/>
  <c r="F23" i="3" s="1"/>
  <c r="AF22" i="3"/>
  <c r="AD22" i="3"/>
  <c r="AE22" i="3" s="1"/>
  <c r="Y22" i="3"/>
  <c r="Z22" i="3" s="1"/>
  <c r="T22" i="3"/>
  <c r="U22" i="3" s="1"/>
  <c r="O22" i="3"/>
  <c r="P22" i="3" s="1"/>
  <c r="J22" i="3"/>
  <c r="K22" i="3" s="1"/>
  <c r="E22" i="3"/>
  <c r="F22" i="3" s="1"/>
  <c r="AF21" i="3"/>
  <c r="AD21" i="3"/>
  <c r="AE21" i="3" s="1"/>
  <c r="Y21" i="3"/>
  <c r="Z21" i="3" s="1"/>
  <c r="T21" i="3"/>
  <c r="U21" i="3" s="1"/>
  <c r="O21" i="3"/>
  <c r="P21" i="3" s="1"/>
  <c r="J21" i="3"/>
  <c r="K21" i="3" s="1"/>
  <c r="E21" i="3"/>
  <c r="F21" i="3" s="1"/>
  <c r="AF20" i="3"/>
  <c r="AD20" i="3"/>
  <c r="AE20" i="3" s="1"/>
  <c r="Y20" i="3"/>
  <c r="Z20" i="3" s="1"/>
  <c r="T20" i="3"/>
  <c r="U20" i="3" s="1"/>
  <c r="O20" i="3"/>
  <c r="P20" i="3" s="1"/>
  <c r="J20" i="3"/>
  <c r="K20" i="3" s="1"/>
  <c r="E20" i="3"/>
  <c r="F20" i="3" s="1"/>
  <c r="AF19" i="3"/>
  <c r="AD19" i="3"/>
  <c r="AE19" i="3" s="1"/>
  <c r="Y19" i="3"/>
  <c r="Z19" i="3" s="1"/>
  <c r="T19" i="3"/>
  <c r="U19" i="3" s="1"/>
  <c r="O19" i="3"/>
  <c r="P19" i="3" s="1"/>
  <c r="J19" i="3"/>
  <c r="K19" i="3" s="1"/>
  <c r="E19" i="3"/>
  <c r="F19" i="3" s="1"/>
  <c r="AF18" i="3"/>
  <c r="AD18" i="3"/>
  <c r="AE18" i="3" s="1"/>
  <c r="Y18" i="3"/>
  <c r="Z18" i="3" s="1"/>
  <c r="T18" i="3"/>
  <c r="U18" i="3" s="1"/>
  <c r="O18" i="3"/>
  <c r="P18" i="3" s="1"/>
  <c r="J18" i="3"/>
  <c r="K18" i="3" s="1"/>
  <c r="E18" i="3"/>
  <c r="F18" i="3" s="1"/>
  <c r="AF17" i="3"/>
  <c r="AD17" i="3"/>
  <c r="AE17" i="3" s="1"/>
  <c r="Y17" i="3"/>
  <c r="Z17" i="3" s="1"/>
  <c r="T17" i="3"/>
  <c r="U17" i="3" s="1"/>
  <c r="O17" i="3"/>
  <c r="P17" i="3" s="1"/>
  <c r="J17" i="3"/>
  <c r="K17" i="3" s="1"/>
  <c r="E17" i="3"/>
  <c r="F17" i="3" s="1"/>
  <c r="AF16" i="3"/>
  <c r="AD16" i="3"/>
  <c r="AE16" i="3" s="1"/>
  <c r="Y16" i="3"/>
  <c r="Z16" i="3" s="1"/>
  <c r="T16" i="3"/>
  <c r="U16" i="3" s="1"/>
  <c r="O16" i="3"/>
  <c r="P16" i="3" s="1"/>
  <c r="J16" i="3"/>
  <c r="K16" i="3" s="1"/>
  <c r="E16" i="3"/>
  <c r="F16" i="3" s="1"/>
  <c r="AF15" i="3"/>
  <c r="AD15" i="3"/>
  <c r="AE15" i="3" s="1"/>
  <c r="Y15" i="3"/>
  <c r="Z15" i="3" s="1"/>
  <c r="T15" i="3"/>
  <c r="U15" i="3" s="1"/>
  <c r="O15" i="3"/>
  <c r="P15" i="3" s="1"/>
  <c r="J15" i="3"/>
  <c r="K15" i="3" s="1"/>
  <c r="E15" i="3"/>
  <c r="F15" i="3" s="1"/>
  <c r="AF14" i="3"/>
  <c r="AD14" i="3"/>
  <c r="AE14" i="3" s="1"/>
  <c r="Y14" i="3"/>
  <c r="Z14" i="3" s="1"/>
  <c r="T14" i="3"/>
  <c r="U14" i="3" s="1"/>
  <c r="O14" i="3"/>
  <c r="P14" i="3" s="1"/>
  <c r="J14" i="3"/>
  <c r="K14" i="3" s="1"/>
  <c r="E14" i="3"/>
  <c r="F14" i="3" s="1"/>
  <c r="AF13" i="3"/>
  <c r="AD13" i="3"/>
  <c r="AE13" i="3" s="1"/>
  <c r="Y13" i="3"/>
  <c r="Z13" i="3" s="1"/>
  <c r="T13" i="3"/>
  <c r="U13" i="3" s="1"/>
  <c r="O13" i="3"/>
  <c r="P13" i="3" s="1"/>
  <c r="J13" i="3"/>
  <c r="K13" i="3" s="1"/>
  <c r="E13" i="3"/>
  <c r="F13" i="3" s="1"/>
  <c r="AF12" i="3"/>
  <c r="AD12" i="3"/>
  <c r="AE12" i="3" s="1"/>
  <c r="Y12" i="3"/>
  <c r="Z12" i="3" s="1"/>
  <c r="T12" i="3"/>
  <c r="U12" i="3" s="1"/>
  <c r="O12" i="3"/>
  <c r="P12" i="3" s="1"/>
  <c r="J12" i="3"/>
  <c r="K12" i="3" s="1"/>
  <c r="E12" i="3"/>
  <c r="F12" i="3" s="1"/>
  <c r="AF11" i="3"/>
  <c r="AD11" i="3"/>
  <c r="AE11" i="3" s="1"/>
  <c r="Y11" i="3"/>
  <c r="Z11" i="3" s="1"/>
  <c r="T11" i="3"/>
  <c r="U11" i="3" s="1"/>
  <c r="O11" i="3"/>
  <c r="P11" i="3" s="1"/>
  <c r="J11" i="3"/>
  <c r="K11" i="3" s="1"/>
  <c r="E11" i="3"/>
  <c r="F11" i="3" s="1"/>
  <c r="AF10" i="3"/>
  <c r="AD10" i="3"/>
  <c r="AE10" i="3" s="1"/>
  <c r="Y10" i="3"/>
  <c r="Z10" i="3" s="1"/>
  <c r="T10" i="3"/>
  <c r="U10" i="3" s="1"/>
  <c r="O10" i="3"/>
  <c r="P10" i="3" s="1"/>
  <c r="J10" i="3"/>
  <c r="K10" i="3" s="1"/>
  <c r="E10" i="3"/>
  <c r="F10" i="3" s="1"/>
  <c r="AF9" i="3"/>
  <c r="AD9" i="3"/>
  <c r="AE9" i="3" s="1"/>
  <c r="Y9" i="3"/>
  <c r="Z9" i="3" s="1"/>
  <c r="T9" i="3"/>
  <c r="U9" i="3" s="1"/>
  <c r="O9" i="3"/>
  <c r="P9" i="3" s="1"/>
  <c r="J9" i="3"/>
  <c r="K9" i="3" s="1"/>
  <c r="E9" i="3"/>
  <c r="F9" i="3" s="1"/>
  <c r="AF8" i="3"/>
  <c r="AD8" i="3"/>
  <c r="AE8" i="3" s="1"/>
  <c r="Y8" i="3"/>
  <c r="Z8" i="3" s="1"/>
  <c r="T8" i="3"/>
  <c r="U8" i="3" s="1"/>
  <c r="O8" i="3"/>
  <c r="P8" i="3" s="1"/>
  <c r="J8" i="3"/>
  <c r="K8" i="3" s="1"/>
  <c r="E8" i="3"/>
  <c r="F8" i="3" s="1"/>
  <c r="AF7" i="3"/>
  <c r="AD7" i="3"/>
  <c r="AE7" i="3" s="1"/>
  <c r="Y7" i="3"/>
  <c r="Z7" i="3" s="1"/>
  <c r="T7" i="3"/>
  <c r="U7" i="3" s="1"/>
  <c r="O7" i="3"/>
  <c r="P7" i="3" s="1"/>
  <c r="J7" i="3"/>
  <c r="K7" i="3" s="1"/>
  <c r="E7" i="3"/>
  <c r="F7" i="3" s="1"/>
  <c r="AF6" i="3"/>
  <c r="AD6" i="3"/>
  <c r="AE6" i="3" s="1"/>
  <c r="Y6" i="3"/>
  <c r="Z6" i="3" s="1"/>
  <c r="T6" i="3"/>
  <c r="U6" i="3" s="1"/>
  <c r="O6" i="3"/>
  <c r="P6" i="3" s="1"/>
  <c r="J6" i="3"/>
  <c r="K6" i="3" s="1"/>
  <c r="E6" i="3"/>
  <c r="F6" i="3" s="1"/>
  <c r="AF5" i="3"/>
  <c r="AD5" i="3"/>
  <c r="AE5" i="3" s="1"/>
  <c r="Y5" i="3"/>
  <c r="Z5" i="3" s="1"/>
  <c r="T5" i="3"/>
  <c r="U5" i="3" s="1"/>
  <c r="O5" i="3"/>
  <c r="P5" i="3" s="1"/>
  <c r="J5" i="3"/>
  <c r="K5" i="3" s="1"/>
  <c r="E5" i="3"/>
  <c r="F5" i="3" s="1"/>
  <c r="H16" i="2"/>
  <c r="L30" i="2"/>
  <c r="M30" i="2" s="1"/>
  <c r="L33" i="2"/>
  <c r="Q33" i="2" s="1"/>
  <c r="O17" i="2"/>
  <c r="N17" i="2"/>
  <c r="Q16" i="2"/>
  <c r="O16" i="2"/>
  <c r="N16" i="2"/>
  <c r="Q15" i="2"/>
  <c r="O15" i="2"/>
  <c r="N15" i="2"/>
  <c r="Q14" i="2"/>
  <c r="O14" i="2"/>
  <c r="N14" i="2"/>
  <c r="Q13" i="2"/>
  <c r="P13" i="2"/>
  <c r="O13" i="2"/>
  <c r="N13" i="2"/>
  <c r="O18" i="2"/>
  <c r="N18" i="2"/>
  <c r="M18" i="2"/>
  <c r="M17" i="2"/>
  <c r="M16" i="2"/>
  <c r="M15" i="2"/>
  <c r="M14" i="2"/>
  <c r="M13" i="2"/>
  <c r="L73" i="1"/>
  <c r="L109" i="1" s="1"/>
  <c r="P16" i="2" l="1"/>
  <c r="A93" i="1"/>
  <c r="A111" i="1" s="1"/>
  <c r="A94" i="1"/>
  <c r="A112" i="1" s="1"/>
  <c r="P14" i="2"/>
  <c r="P17" i="2"/>
  <c r="E44" i="1"/>
  <c r="E80" i="1" s="1"/>
  <c r="P18" i="2"/>
  <c r="P15" i="2"/>
  <c r="C80" i="1"/>
  <c r="I80" i="1"/>
  <c r="B98" i="1"/>
  <c r="M73" i="1"/>
  <c r="M109" i="1" s="1"/>
  <c r="P33" i="2"/>
  <c r="G29" i="2"/>
  <c r="H29" i="2"/>
  <c r="Q30" i="2"/>
  <c r="D28" i="2"/>
  <c r="F28" i="2" s="1"/>
  <c r="L29" i="2" s="1"/>
  <c r="D24" i="2"/>
  <c r="F24" i="2" s="1"/>
  <c r="L25" i="2" s="1"/>
  <c r="Q25" i="2" s="1"/>
  <c r="D27" i="2"/>
  <c r="F27" i="2" s="1"/>
  <c r="L28" i="2" s="1"/>
  <c r="P28" i="2" s="1"/>
  <c r="D23" i="2"/>
  <c r="F23" i="2" s="1"/>
  <c r="L24" i="2" s="1"/>
  <c r="Q24" i="2" s="1"/>
  <c r="D26" i="2"/>
  <c r="F26" i="2" s="1"/>
  <c r="L27" i="2" s="1"/>
  <c r="Q27" i="2" s="1"/>
  <c r="D22" i="2"/>
  <c r="F22" i="2" s="1"/>
  <c r="L23" i="2" s="1"/>
  <c r="O23" i="2" s="1"/>
  <c r="D25" i="2"/>
  <c r="F25" i="2" s="1"/>
  <c r="L26" i="2" s="1"/>
  <c r="P26" i="2" s="1"/>
  <c r="D21" i="2"/>
  <c r="F21" i="2" s="1"/>
  <c r="L22" i="2" s="1"/>
  <c r="R22" i="2" s="1"/>
  <c r="M33" i="2"/>
  <c r="F62" i="1"/>
  <c r="F98" i="1" s="1"/>
  <c r="N30" i="2"/>
  <c r="K71" i="1"/>
  <c r="K107" i="1" s="1"/>
  <c r="M76" i="1"/>
  <c r="M112" i="1" s="1"/>
  <c r="K52" i="1"/>
  <c r="K88" i="1" s="1"/>
  <c r="L55" i="1"/>
  <c r="L91" i="1" s="1"/>
  <c r="L70" i="1"/>
  <c r="L106" i="1" s="1"/>
  <c r="N26" i="1"/>
  <c r="H45" i="1" s="1"/>
  <c r="H81" i="1" s="1"/>
  <c r="M26" i="1"/>
  <c r="E45" i="1" s="1"/>
  <c r="N28" i="1"/>
  <c r="J47" i="1" s="1"/>
  <c r="J83" i="1" s="1"/>
  <c r="N29" i="1"/>
  <c r="H48" i="1" s="1"/>
  <c r="K48" i="1" s="1"/>
  <c r="M28" i="1"/>
  <c r="E65" i="1" s="1"/>
  <c r="F69" i="1"/>
  <c r="F105" i="1" s="1"/>
  <c r="G69" i="1"/>
  <c r="G105" i="1" s="1"/>
  <c r="E51" i="1"/>
  <c r="E87" i="1" s="1"/>
  <c r="F51" i="1"/>
  <c r="F87" i="1" s="1"/>
  <c r="E69" i="1"/>
  <c r="E105" i="1" s="1"/>
  <c r="G51" i="1"/>
  <c r="G87" i="1" s="1"/>
  <c r="E50" i="1"/>
  <c r="G68" i="1"/>
  <c r="G104" i="1" s="1"/>
  <c r="F50" i="1"/>
  <c r="F86" i="1" s="1"/>
  <c r="E49" i="1"/>
  <c r="K49" i="1" s="1"/>
  <c r="K85" i="1" s="1"/>
  <c r="G67" i="1"/>
  <c r="G103" i="1" s="1"/>
  <c r="G49" i="1"/>
  <c r="G85" i="1" s="1"/>
  <c r="F49" i="1"/>
  <c r="F85" i="1" s="1"/>
  <c r="F67" i="1"/>
  <c r="F48" i="1"/>
  <c r="F84" i="1" s="1"/>
  <c r="G48" i="1"/>
  <c r="G84" i="1" s="1"/>
  <c r="E66" i="1"/>
  <c r="E102" i="1" s="1"/>
  <c r="G66" i="1"/>
  <c r="F66" i="1"/>
  <c r="M27" i="1"/>
  <c r="E46" i="1" s="1"/>
  <c r="F68" i="1"/>
  <c r="F104" i="1" s="1"/>
  <c r="E68" i="1"/>
  <c r="E104" i="1" s="1"/>
  <c r="G50" i="1"/>
  <c r="E67" i="1"/>
  <c r="E103" i="1" s="1"/>
  <c r="G65" i="1"/>
  <c r="G101" i="1" s="1"/>
  <c r="I49" i="1"/>
  <c r="I85" i="1" s="1"/>
  <c r="O32" i="1"/>
  <c r="J51" i="1"/>
  <c r="J87" i="1" s="1"/>
  <c r="I51" i="1"/>
  <c r="I87" i="1" s="1"/>
  <c r="J69" i="1"/>
  <c r="J105" i="1" s="1"/>
  <c r="I69" i="1"/>
  <c r="I105" i="1" s="1"/>
  <c r="H69" i="1"/>
  <c r="H105" i="1" s="1"/>
  <c r="E86" i="1"/>
  <c r="H50" i="1"/>
  <c r="H86" i="1" s="1"/>
  <c r="J68" i="1"/>
  <c r="J104" i="1" s="1"/>
  <c r="N27" i="1"/>
  <c r="E63" i="1"/>
  <c r="K63" i="1" s="1"/>
  <c r="K99" i="1" s="1"/>
  <c r="F93" i="1"/>
  <c r="M58" i="1"/>
  <c r="M94" i="1" s="1"/>
  <c r="I70" i="1"/>
  <c r="I106" i="1" s="1"/>
  <c r="L71" i="1"/>
  <c r="L107" i="1" s="1"/>
  <c r="F110" i="1"/>
  <c r="O29" i="1"/>
  <c r="M74" i="1"/>
  <c r="M110" i="1" s="1"/>
  <c r="I45" i="1"/>
  <c r="I81" i="1" s="1"/>
  <c r="J45" i="1"/>
  <c r="J81" i="1" s="1"/>
  <c r="H75" i="1"/>
  <c r="H111" i="1" s="1"/>
  <c r="I67" i="1"/>
  <c r="I103" i="1" s="1"/>
  <c r="O33" i="1"/>
  <c r="H71" i="1"/>
  <c r="H107" i="1" s="1"/>
  <c r="M51" i="1"/>
  <c r="M87" i="1" s="1"/>
  <c r="M72" i="1"/>
  <c r="M108" i="1" s="1"/>
  <c r="O38" i="1"/>
  <c r="G111" i="1"/>
  <c r="O28" i="1"/>
  <c r="I50" i="1"/>
  <c r="I86" i="1" s="1"/>
  <c r="J49" i="1"/>
  <c r="J85" i="1" s="1"/>
  <c r="H66" i="1"/>
  <c r="H102" i="1" s="1"/>
  <c r="J53" i="1"/>
  <c r="J89" i="1" s="1"/>
  <c r="O37" i="1"/>
  <c r="G93" i="1"/>
  <c r="E112" i="1"/>
  <c r="I74" i="1"/>
  <c r="I110" i="1" s="1"/>
  <c r="J66" i="1"/>
  <c r="J102" i="1" s="1"/>
  <c r="J52" i="1"/>
  <c r="J88" i="1" s="1"/>
  <c r="K51" i="1"/>
  <c r="K87" i="1" s="1"/>
  <c r="H70" i="1"/>
  <c r="H106" i="1" s="1"/>
  <c r="K70" i="1"/>
  <c r="K106" i="1" s="1"/>
  <c r="L51" i="1"/>
  <c r="L87" i="1" s="1"/>
  <c r="E92" i="1"/>
  <c r="I57" i="1"/>
  <c r="I93" i="1" s="1"/>
  <c r="J57" i="1"/>
  <c r="J93" i="1" s="1"/>
  <c r="H74" i="1"/>
  <c r="H110" i="1" s="1"/>
  <c r="J75" i="1"/>
  <c r="J111" i="1" s="1"/>
  <c r="I66" i="1"/>
  <c r="I102" i="1" s="1"/>
  <c r="O34" i="1"/>
  <c r="I53" i="1"/>
  <c r="I89" i="1" s="1"/>
  <c r="I52" i="1"/>
  <c r="I88" i="1" s="1"/>
  <c r="J71" i="1"/>
  <c r="J107" i="1" s="1"/>
  <c r="G91" i="1"/>
  <c r="M70" i="1"/>
  <c r="M106" i="1" s="1"/>
  <c r="K72" i="1"/>
  <c r="K108" i="1" s="1"/>
  <c r="O39" i="1"/>
  <c r="F92" i="1"/>
  <c r="F94" i="1"/>
  <c r="O26" i="1"/>
  <c r="O30" i="1"/>
  <c r="K74" i="1"/>
  <c r="K110" i="1" s="1"/>
  <c r="I56" i="1"/>
  <c r="I92" i="1" s="1"/>
  <c r="I47" i="1"/>
  <c r="I83" i="1" s="1"/>
  <c r="J56" i="1"/>
  <c r="J92" i="1" s="1"/>
  <c r="H67" i="1"/>
  <c r="H103" i="1" s="1"/>
  <c r="I63" i="1"/>
  <c r="I99" i="1" s="1"/>
  <c r="I75" i="1"/>
  <c r="I111" i="1" s="1"/>
  <c r="J67" i="1"/>
  <c r="J103" i="1" s="1"/>
  <c r="H72" i="1"/>
  <c r="H108" i="1" s="1"/>
  <c r="I71" i="1"/>
  <c r="I107" i="1" s="1"/>
  <c r="J70" i="1"/>
  <c r="J106" i="1" s="1"/>
  <c r="F89" i="1"/>
  <c r="L72" i="1"/>
  <c r="L108" i="1" s="1"/>
  <c r="M54" i="1"/>
  <c r="M90" i="1" s="1"/>
  <c r="F103" i="1"/>
  <c r="E111" i="1"/>
  <c r="F112" i="1"/>
  <c r="K55" i="1"/>
  <c r="K91" i="1" s="1"/>
  <c r="M53" i="1"/>
  <c r="M89" i="1" s="1"/>
  <c r="M71" i="1"/>
  <c r="M107" i="1" s="1"/>
  <c r="M52" i="1"/>
  <c r="M88" i="1" s="1"/>
  <c r="F111" i="1"/>
  <c r="H62" i="1"/>
  <c r="H98" i="1" s="1"/>
  <c r="C98" i="1"/>
  <c r="I98" i="1"/>
  <c r="L62" i="1"/>
  <c r="L98" i="1" s="1"/>
  <c r="N58" i="1"/>
  <c r="N94" i="1" s="1"/>
  <c r="H94" i="1"/>
  <c r="L54" i="1"/>
  <c r="L90" i="1" s="1"/>
  <c r="G92" i="1"/>
  <c r="I58" i="1"/>
  <c r="I94" i="1" s="1"/>
  <c r="J50" i="1"/>
  <c r="J86" i="1" s="1"/>
  <c r="J76" i="1"/>
  <c r="J112" i="1" s="1"/>
  <c r="I68" i="1"/>
  <c r="I104" i="1" s="1"/>
  <c r="O35" i="1"/>
  <c r="A73" i="1"/>
  <c r="A69" i="1"/>
  <c r="J54" i="1"/>
  <c r="J90" i="1" s="1"/>
  <c r="K53" i="1"/>
  <c r="K89" i="1" s="1"/>
  <c r="J72" i="1"/>
  <c r="J108" i="1" s="1"/>
  <c r="L52" i="1"/>
  <c r="L88" i="1" s="1"/>
  <c r="E84" i="1"/>
  <c r="E93" i="1"/>
  <c r="O31" i="1"/>
  <c r="J58" i="1"/>
  <c r="J94" i="1" s="1"/>
  <c r="H68" i="1"/>
  <c r="H104" i="1" s="1"/>
  <c r="I76" i="1"/>
  <c r="I112" i="1" s="1"/>
  <c r="I54" i="1"/>
  <c r="I90" i="1" s="1"/>
  <c r="K73" i="1"/>
  <c r="K109" i="1" s="1"/>
  <c r="A66" i="1"/>
  <c r="H76" i="1"/>
  <c r="H112" i="1" s="1"/>
  <c r="I72" i="1"/>
  <c r="I108" i="1" s="1"/>
  <c r="N33" i="2"/>
  <c r="O33" i="2"/>
  <c r="R33" i="2"/>
  <c r="H80" i="1"/>
  <c r="R30" i="2"/>
  <c r="O30" i="2"/>
  <c r="P30" i="2"/>
  <c r="M28" i="2"/>
  <c r="G27" i="2" s="1"/>
  <c r="P29" i="2"/>
  <c r="R29" i="2"/>
  <c r="O29" i="2"/>
  <c r="Q29" i="2"/>
  <c r="N29" i="2"/>
  <c r="M29" i="2"/>
  <c r="G28" i="2" s="1"/>
  <c r="K69" i="1"/>
  <c r="K105" i="1" s="1"/>
  <c r="H93" i="1"/>
  <c r="N57" i="1"/>
  <c r="N93" i="1" s="1"/>
  <c r="H92" i="1"/>
  <c r="N56" i="1"/>
  <c r="N92" i="1" s="1"/>
  <c r="H91" i="1"/>
  <c r="N55" i="1"/>
  <c r="N91" i="1" s="1"/>
  <c r="N54" i="1"/>
  <c r="N90" i="1" s="1"/>
  <c r="H90" i="1"/>
  <c r="H89" i="1"/>
  <c r="N53" i="1"/>
  <c r="N89" i="1" s="1"/>
  <c r="N52" i="1"/>
  <c r="N88" i="1" s="1"/>
  <c r="H88" i="1"/>
  <c r="H87" i="1"/>
  <c r="N51" i="1"/>
  <c r="N87" i="1" s="1"/>
  <c r="H85" i="1"/>
  <c r="N49" i="1"/>
  <c r="N85" i="1" s="1"/>
  <c r="H84" i="1"/>
  <c r="N28" i="2" l="1"/>
  <c r="R28" i="2"/>
  <c r="Q22" i="2"/>
  <c r="Q28" i="2"/>
  <c r="O28" i="2"/>
  <c r="P22" i="2"/>
  <c r="N22" i="2"/>
  <c r="O22" i="2"/>
  <c r="M22" i="2"/>
  <c r="G21" i="2" s="1"/>
  <c r="J48" i="1"/>
  <c r="J84" i="1" s="1"/>
  <c r="K62" i="1"/>
  <c r="K98" i="1" s="1"/>
  <c r="I48" i="1"/>
  <c r="I84" i="1" s="1"/>
  <c r="E85" i="1"/>
  <c r="I65" i="1"/>
  <c r="I101" i="1" s="1"/>
  <c r="J63" i="1"/>
  <c r="J99" i="1" s="1"/>
  <c r="O26" i="2"/>
  <c r="O27" i="2"/>
  <c r="M26" i="2"/>
  <c r="G25" i="2" s="1"/>
  <c r="R26" i="2"/>
  <c r="N27" i="2"/>
  <c r="P27" i="2"/>
  <c r="Q26" i="2"/>
  <c r="M27" i="2"/>
  <c r="G26" i="2" s="1"/>
  <c r="N26" i="2"/>
  <c r="R27" i="2"/>
  <c r="M25" i="2"/>
  <c r="G24" i="2" s="1"/>
  <c r="R25" i="2"/>
  <c r="N25" i="2"/>
  <c r="P25" i="2"/>
  <c r="O25" i="2"/>
  <c r="M24" i="2"/>
  <c r="G23" i="2" s="1"/>
  <c r="R24" i="2"/>
  <c r="O24" i="2"/>
  <c r="N24" i="2"/>
  <c r="M23" i="2"/>
  <c r="G22" i="2" s="1"/>
  <c r="Q23" i="2"/>
  <c r="P23" i="2"/>
  <c r="R23" i="2"/>
  <c r="N23" i="2"/>
  <c r="P24" i="2"/>
  <c r="J65" i="1"/>
  <c r="J101" i="1" s="1"/>
  <c r="H63" i="1"/>
  <c r="H99" i="1" s="1"/>
  <c r="F63" i="1"/>
  <c r="F99" i="1" s="1"/>
  <c r="E64" i="1"/>
  <c r="E100" i="1" s="1"/>
  <c r="G47" i="1"/>
  <c r="F45" i="1"/>
  <c r="L45" i="1" s="1"/>
  <c r="L81" i="1" s="1"/>
  <c r="G45" i="1"/>
  <c r="G63" i="1"/>
  <c r="M63" i="1" s="1"/>
  <c r="M99" i="1" s="1"/>
  <c r="F47" i="1"/>
  <c r="M69" i="1"/>
  <c r="M105" i="1" s="1"/>
  <c r="H47" i="1"/>
  <c r="H83" i="1" s="1"/>
  <c r="H65" i="1"/>
  <c r="H101" i="1" s="1"/>
  <c r="K84" i="1"/>
  <c r="N48" i="1"/>
  <c r="N84" i="1" s="1"/>
  <c r="K68" i="1"/>
  <c r="K104" i="1" s="1"/>
  <c r="K67" i="1"/>
  <c r="K103" i="1" s="1"/>
  <c r="M47" i="1"/>
  <c r="M83" i="1" s="1"/>
  <c r="L67" i="1"/>
  <c r="L103" i="1" s="1"/>
  <c r="L48" i="1"/>
  <c r="L84" i="1" s="1"/>
  <c r="L47" i="1"/>
  <c r="L83" i="1" s="1"/>
  <c r="L68" i="1"/>
  <c r="L104" i="1" s="1"/>
  <c r="K66" i="1"/>
  <c r="K102" i="1" s="1"/>
  <c r="L50" i="1"/>
  <c r="L86" i="1" s="1"/>
  <c r="L69" i="1"/>
  <c r="L105" i="1" s="1"/>
  <c r="K50" i="1"/>
  <c r="M67" i="1"/>
  <c r="M103" i="1" s="1"/>
  <c r="M48" i="1"/>
  <c r="M84" i="1" s="1"/>
  <c r="M68" i="1"/>
  <c r="M104" i="1" s="1"/>
  <c r="E47" i="1"/>
  <c r="F65" i="1"/>
  <c r="L49" i="1"/>
  <c r="L85" i="1" s="1"/>
  <c r="M49" i="1"/>
  <c r="M85" i="1" s="1"/>
  <c r="M66" i="1"/>
  <c r="M102" i="1" s="1"/>
  <c r="G102" i="1"/>
  <c r="F102" i="1"/>
  <c r="L66" i="1"/>
  <c r="L102" i="1" s="1"/>
  <c r="F83" i="1"/>
  <c r="G83" i="1"/>
  <c r="F64" i="1"/>
  <c r="F46" i="1"/>
  <c r="G64" i="1"/>
  <c r="G46" i="1"/>
  <c r="G82" i="1" s="1"/>
  <c r="G86" i="1"/>
  <c r="M50" i="1"/>
  <c r="M86" i="1" s="1"/>
  <c r="E101" i="1"/>
  <c r="E82" i="1"/>
  <c r="M65" i="1"/>
  <c r="M101" i="1" s="1"/>
  <c r="H46" i="1"/>
  <c r="K46" i="1" s="1"/>
  <c r="K82" i="1" s="1"/>
  <c r="J64" i="1"/>
  <c r="J100" i="1" s="1"/>
  <c r="H64" i="1"/>
  <c r="H100" i="1" s="1"/>
  <c r="I46" i="1"/>
  <c r="I82" i="1" s="1"/>
  <c r="O27" i="1"/>
  <c r="I64" i="1"/>
  <c r="I100" i="1" s="1"/>
  <c r="J46" i="1"/>
  <c r="J82" i="1" s="1"/>
  <c r="E99" i="1"/>
  <c r="E81" i="1"/>
  <c r="K45" i="1"/>
  <c r="K81" i="1" s="1"/>
  <c r="M45" i="1"/>
  <c r="M81" i="1" s="1"/>
  <c r="G81" i="1"/>
  <c r="H28" i="2"/>
  <c r="H26" i="2"/>
  <c r="H27" i="2"/>
  <c r="H22" i="2" l="1"/>
  <c r="H23" i="2"/>
  <c r="H24" i="2"/>
  <c r="H21" i="2"/>
  <c r="L63" i="1"/>
  <c r="L99" i="1" s="1"/>
  <c r="H25" i="2"/>
  <c r="G99" i="1"/>
  <c r="F81" i="1"/>
  <c r="K65" i="1"/>
  <c r="K101" i="1" s="1"/>
  <c r="K64" i="1"/>
  <c r="K100" i="1" s="1"/>
  <c r="F101" i="1"/>
  <c r="L65" i="1"/>
  <c r="L101" i="1" s="1"/>
  <c r="E83" i="1"/>
  <c r="K47" i="1"/>
  <c r="K83" i="1" s="1"/>
  <c r="K86" i="1"/>
  <c r="N50" i="1"/>
  <c r="N86" i="1" s="1"/>
  <c r="M46" i="1"/>
  <c r="M82" i="1" s="1"/>
  <c r="M64" i="1"/>
  <c r="M100" i="1" s="1"/>
  <c r="G100" i="1"/>
  <c r="F82" i="1"/>
  <c r="L46" i="1"/>
  <c r="L82" i="1" s="1"/>
  <c r="F100" i="1"/>
  <c r="L64" i="1"/>
  <c r="L100" i="1" s="1"/>
  <c r="N45" i="1"/>
  <c r="N81" i="1" s="1"/>
  <c r="H82" i="1"/>
  <c r="N46" i="1"/>
  <c r="N82" i="1" s="1"/>
  <c r="N47" i="1" l="1"/>
  <c r="N8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Eugene Mah</author>
  </authors>
  <commentList>
    <comment ref="K2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Eugene Mah:</t>
        </r>
        <r>
          <rPr>
            <sz val="8"/>
            <color indexed="81"/>
            <rFont val="Tahoma"/>
            <family val="2"/>
          </rPr>
          <t xml:space="preserve">
Dose limits per NCRP 116 recommendations.</t>
        </r>
      </text>
    </comment>
    <comment ref="F25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Eugene Mah:</t>
        </r>
        <r>
          <rPr>
            <sz val="8"/>
            <color indexed="81"/>
            <rFont val="Tahoma"/>
            <family val="2"/>
          </rPr>
          <t xml:space="preserve">
Barrier use factor.  Leave blank for secondary barriers.</t>
        </r>
      </text>
    </comment>
    <comment ref="G25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Eugene Mah:</t>
        </r>
        <r>
          <rPr>
            <sz val="8"/>
            <color indexed="81"/>
            <rFont val="Tahoma"/>
            <family val="2"/>
          </rPr>
          <t xml:space="preserve">
Occupancy factor</t>
        </r>
      </text>
    </comment>
    <comment ref="H25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Eugene Mah:</t>
        </r>
        <r>
          <rPr>
            <sz val="8"/>
            <color indexed="81"/>
            <rFont val="Tahoma"/>
            <family val="2"/>
          </rPr>
          <t xml:space="preserve">
Type of area
U - Uncontrolled
C - Controlled
C assumed if blank</t>
        </r>
      </text>
    </comment>
    <comment ref="K43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Eugene Mah:</t>
        </r>
        <r>
          <rPr>
            <sz val="8"/>
            <color indexed="81"/>
            <rFont val="Tahoma"/>
            <family val="2"/>
          </rPr>
          <t xml:space="preserve">
Max of either scatter or leakage.  If Scatter-Leakage is less than 1 TVL, then an additional HVL is added to the min required thickness.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1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>Leakage + side scatter</t>
        </r>
      </text>
    </comment>
    <comment ref="F2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 xml:space="preserve">Eugene Mah:
</t>
        </r>
        <r>
          <rPr>
            <sz val="9"/>
            <color rgb="FF000000"/>
            <rFont val="Tahoma"/>
            <family val="2"/>
            <charset val="1"/>
          </rPr>
          <t>Leakage + forward/back scatter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Eugene Mah</author>
  </authors>
  <commentList>
    <comment ref="Q18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Eugene Mah:</t>
        </r>
        <r>
          <rPr>
            <sz val="9"/>
            <color indexed="81"/>
            <rFont val="Tahoma"/>
            <family val="2"/>
          </rPr>
          <t xml:space="preserve">
Fit parameters from Fig A.2 NCRP 147.
Linear interpolation is used to obtain fit parameters for 130 kVp</t>
        </r>
      </text>
    </comment>
    <comment ref="Q2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Eugene Mah:</t>
        </r>
        <r>
          <rPr>
            <sz val="9"/>
            <color indexed="81"/>
            <rFont val="Tahoma"/>
            <family val="2"/>
          </rPr>
          <t xml:space="preserve">
Fit parameters for selected kV (C23)</t>
        </r>
      </text>
    </comment>
    <comment ref="J27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Eugene Mah:</t>
        </r>
        <r>
          <rPr>
            <sz val="9"/>
            <color indexed="81"/>
            <rFont val="Tahoma"/>
            <family val="2"/>
          </rPr>
          <t xml:space="preserve">
Inverse square correction from isocontour distance to barrier distance</t>
        </r>
      </text>
    </comment>
    <comment ref="K27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Eugene Mah:</t>
        </r>
        <r>
          <rPr>
            <sz val="9"/>
            <color indexed="81"/>
            <rFont val="Tahoma"/>
            <family val="2"/>
          </rPr>
          <t xml:space="preserve">
Isocontour exposure at barrier distance (mGy/mAs)</t>
        </r>
      </text>
    </comment>
    <comment ref="C28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Eugene Mah:</t>
        </r>
        <r>
          <rPr>
            <sz val="9"/>
            <color indexed="81"/>
            <rFont val="Tahoma"/>
            <family val="2"/>
          </rPr>
          <t xml:space="preserve">
Type of area
U - Uncontrolled
C - Controlled
C assumed if blank</t>
        </r>
      </text>
    </comment>
    <comment ref="L28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Eugene Mah:</t>
        </r>
        <r>
          <rPr>
            <sz val="9"/>
            <color indexed="81"/>
            <rFont val="Tahoma"/>
            <family val="2"/>
          </rPr>
          <t xml:space="preserve">
Annual isocontour exposure at barrier</t>
        </r>
      </text>
    </comment>
    <comment ref="M28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Eugene Mah:</t>
        </r>
        <r>
          <rPr>
            <sz val="9"/>
            <color indexed="81"/>
            <rFont val="Tahoma"/>
            <family val="2"/>
          </rPr>
          <t xml:space="preserve">
Barrier transmission factor (B) required to reduce barrier exposure to design limit.</t>
        </r>
      </text>
    </comment>
    <comment ref="O28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Eugene Mah:</t>
        </r>
        <r>
          <rPr>
            <sz val="9"/>
            <color indexed="81"/>
            <rFont val="Tahoma"/>
            <family val="2"/>
          </rPr>
          <t xml:space="preserve">
Barrier thickness from Eq A2, NCRP 147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Eugene Mah</author>
  </authors>
  <commentList>
    <comment ref="L11" authorId="0" shapeId="0" xr:uid="{00000000-0006-0000-0300-000001000000}">
      <text>
        <r>
          <rPr>
            <sz val="12"/>
            <color indexed="81"/>
            <rFont val="Tahoma"/>
            <family val="2"/>
          </rPr>
          <t>Fit parameters are for barrier thickness equation from Ref 8
x = ln((B^-</t>
        </r>
        <r>
          <rPr>
            <sz val="12"/>
            <color indexed="81"/>
            <rFont val="Symbol"/>
            <family val="1"/>
            <charset val="2"/>
          </rPr>
          <t>g</t>
        </r>
        <r>
          <rPr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Symbol"/>
            <family val="1"/>
            <charset val="2"/>
          </rPr>
          <t>b</t>
        </r>
        <r>
          <rPr>
            <sz val="12"/>
            <color indexed="81"/>
            <rFont val="Tahoma"/>
            <family val="2"/>
          </rPr>
          <t>/</t>
        </r>
        <r>
          <rPr>
            <sz val="12"/>
            <color indexed="81"/>
            <rFont val="Symbol"/>
            <family val="1"/>
            <charset val="2"/>
          </rPr>
          <t>a</t>
        </r>
        <r>
          <rPr>
            <sz val="12"/>
            <color indexed="81"/>
            <rFont val="Tahoma"/>
            <family val="2"/>
          </rPr>
          <t>)/(1+</t>
        </r>
        <r>
          <rPr>
            <sz val="12"/>
            <color indexed="81"/>
            <rFont val="Symbol"/>
            <family val="1"/>
            <charset val="2"/>
          </rPr>
          <t>b</t>
        </r>
        <r>
          <rPr>
            <sz val="12"/>
            <color indexed="81"/>
            <rFont val="Tahoma"/>
            <family val="2"/>
          </rPr>
          <t>/</t>
        </r>
        <r>
          <rPr>
            <sz val="12"/>
            <color indexed="81"/>
            <rFont val="Symbol"/>
            <family val="1"/>
            <charset val="2"/>
          </rPr>
          <t>a</t>
        </r>
        <r>
          <rPr>
            <sz val="12"/>
            <color indexed="81"/>
            <rFont val="Tahoma"/>
            <family val="2"/>
          </rPr>
          <t>))/</t>
        </r>
        <r>
          <rPr>
            <sz val="12"/>
            <color indexed="81"/>
            <rFont val="Symbol"/>
            <family val="1"/>
            <charset val="2"/>
          </rPr>
          <t>ag</t>
        </r>
      </text>
    </comment>
    <comment ref="F14" authorId="0" shapeId="0" xr:uid="{00000000-0006-0000-0300-000002000000}">
      <text>
        <r>
          <rPr>
            <sz val="8"/>
            <color indexed="81"/>
            <rFont val="Tahoma"/>
            <family val="2"/>
          </rPr>
          <t>Source to detector distance for reference exposure</t>
        </r>
      </text>
    </comment>
    <comment ref="G14" authorId="0" shapeId="0" xr:uid="{00000000-0006-0000-0300-000003000000}">
      <text>
        <r>
          <rPr>
            <sz val="8"/>
            <color indexed="81"/>
            <rFont val="Tahoma"/>
            <family val="2"/>
          </rPr>
          <t>Reference exposure</t>
        </r>
      </text>
    </comment>
    <comment ref="C15" authorId="0" shapeId="0" xr:uid="{00000000-0006-0000-0300-000004000000}">
      <text>
        <r>
          <rPr>
            <sz val="8"/>
            <color indexed="81"/>
            <rFont val="Tahoma"/>
            <family val="2"/>
          </rPr>
          <t>kVp used for reference exposure</t>
        </r>
      </text>
    </comment>
    <comment ref="D15" authorId="0" shapeId="0" xr:uid="{00000000-0006-0000-0300-000005000000}">
      <text>
        <r>
          <rPr>
            <sz val="8"/>
            <color indexed="81"/>
            <rFont val="Tahoma"/>
            <family val="2"/>
          </rPr>
          <t>mA used for reference exposure</t>
        </r>
      </text>
    </comment>
    <comment ref="E15" authorId="0" shapeId="0" xr:uid="{00000000-0006-0000-0300-000006000000}">
      <text>
        <r>
          <rPr>
            <sz val="8"/>
            <color indexed="81"/>
            <rFont val="Tahoma"/>
            <family val="2"/>
          </rPr>
          <t>mAs uesd for reference exposure</t>
        </r>
      </text>
    </comment>
    <comment ref="F18" authorId="0" shapeId="0" xr:uid="{00000000-0006-0000-0300-000007000000}">
      <text>
        <r>
          <rPr>
            <sz val="8"/>
            <color indexed="81"/>
            <rFont val="Tahoma"/>
            <family val="2"/>
          </rPr>
          <t>Transmission = Transmitted exposure/Incident exposure</t>
        </r>
      </text>
    </comment>
    <comment ref="C19" authorId="0" shapeId="0" xr:uid="{00000000-0006-0000-0300-000008000000}">
      <text>
        <r>
          <rPr>
            <sz val="8"/>
            <color indexed="81"/>
            <rFont val="Tahoma"/>
            <family val="2"/>
          </rPr>
          <t>Source to barrier distance</t>
        </r>
      </text>
    </comment>
    <comment ref="D19" authorId="0" shapeId="0" xr:uid="{00000000-0006-0000-0300-000009000000}">
      <text>
        <r>
          <rPr>
            <sz val="8"/>
            <color indexed="81"/>
            <rFont val="Tahoma"/>
            <family val="2"/>
          </rPr>
          <t>Incident exposure at barrier</t>
        </r>
      </text>
    </comment>
    <comment ref="E19" authorId="0" shapeId="0" xr:uid="{00000000-0006-0000-0300-00000A000000}">
      <text>
        <r>
          <rPr>
            <sz val="8"/>
            <color indexed="81"/>
            <rFont val="Tahoma"/>
            <family val="2"/>
          </rPr>
          <t>Transmitted exposure at barrier</t>
        </r>
      </text>
    </comment>
    <comment ref="G19" authorId="0" shapeId="0" xr:uid="{00000000-0006-0000-0300-00000B000000}">
      <text>
        <r>
          <rPr>
            <sz val="8"/>
            <color indexed="81"/>
            <rFont val="Tahoma"/>
            <family val="2"/>
          </rPr>
          <t>Barrier lead equivalent (mm)</t>
        </r>
      </text>
    </comment>
    <comment ref="L20" authorId="0" shapeId="0" xr:uid="{00000000-0006-0000-0300-00000C000000}">
      <text>
        <r>
          <rPr>
            <sz val="8"/>
            <color indexed="81"/>
            <rFont val="Tahoma"/>
            <family val="2"/>
          </rPr>
          <t>Barrier thickness is  based on calculated transmission (Tran) and Equation 3 from Ref 8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<sst xmlns="http://schemas.openxmlformats.org/spreadsheetml/2006/main" count="803" uniqueCount="333">
  <si>
    <t>Shielding Calculations</t>
  </si>
  <si>
    <t>Reference List</t>
  </si>
  <si>
    <t>Location:</t>
  </si>
  <si>
    <t>1.</t>
  </si>
  <si>
    <t>Rossi RP, Ritenour R, Christodoulou E; Broad Beam Transmission Properties ..., Health Physics 61(5) 601-608 (1991)</t>
  </si>
  <si>
    <t>2.</t>
  </si>
  <si>
    <t>Simpkin D; Shielding Requirements for Mammography, Health Physics 53(3) 267-279 (1987).</t>
  </si>
  <si>
    <t>Min.</t>
  </si>
  <si>
    <t>Date:</t>
  </si>
  <si>
    <t>Performed by:</t>
  </si>
  <si>
    <t>3.</t>
  </si>
  <si>
    <t>NCRP49</t>
  </si>
  <si>
    <t>mm</t>
  </si>
  <si>
    <t>inch</t>
  </si>
  <si>
    <t>Pb</t>
  </si>
  <si>
    <t>4.</t>
  </si>
  <si>
    <t>NCRP50</t>
  </si>
  <si>
    <t>0"</t>
  </si>
  <si>
    <t>5.</t>
  </si>
  <si>
    <t>Archer BR; Radiation Design Criteria for Diagnostic X-Ray Facilities, Health Physics, 44(5), 507-517, 1983</t>
  </si>
  <si>
    <t>&lt;=1/256"</t>
  </si>
  <si>
    <t>Ave. number of patients/wk:</t>
  </si>
  <si>
    <t>6.</t>
  </si>
  <si>
    <t>Simpkin D; A General Solution Shielding of Medical X- and Gamma-Rays by NCRP49 Methods; Health Physics 52(?) 431-436 (1987).</t>
  </si>
  <si>
    <t>Ave. mAs/exposure:</t>
  </si>
  <si>
    <t>Continuous Current:</t>
  </si>
  <si>
    <t>7.</t>
  </si>
  <si>
    <t>Archer BR, Fewell TR, et al; Attenuation Properties of Diagnostic X-Ray Shielding Materials.  Med Phy 21(9) 1499-1507 (1994).</t>
  </si>
  <si>
    <t>Number of exposures/patient:</t>
  </si>
  <si>
    <t>Field Size (cm^2):</t>
  </si>
  <si>
    <t>8.</t>
  </si>
  <si>
    <t>Simpkin DJ, Transmission Data for Shielding Diagnostic X-Ray Faciliites; Health Physics68(5), 704-709, 1995.</t>
  </si>
  <si>
    <t>Weekly Workload (mA*min):</t>
  </si>
  <si>
    <t>Scatter to Incident Ratio (a)</t>
  </si>
  <si>
    <t>kVp:</t>
  </si>
  <si>
    <t>(acceptable values are 25-150 kVp in steps of 5 kVp)</t>
  </si>
  <si>
    <t>angle in degrees</t>
  </si>
  <si>
    <t>kVp</t>
  </si>
  <si>
    <t>Fitting Parameters for the above conditions (mm^-1)</t>
  </si>
  <si>
    <t>Attenuator</t>
  </si>
  <si>
    <t>a</t>
  </si>
  <si>
    <t>b</t>
  </si>
  <si>
    <t>g</t>
  </si>
  <si>
    <t>Ko'</t>
  </si>
  <si>
    <t>HVL</t>
  </si>
  <si>
    <t>TVL</t>
  </si>
  <si>
    <t>Conversion Factors:</t>
  </si>
  <si>
    <t>m/ft</t>
  </si>
  <si>
    <t>Lead</t>
  </si>
  <si>
    <t xml:space="preserve">1/16  =  </t>
  </si>
  <si>
    <t>Concrete</t>
  </si>
  <si>
    <t xml:space="preserve">1/8  =  </t>
  </si>
  <si>
    <t>Gypsum</t>
  </si>
  <si>
    <t>Conversion Assistance</t>
  </si>
  <si>
    <t>Steel</t>
  </si>
  <si>
    <t>Feet</t>
  </si>
  <si>
    <t>Meter</t>
  </si>
  <si>
    <t>Glass</t>
  </si>
  <si>
    <t>Wood</t>
  </si>
  <si>
    <t>Primary</t>
  </si>
  <si>
    <t>All distances are in meters</t>
  </si>
  <si>
    <t>Scatter</t>
  </si>
  <si>
    <t>P</t>
  </si>
  <si>
    <t>Primary Kux</t>
  </si>
  <si>
    <t>Scatter Kux</t>
  </si>
  <si>
    <t># of HVL</t>
  </si>
  <si>
    <t>ratio</t>
  </si>
  <si>
    <t>Barrier</t>
  </si>
  <si>
    <t>D(pri)</t>
  </si>
  <si>
    <t>D(sec)</t>
  </si>
  <si>
    <t>D(sca)</t>
  </si>
  <si>
    <t>D(leak)</t>
  </si>
  <si>
    <t>U**</t>
  </si>
  <si>
    <t>T</t>
  </si>
  <si>
    <t>Area</t>
  </si>
  <si>
    <t>Angle</t>
  </si>
  <si>
    <t>ratio (a)</t>
  </si>
  <si>
    <t>(mSv/wk)</t>
  </si>
  <si>
    <t>(mSv)</t>
  </si>
  <si>
    <t>Leakage Blx</t>
  </si>
  <si>
    <t>N</t>
  </si>
  <si>
    <t>Np</t>
  </si>
  <si>
    <t>column</t>
  </si>
  <si>
    <t>gray cells are interpolated data</t>
  </si>
  <si>
    <t>** Leave blank if the barrier is secondary only.</t>
  </si>
  <si>
    <t>Total:</t>
  </si>
  <si>
    <t>&gt;=1/4"</t>
  </si>
  <si>
    <t>Shielding Requirements (mm)</t>
  </si>
  <si>
    <t>Min. Lead</t>
  </si>
  <si>
    <t>Fitting Parameters for Diagnostic Shielding Calculations*</t>
  </si>
  <si>
    <t>Leakage</t>
  </si>
  <si>
    <t>Scatter and Leakage Combined</t>
  </si>
  <si>
    <t>Shielding</t>
  </si>
  <si>
    <t>Required</t>
  </si>
  <si>
    <t>Pb (mm)</t>
  </si>
  <si>
    <t>Concrete (mm)</t>
  </si>
  <si>
    <t>Plate Glass</t>
  </si>
  <si>
    <t>Ko**</t>
  </si>
  <si>
    <t>* 25-35 kVp data is for Mo/Mo x-ray tubes, all other data is for W x-ray tubes (ref 8).</t>
  </si>
  <si>
    <t>** Ko is the exposure at the point of interest with no attenuator.</t>
  </si>
  <si>
    <t xml:space="preserve">  The data in this column is based on Simpkin's output analysis.</t>
  </si>
  <si>
    <t>Shielding Requirements (inches)</t>
  </si>
  <si>
    <t>Eugene Mah, M.Sc.</t>
  </si>
  <si>
    <t>Revision 1.0.2.25032002</t>
  </si>
  <si>
    <t>Date</t>
  </si>
  <si>
    <t>Survey ID:</t>
  </si>
  <si>
    <t>Equivalent Lead Measurements</t>
  </si>
  <si>
    <t>Radiographic Room</t>
  </si>
  <si>
    <t>Test Exposure</t>
  </si>
  <si>
    <t>Unit</t>
  </si>
  <si>
    <t>SN:</t>
  </si>
  <si>
    <t xml:space="preserve">Time </t>
  </si>
  <si>
    <t>Distance</t>
  </si>
  <si>
    <t>Exposure</t>
  </si>
  <si>
    <t>(msec)</t>
  </si>
  <si>
    <t>kV</t>
  </si>
  <si>
    <t>mA</t>
  </si>
  <si>
    <t>mAs</t>
  </si>
  <si>
    <t>(in)</t>
  </si>
  <si>
    <t>Incident</t>
  </si>
  <si>
    <t>Transmitted</t>
  </si>
  <si>
    <t>Transmission factor</t>
  </si>
  <si>
    <t>(mm)</t>
  </si>
  <si>
    <t>Barrier thicknesses</t>
  </si>
  <si>
    <t>Trans</t>
  </si>
  <si>
    <t>Medical Physicist</t>
  </si>
  <si>
    <t>Shielding Evaluation</t>
  </si>
  <si>
    <t>Shielding Design</t>
  </si>
  <si>
    <t>Location</t>
  </si>
  <si>
    <t>Uses</t>
  </si>
  <si>
    <t>Percent Workload</t>
  </si>
  <si>
    <t>Workload</t>
  </si>
  <si>
    <t>Patients per day</t>
  </si>
  <si>
    <t>Rotations per patient</t>
  </si>
  <si>
    <t>mAs per rotation</t>
  </si>
  <si>
    <t>Rotations per week</t>
  </si>
  <si>
    <t>Rotations per year</t>
  </si>
  <si>
    <t>Rotation-mAs/yr</t>
  </si>
  <si>
    <t>Design Method</t>
  </si>
  <si>
    <t>Using the number of roations per year one can calculate the exposure at the isodose distance.</t>
  </si>
  <si>
    <t>This value is inverse square law corrected to the barrier distance</t>
  </si>
  <si>
    <t>Interlocks and Warnings</t>
  </si>
  <si>
    <t>RHB 4.11.2.4 Requires door interlocks to prevent the initiation of a scan when the CT room door is open.</t>
  </si>
  <si>
    <t>Doors A will be interlocked</t>
  </si>
  <si>
    <t>RHB 4.11.2.3 Requires booth areas in the first scatter to be marked</t>
  </si>
  <si>
    <t>There do not seem to be areas affected by 4.11.2.3 in this design</t>
  </si>
  <si>
    <t>This will be verified on installation</t>
  </si>
  <si>
    <t>Design Limits</t>
  </si>
  <si>
    <t>Occupational</t>
  </si>
  <si>
    <t>Non Occupational</t>
  </si>
  <si>
    <t>Half Value Layer</t>
  </si>
  <si>
    <t>HVL (mm-lead)</t>
  </si>
  <si>
    <t>HVL (inches-concrete)</t>
  </si>
  <si>
    <t>Barrier Design</t>
  </si>
  <si>
    <t>Design</t>
  </si>
  <si>
    <t>Calculated</t>
  </si>
  <si>
    <t>Limit</t>
  </si>
  <si>
    <t>Isocontour</t>
  </si>
  <si>
    <t>at Barrier</t>
  </si>
  <si>
    <t>Inv Sq to barrier</t>
  </si>
  <si>
    <t>Designation</t>
  </si>
  <si>
    <t>(m)</t>
  </si>
  <si>
    <t>Occupancy</t>
  </si>
  <si>
    <t>mGy/yr</t>
  </si>
  <si>
    <t>Dist (m)</t>
  </si>
  <si>
    <t>Certified Radiological Physicist</t>
  </si>
  <si>
    <t>mm Conc</t>
  </si>
  <si>
    <t>mm Pb</t>
  </si>
  <si>
    <t>Transmission</t>
  </si>
  <si>
    <t>Lead (mm)</t>
  </si>
  <si>
    <t>Fit Parameters</t>
  </si>
  <si>
    <t>Workload (mA-min/wk)</t>
  </si>
  <si>
    <t>Rotation collimation (cm)</t>
  </si>
  <si>
    <t>mGy/year</t>
  </si>
  <si>
    <t>Required barrier thickness is determined using Eq A.2 from NCRP 147</t>
  </si>
  <si>
    <t>Barrier transmission factor (B) is determined from the design limit corrected for occupancy</t>
  </si>
  <si>
    <t>(mGy)</t>
  </si>
  <si>
    <t>(mGy/mAs)</t>
  </si>
  <si>
    <r>
      <t>(</t>
    </r>
    <r>
      <rPr>
        <sz val="12"/>
        <rFont val="Symbol"/>
        <family val="1"/>
        <charset val="2"/>
      </rPr>
      <t>m</t>
    </r>
    <r>
      <rPr>
        <sz val="12"/>
        <rFont val="Times New Roman"/>
        <family val="1"/>
      </rPr>
      <t>Gy)</t>
    </r>
  </si>
  <si>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</rPr>
      <t>Gy/mAs</t>
    </r>
  </si>
  <si>
    <t>mGy/mAs</t>
  </si>
  <si>
    <t>Secondary</t>
  </si>
  <si>
    <t>Wnorm</t>
  </si>
  <si>
    <t>Kp</t>
  </si>
  <si>
    <t>Ksec</t>
  </si>
  <si>
    <t>Table</t>
  </si>
  <si>
    <t>Wall</t>
  </si>
  <si>
    <t>All</t>
  </si>
  <si>
    <t>Fluoro</t>
  </si>
  <si>
    <t>RF Rad</t>
  </si>
  <si>
    <t>uGy-m^2</t>
  </si>
  <si>
    <t>Dtable</t>
  </si>
  <si>
    <t>Dwall</t>
  </si>
  <si>
    <t>Dfluoro</t>
  </si>
  <si>
    <t>U</t>
  </si>
  <si>
    <t>Wall A</t>
  </si>
  <si>
    <t>Wall A (Hall)</t>
  </si>
  <si>
    <t>Wall A (Tech)</t>
  </si>
  <si>
    <t>Door A</t>
  </si>
  <si>
    <t>Wall B</t>
  </si>
  <si>
    <t>Wall C</t>
  </si>
  <si>
    <t>Wall D</t>
  </si>
  <si>
    <t>Door D</t>
  </si>
  <si>
    <t>Wall D (CT)</t>
  </si>
  <si>
    <t>Wall D(CT)</t>
  </si>
  <si>
    <t>Control</t>
  </si>
  <si>
    <t>Floor</t>
  </si>
  <si>
    <t>Ceiling</t>
  </si>
  <si>
    <t>Rel AK</t>
  </si>
  <si>
    <t>D (m)</t>
  </si>
  <si>
    <t>AK (uGy)</t>
  </si>
  <si>
    <t>Ksec(0)</t>
  </si>
  <si>
    <t>Bsec</t>
  </si>
  <si>
    <t>x (mm)</t>
  </si>
  <si>
    <t>Kp(0)</t>
  </si>
  <si>
    <t>Bpri</t>
  </si>
  <si>
    <t>x(pri)</t>
  </si>
  <si>
    <t>Suggested occupancy factors (for use as a guide in planning shielding where other occupancy data are not available)</t>
  </si>
  <si>
    <t>Occupancy (T)</t>
  </si>
  <si>
    <t>Rooms used for patient examinations and treatments</t>
  </si>
  <si>
    <t>Corridors, patient rooms, employee lounges, staff rest rooms</t>
  </si>
  <si>
    <t>Corridor doors</t>
  </si>
  <si>
    <t>Public toilets, unattended vending areas, storage rooms, outdoor areas with seating, unattended waiting rooms, patient holding areas</t>
  </si>
  <si>
    <t>Outdoor areas with only transient pedestrian or vehicular traffic, unattended parking lots, vehicular drop off areas (unattended), attics, stairways, unattended elevators, janitor's closets</t>
  </si>
  <si>
    <t>Administrative or clerical offices; laboratories, pharmacies and other work areas fully occupied by an individual; receptionist areas, attended waiting rooms, children's indoor play areas, adjacent x-ray rooms, film reading areas, nurse's stations, x-ray control rooms</t>
  </si>
  <si>
    <t>Operating potential (kVp) distribution of workload (mA-min) normalized per patient, from survey conducted by AAPM TG9 (Simpkin, 1996a)</t>
  </si>
  <si>
    <t>Radiography room</t>
  </si>
  <si>
    <t>Rad/Fluoro</t>
  </si>
  <si>
    <t>Rad room (all barriers)</t>
  </si>
  <si>
    <t>Rad room (chest bucky)</t>
  </si>
  <si>
    <t>Rad room (floor or other)</t>
  </si>
  <si>
    <t>Fluoro tube (RF)</t>
  </si>
  <si>
    <t>Rad tube (RF)</t>
  </si>
  <si>
    <t>Chest room</t>
  </si>
  <si>
    <t>Mammo room</t>
  </si>
  <si>
    <t>Cardiac</t>
  </si>
  <si>
    <t>Angio</t>
  </si>
  <si>
    <t>Tot Workload</t>
  </si>
  <si>
    <t>Pt/week</t>
  </si>
  <si>
    <t>Estimated total workloads in various medical x-ray imaging installations in clinics and hospitals.</t>
  </si>
  <si>
    <t>The total workload values are for general guidance and are to be used only if the actual workloads are not available.</t>
  </si>
  <si>
    <t>Typical # of patients (N) per 40h week</t>
  </si>
  <si>
    <t>W_tot (mA-min/week)</t>
  </si>
  <si>
    <t>Room Type</t>
  </si>
  <si>
    <t>W_norm (mA-min/pt)</t>
  </si>
  <si>
    <t>Average</t>
  </si>
  <si>
    <t>Busy</t>
  </si>
  <si>
    <t>Rad room (Chest bucky)</t>
  </si>
  <si>
    <t>Mammo</t>
  </si>
  <si>
    <t>Primary beam use factors (U) for a general radiographic room determined from the survey of clinical sites (Simpkin, 1996a)</t>
  </si>
  <si>
    <t>Use factor (U)</t>
  </si>
  <si>
    <t>Cross-table wall</t>
  </si>
  <si>
    <t>Wall #3</t>
  </si>
  <si>
    <t>Chest image reecptor</t>
  </si>
  <si>
    <t>Unshielded leakage, scattered and total secondary air kermas (in mGy/pt) for the indicated workload distribution at d_s = d_L = 1m</t>
  </si>
  <si>
    <t>The workload distributions and total workloads per patient (Wnorm) for the indicated clinical sites are the average per patient surveyed by AAPM TG9 (Simpkin, 1996a)</t>
  </si>
  <si>
    <t>The primary field size F (in cm^2) is known at primary distance d_F. Side scattered radiation is calculated for 90 degree scatter.</t>
  </si>
  <si>
    <t>Forward and backscattered radiations are calculated for 135 degree scatter.</t>
  </si>
  <si>
    <t>Leakage radiation technique factors are 150 kVp at 3.3 mA to achieve 0.876 mGy/h for all tubes except mammography, which assumes leakage radiation technique factors of 50 kVp at 5 mA</t>
  </si>
  <si>
    <t>Unshielded Air Kerma (mGy/pt) at 1m</t>
  </si>
  <si>
    <t>Workload Distribution</t>
  </si>
  <si>
    <t>Wnorm (mAmin/pt)</t>
  </si>
  <si>
    <t>F (cm^2)</t>
  </si>
  <si>
    <t>d_F (m)</t>
  </si>
  <si>
    <t>Side scatter</t>
  </si>
  <si>
    <t>Leakage and side scatter</t>
  </si>
  <si>
    <t>Forward/Backscatter</t>
  </si>
  <si>
    <t>Lekage and forward/back scatter)</t>
  </si>
  <si>
    <t>Currently suggested defalut DLP values per procedure.</t>
  </si>
  <si>
    <t>For use as a guide in planning shielding in cases where facility-specific DLP values are not available</t>
  </si>
  <si>
    <t>Procedure</t>
  </si>
  <si>
    <t>CTDIvol (mGy)</t>
  </si>
  <si>
    <t>Scan length (cm)</t>
  </si>
  <si>
    <t>DLP (mGy-cm)</t>
  </si>
  <si>
    <t>Head</t>
  </si>
  <si>
    <t>Chest</t>
  </si>
  <si>
    <t>Abdomen</t>
  </si>
  <si>
    <t>Pelvis</t>
  </si>
  <si>
    <t>Body avg</t>
  </si>
  <si>
    <t>Fits of transmission for broad primary x-ray beams (for lead, concrete, gypsum wall board, steel, plate glass, and wood) to Equation A.2 (thickness x is input in mm)</t>
  </si>
  <si>
    <t/>
  </si>
  <si>
    <t>Air kerma at 1m per unit workload (mGy/mA-min)</t>
  </si>
  <si>
    <t>Fitting parameters for transmission of broad primary x-ray beams to Equation A.2 (thickness is input in mm)</t>
  </si>
  <si>
    <t>Rad Room (all)</t>
  </si>
  <si>
    <t>Rad Room (chest bucky)</t>
  </si>
  <si>
    <t>Rad Room (floor or other)</t>
  </si>
  <si>
    <t>Fluoroscopy tube (RF)</t>
  </si>
  <si>
    <t>Chest Room</t>
  </si>
  <si>
    <t>Mammo Room</t>
  </si>
  <si>
    <t>Cardiac Angiography</t>
  </si>
  <si>
    <t>Peripheral Angiography</t>
  </si>
  <si>
    <t>Fits of transmission for broad-beam secondary transmission to Equation A.2 (thickness x is input in millimeters)</t>
  </si>
  <si>
    <t>Source:</t>
  </si>
  <si>
    <t>Li X, Zhang D, Liu B, “Workload and transmission data for the installation of a digital breast tomosynthesis system”, MedPhys 40(6) 063901-1</t>
  </si>
  <si>
    <t>Li X, Zhang D, Liu B, “Transmission of broad W/Rh and W/Al (target/filter) x-ray beams operated at 25-29 kVp through common shielding materials”, MedPhys 39(7) 4132</t>
  </si>
  <si>
    <t>Pts/wk</t>
  </si>
  <si>
    <t>Mean DAP/pt</t>
  </si>
  <si>
    <r>
      <t xml:space="preserve">Table 2: Fitted results of </t>
    </r>
    <r>
      <rPr>
        <b/>
        <sz val="10"/>
        <rFont val="Symbol"/>
        <family val="1"/>
        <charset val="2"/>
      </rPr>
      <t>a</t>
    </r>
    <r>
      <rPr>
        <b/>
        <sz val="10"/>
        <rFont val="Times New Roman"/>
        <family val="1"/>
      </rPr>
      <t xml:space="preserve">, </t>
    </r>
    <r>
      <rPr>
        <b/>
        <sz val="10"/>
        <rFont val="Symbol"/>
        <family val="1"/>
        <charset val="2"/>
      </rPr>
      <t>b</t>
    </r>
    <r>
      <rPr>
        <b/>
        <sz val="10"/>
        <rFont val="Times New Roman"/>
        <family val="1"/>
      </rPr>
      <t xml:space="preserve">, and </t>
    </r>
    <r>
      <rPr>
        <b/>
        <sz val="10"/>
        <rFont val="Symbol"/>
        <family val="1"/>
        <charset val="2"/>
      </rPr>
      <t>g</t>
    </r>
    <r>
      <rPr>
        <b/>
        <sz val="10"/>
        <rFont val="Times New Roman"/>
        <family val="1"/>
      </rPr>
      <t xml:space="preserve"> for broad tungste-anode, rhodium-filter x-ray beams. Units of </t>
    </r>
    <r>
      <rPr>
        <b/>
        <sz val="10"/>
        <rFont val="Symbol"/>
        <family val="1"/>
        <charset val="2"/>
      </rPr>
      <t>a</t>
    </r>
    <r>
      <rPr>
        <b/>
        <sz val="10"/>
        <rFont val="Times New Roman"/>
        <family val="1"/>
      </rPr>
      <t xml:space="preserve"> and </t>
    </r>
    <r>
      <rPr>
        <b/>
        <sz val="10"/>
        <rFont val="Symbol"/>
        <family val="1"/>
        <charset val="2"/>
      </rPr>
      <t>b</t>
    </r>
    <r>
      <rPr>
        <b/>
        <sz val="10"/>
        <rFont val="Times New Roman"/>
        <family val="1"/>
      </rPr>
      <t xml:space="preserve"> in mm^-1</t>
    </r>
  </si>
  <si>
    <t>W/Rh</t>
  </si>
  <si>
    <t>W/Al</t>
  </si>
  <si>
    <t>W/Ag</t>
  </si>
  <si>
    <r>
      <t xml:space="preserve">Table V: Fitting parameters </t>
    </r>
    <r>
      <rPr>
        <b/>
        <sz val="10"/>
        <rFont val="Symbol"/>
        <family val="1"/>
        <charset val="2"/>
      </rPr>
      <t>a</t>
    </r>
    <r>
      <rPr>
        <b/>
        <sz val="10"/>
        <rFont val="Times New Roman"/>
        <family val="1"/>
      </rPr>
      <t xml:space="preserve">, </t>
    </r>
    <r>
      <rPr>
        <b/>
        <sz val="10"/>
        <rFont val="Symbol"/>
        <family val="1"/>
        <charset val="2"/>
      </rPr>
      <t>b</t>
    </r>
    <r>
      <rPr>
        <b/>
        <sz val="10"/>
        <rFont val="Times New Roman"/>
        <family val="1"/>
      </rPr>
      <t xml:space="preserve">, and </t>
    </r>
    <r>
      <rPr>
        <b/>
        <sz val="10"/>
        <rFont val="Symbol"/>
        <family val="1"/>
        <charset val="2"/>
      </rPr>
      <t>g</t>
    </r>
    <r>
      <rPr>
        <b/>
        <sz val="10"/>
        <rFont val="Times New Roman"/>
        <family val="1"/>
      </rPr>
      <t xml:space="preserve"> for the transmission of the primary radiation generated by the combined workload distribution [Table IV(c).</t>
    </r>
  </si>
  <si>
    <r>
      <t xml:space="preserve">Table 1: Fitted results of </t>
    </r>
    <r>
      <rPr>
        <b/>
        <sz val="10"/>
        <rFont val="Symbol"/>
        <family val="1"/>
        <charset val="2"/>
      </rPr>
      <t>a</t>
    </r>
    <r>
      <rPr>
        <b/>
        <sz val="10"/>
        <rFont val="Times New Roman"/>
        <family val="1"/>
      </rPr>
      <t xml:space="preserve">, </t>
    </r>
    <r>
      <rPr>
        <b/>
        <sz val="10"/>
        <rFont val="Symbol"/>
        <family val="1"/>
        <charset val="2"/>
      </rPr>
      <t>b</t>
    </r>
    <r>
      <rPr>
        <b/>
        <sz val="10"/>
        <rFont val="Times New Roman"/>
        <family val="1"/>
      </rPr>
      <t xml:space="preserve">, and </t>
    </r>
    <r>
      <rPr>
        <b/>
        <sz val="10"/>
        <rFont val="Symbol"/>
        <family val="1"/>
        <charset val="2"/>
      </rPr>
      <t>g</t>
    </r>
    <r>
      <rPr>
        <b/>
        <sz val="10"/>
        <rFont val="Times New Roman"/>
        <family val="1"/>
      </rPr>
      <t xml:space="preserve"> for broad tungsten-anode, silver-filter x-ray beams. Units of </t>
    </r>
    <r>
      <rPr>
        <b/>
        <sz val="10"/>
        <rFont val="Symbol"/>
        <family val="1"/>
        <charset val="2"/>
      </rPr>
      <t>a</t>
    </r>
    <r>
      <rPr>
        <b/>
        <sz val="10"/>
        <rFont val="Times New Roman"/>
        <family val="1"/>
      </rPr>
      <t xml:space="preserve"> and </t>
    </r>
    <r>
      <rPr>
        <b/>
        <sz val="10"/>
        <rFont val="Symbol"/>
        <family val="1"/>
        <charset val="2"/>
      </rPr>
      <t>b</t>
    </r>
    <r>
      <rPr>
        <b/>
        <sz val="10"/>
        <rFont val="Times New Roman"/>
        <family val="1"/>
      </rPr>
      <t xml:space="preserve"> in mm^-1</t>
    </r>
  </si>
  <si>
    <r>
      <t xml:space="preserve">Table 1: Fitted results of </t>
    </r>
    <r>
      <rPr>
        <b/>
        <sz val="10"/>
        <rFont val="Symbol"/>
        <family val="1"/>
        <charset val="2"/>
      </rPr>
      <t>a</t>
    </r>
    <r>
      <rPr>
        <b/>
        <sz val="10"/>
        <rFont val="Times New Roman"/>
        <family val="1"/>
      </rPr>
      <t xml:space="preserve">, </t>
    </r>
    <r>
      <rPr>
        <b/>
        <sz val="10"/>
        <rFont val="Symbol"/>
        <family val="1"/>
        <charset val="2"/>
      </rPr>
      <t>b</t>
    </r>
    <r>
      <rPr>
        <b/>
        <sz val="10"/>
        <rFont val="Times New Roman"/>
        <family val="1"/>
      </rPr>
      <t xml:space="preserve">, and </t>
    </r>
    <r>
      <rPr>
        <b/>
        <sz val="10"/>
        <rFont val="Symbol"/>
        <family val="1"/>
        <charset val="2"/>
      </rPr>
      <t>g</t>
    </r>
    <r>
      <rPr>
        <b/>
        <sz val="10"/>
        <rFont val="Times New Roman"/>
        <family val="1"/>
      </rPr>
      <t xml:space="preserve"> for broad tungsten-anode, aluminum-filter x-ray beams. Units of </t>
    </r>
    <r>
      <rPr>
        <b/>
        <sz val="10"/>
        <rFont val="Symbol"/>
        <family val="1"/>
        <charset val="2"/>
      </rPr>
      <t>a</t>
    </r>
    <r>
      <rPr>
        <b/>
        <sz val="10"/>
        <rFont val="Times New Roman"/>
        <family val="1"/>
      </rPr>
      <t xml:space="preserve"> and </t>
    </r>
    <r>
      <rPr>
        <b/>
        <sz val="10"/>
        <rFont val="Symbol"/>
        <family val="1"/>
        <charset val="2"/>
      </rPr>
      <t>b</t>
    </r>
    <r>
      <rPr>
        <b/>
        <sz val="10"/>
        <rFont val="Times New Roman"/>
        <family val="1"/>
      </rPr>
      <t xml:space="preserve"> in mm^-1</t>
    </r>
  </si>
  <si>
    <t>W/Rh, W/Ag, W/Al</t>
  </si>
  <si>
    <t>Unshielded primary air kerma per patient [K1_p (in mGy/pt) for the indicated workload [Wnorm (mA-min/pt)] and workload distribution, normalized to primary beam distance d_p = 1m</t>
  </si>
  <si>
    <t>Wnorm (mA-min/pt)</t>
  </si>
  <si>
    <t>K1_p (mGy/pt)</t>
  </si>
  <si>
    <t>b/a</t>
  </si>
  <si>
    <t>ag</t>
  </si>
  <si>
    <t>Siemens template (attached) gives the scatter air kerma (uGy) at various distances per mAs rotation.</t>
  </si>
  <si>
    <t>MUSC Health West SK1143J</t>
  </si>
  <si>
    <t>Charleston, SC</t>
  </si>
  <si>
    <t>1/16"</t>
  </si>
  <si>
    <t>3/32" to 10' height</t>
  </si>
  <si>
    <t>Shadow shield</t>
  </si>
  <si>
    <t>1/32" 12'x12' at ~10-12' height centered over table</t>
  </si>
  <si>
    <t>CAP length (m)</t>
  </si>
  <si>
    <t>Pitch</t>
  </si>
  <si>
    <t>Collimation (cm)</t>
  </si>
  <si>
    <t>Rotations</t>
  </si>
  <si>
    <t>LW thickness</t>
  </si>
  <si>
    <t>MUSC</t>
  </si>
  <si>
    <t>MUH 374</t>
  </si>
  <si>
    <t>169 Ashley Ave</t>
  </si>
  <si>
    <t>Eugene Mah, Ph.D.</t>
  </si>
  <si>
    <t>Eugene Mah, Ph.D., DABR</t>
  </si>
  <si>
    <t>Alpha for lead</t>
  </si>
  <si>
    <t>Beta for lead</t>
  </si>
  <si>
    <t>Gamma for lead</t>
  </si>
  <si>
    <t>Alpha for concrete</t>
  </si>
  <si>
    <t>Beta for concrete</t>
  </si>
  <si>
    <t>Gamma for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</si>
</sst>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.000"/>
    <numFmt numFmtId="165" formatCode="0.0000"/>
    <numFmt numFmtId="166" formatCode="0.000000000"/>
    <numFmt numFmtId="167" formatCode="0.0"/>
    <numFmt numFmtId="168" formatCode="0.000E+00"/>
    <numFmt numFmtId="169" formatCode="0.00000"/>
    <numFmt numFmtId="170" formatCode="#\ ???/???&quot; ''&quot;"/>
    <numFmt numFmtId="171" formatCode="#\ ##?/##?&quot;''&quot;"/>
    <numFmt numFmtId="172" formatCode="#\ #?/##?&quot;''&quot;"/>
    <numFmt numFmtId="173" formatCode="0.00000000"/>
    <numFmt numFmtId="174" formatCode="#\ ???/???"/>
    <numFmt numFmtId="175" formatCode="0&quot;''&quot;"/>
    <numFmt numFmtId="176" formatCode="[$-409]d\-mmm\-yyyy;@"/>
  </numFmts>
  <fonts count="27" x14ac:knownFonts="1">
    <font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u/>
      <sz val="10"/>
      <name val="Times New Roman"/>
      <family val="1"/>
    </font>
    <font>
      <sz val="8"/>
      <name val="Times New Roman"/>
      <family val="1"/>
    </font>
    <font>
      <sz val="10"/>
      <name val="Symbol"/>
      <family val="1"/>
      <charset val="2"/>
    </font>
    <font>
      <b/>
      <u/>
      <sz val="12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u/>
      <sz val="12"/>
      <name val="Times New Roman"/>
      <family val="1"/>
    </font>
    <font>
      <sz val="12"/>
      <name val="Symbol"/>
      <family val="1"/>
      <charset val="2"/>
    </font>
    <font>
      <sz val="12"/>
      <color indexed="81"/>
      <name val="Tahoma"/>
      <family val="2"/>
    </font>
    <font>
      <sz val="12"/>
      <color indexed="81"/>
      <name val="Symbol"/>
      <family val="1"/>
      <charset val="2"/>
    </font>
    <font>
      <b/>
      <sz val="10"/>
      <name val="Times New Roman"/>
      <family val="1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Symbol"/>
      <family val="1"/>
      <charset val="2"/>
    </font>
    <font>
      <sz val="10"/>
      <name val="Times New Roman"/>
      <family val="1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double">
        <color indexed="64"/>
      </right>
      <top/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5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horizontal="center"/>
    </xf>
    <xf numFmtId="0" fontId="1" fillId="0" borderId="0"/>
    <xf numFmtId="0" fontId="1" fillId="0" borderId="0"/>
    <xf numFmtId="0" fontId="2" fillId="0" borderId="0">
      <alignment horizontal="center"/>
    </xf>
    <xf numFmtId="0" fontId="24" fillId="0" borderId="0">
      <alignment horizontal="center"/>
    </xf>
    <xf numFmtId="9" fontId="24" fillId="0" borderId="0" applyFont="0" applyFill="0" applyBorder="0" applyAlignment="0" applyProtection="0"/>
  </cellStyleXfs>
  <cellXfs count="288">
    <xf numFmtId="0" fontId="0" fillId="0" borderId="0" xfId="0">
      <alignment horizont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right"/>
    </xf>
    <xf numFmtId="3" fontId="0" fillId="0" borderId="0" xfId="0" applyNumberFormat="1">
      <alignment horizontal="center"/>
    </xf>
    <xf numFmtId="0" fontId="0" fillId="0" borderId="1" xfId="0" applyBorder="1">
      <alignment horizontal="center"/>
    </xf>
    <xf numFmtId="0" fontId="3" fillId="0" borderId="0" xfId="0" applyFont="1" applyAlignment="1">
      <alignment horizontal="centerContinuous"/>
    </xf>
    <xf numFmtId="0" fontId="2" fillId="0" borderId="0" xfId="0" applyFont="1">
      <alignment horizontal="center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>
      <alignment horizontal="center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5" fillId="0" borderId="2" xfId="0" applyFont="1" applyBorder="1">
      <alignment horizontal="center"/>
    </xf>
    <xf numFmtId="12" fontId="0" fillId="0" borderId="3" xfId="0" applyNumberFormat="1" applyBorder="1">
      <alignment horizontal="center"/>
    </xf>
    <xf numFmtId="0" fontId="0" fillId="0" borderId="4" xfId="0" applyBorder="1">
      <alignment horizontal="center"/>
    </xf>
    <xf numFmtId="0" fontId="0" fillId="0" borderId="1" xfId="0" applyBorder="1" applyAlignment="1">
      <alignment horizontal="left"/>
    </xf>
    <xf numFmtId="3" fontId="0" fillId="0" borderId="4" xfId="0" applyNumberFormat="1" applyBorder="1">
      <alignment horizontal="center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centerContinuous"/>
    </xf>
    <xf numFmtId="0" fontId="7" fillId="0" borderId="0" xfId="0" applyFo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2" fillId="0" borderId="0" xfId="0" applyNumberFormat="1" applyFont="1">
      <alignment horizontal="center"/>
    </xf>
    <xf numFmtId="3" fontId="0" fillId="2" borderId="0" xfId="0" applyNumberFormat="1" applyFill="1">
      <alignment horizontal="center"/>
    </xf>
    <xf numFmtId="2" fontId="0" fillId="2" borderId="5" xfId="0" applyNumberFormat="1" applyFill="1" applyBorder="1">
      <alignment horizontal="center"/>
    </xf>
    <xf numFmtId="0" fontId="2" fillId="0" borderId="2" xfId="0" applyFont="1" applyBorder="1">
      <alignment horizontal="center"/>
    </xf>
    <xf numFmtId="168" fontId="0" fillId="0" borderId="0" xfId="0" applyNumberFormat="1">
      <alignment horizontal="center"/>
    </xf>
    <xf numFmtId="164" fontId="0" fillId="0" borderId="0" xfId="0" applyNumberFormat="1">
      <alignment horizontal="center"/>
    </xf>
    <xf numFmtId="14" fontId="2" fillId="0" borderId="0" xfId="0" applyNumberFormat="1" applyFont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Continuous"/>
    </xf>
    <xf numFmtId="14" fontId="2" fillId="3" borderId="1" xfId="0" applyNumberFormat="1" applyFont="1" applyFill="1" applyBorder="1" applyAlignment="1" applyProtection="1">
      <alignment horizontal="left"/>
      <protection locked="0"/>
    </xf>
    <xf numFmtId="0" fontId="0" fillId="3" borderId="1" xfId="0" applyFill="1" applyBorder="1" applyProtection="1">
      <alignment horizontal="center"/>
      <protection locked="0"/>
    </xf>
    <xf numFmtId="0" fontId="0" fillId="2" borderId="0" xfId="0" applyFill="1" applyAlignment="1">
      <alignment horizontal="left"/>
    </xf>
    <xf numFmtId="0" fontId="0" fillId="4" borderId="0" xfId="0" applyFill="1">
      <alignment horizontal="center"/>
    </xf>
    <xf numFmtId="0" fontId="2" fillId="0" borderId="0" xfId="0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0" fillId="0" borderId="6" xfId="0" applyBorder="1">
      <alignment horizontal="center"/>
    </xf>
    <xf numFmtId="164" fontId="2" fillId="3" borderId="5" xfId="0" applyNumberFormat="1" applyFont="1" applyFill="1" applyBorder="1" applyProtection="1">
      <alignment horizontal="center"/>
      <protection locked="0"/>
    </xf>
    <xf numFmtId="167" fontId="2" fillId="3" borderId="5" xfId="0" applyNumberFormat="1" applyFont="1" applyFill="1" applyBorder="1" applyProtection="1">
      <alignment horizontal="center"/>
      <protection locked="0"/>
    </xf>
    <xf numFmtId="0" fontId="8" fillId="0" borderId="0" xfId="0" applyFont="1" applyAlignment="1">
      <alignment horizontal="left"/>
    </xf>
    <xf numFmtId="168" fontId="0" fillId="0" borderId="6" xfId="0" applyNumberFormat="1" applyBorder="1">
      <alignment horizontal="center"/>
    </xf>
    <xf numFmtId="170" fontId="0" fillId="0" borderId="0" xfId="0" applyNumberFormat="1">
      <alignment horizontal="center"/>
    </xf>
    <xf numFmtId="171" fontId="0" fillId="0" borderId="0" xfId="0" applyNumberFormat="1">
      <alignment horizontal="center"/>
    </xf>
    <xf numFmtId="169" fontId="0" fillId="0" borderId="0" xfId="0" applyNumberFormat="1">
      <alignment horizontal="center"/>
    </xf>
    <xf numFmtId="173" fontId="0" fillId="0" borderId="0" xfId="0" applyNumberFormat="1">
      <alignment horizontal="center"/>
    </xf>
    <xf numFmtId="166" fontId="0" fillId="0" borderId="0" xfId="0" applyNumberFormat="1">
      <alignment horizontal="center"/>
    </xf>
    <xf numFmtId="175" fontId="0" fillId="0" borderId="0" xfId="0" applyNumberFormat="1">
      <alignment horizontal="center"/>
    </xf>
    <xf numFmtId="15" fontId="2" fillId="3" borderId="1" xfId="0" applyNumberFormat="1" applyFont="1" applyFill="1" applyBorder="1" applyAlignment="1" applyProtection="1">
      <alignment horizontal="centerContinuous"/>
      <protection locked="0"/>
    </xf>
    <xf numFmtId="0" fontId="2" fillId="3" borderId="5" xfId="0" applyFont="1" applyFill="1" applyBorder="1" applyProtection="1">
      <alignment horizontal="center"/>
      <protection locked="0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>
      <alignment horizontal="center"/>
    </xf>
    <xf numFmtId="0" fontId="2" fillId="0" borderId="1" xfId="0" applyFont="1" applyBorder="1">
      <alignment horizontal="center"/>
    </xf>
    <xf numFmtId="0" fontId="2" fillId="0" borderId="2" xfId="0" applyFont="1" applyBorder="1" applyProtection="1">
      <alignment horizontal="center"/>
      <protection hidden="1"/>
    </xf>
    <xf numFmtId="0" fontId="2" fillId="3" borderId="4" xfId="0" applyFont="1" applyFill="1" applyBorder="1" applyProtection="1">
      <alignment horizontal="center"/>
      <protection locked="0"/>
    </xf>
    <xf numFmtId="0" fontId="2" fillId="2" borderId="5" xfId="0" applyFont="1" applyFill="1" applyBorder="1">
      <alignment horizontal="center"/>
    </xf>
    <xf numFmtId="2" fontId="2" fillId="2" borderId="5" xfId="0" applyNumberFormat="1" applyFont="1" applyFill="1" applyBorder="1">
      <alignment horizontal="center"/>
    </xf>
    <xf numFmtId="11" fontId="2" fillId="2" borderId="5" xfId="0" applyNumberFormat="1" applyFont="1" applyFill="1" applyBorder="1">
      <alignment horizontal="center"/>
    </xf>
    <xf numFmtId="1" fontId="2" fillId="2" borderId="5" xfId="0" applyNumberFormat="1" applyFont="1" applyFill="1" applyBorder="1">
      <alignment horizontal="center"/>
    </xf>
    <xf numFmtId="1" fontId="2" fillId="0" borderId="5" xfId="0" applyNumberFormat="1" applyFont="1" applyBorder="1">
      <alignment horizontal="center"/>
    </xf>
    <xf numFmtId="0" fontId="2" fillId="0" borderId="5" xfId="0" applyFont="1" applyBorder="1" applyProtection="1">
      <alignment horizontal="center"/>
      <protection hidden="1"/>
    </xf>
    <xf numFmtId="0" fontId="2" fillId="3" borderId="2" xfId="0" applyFont="1" applyFill="1" applyBorder="1" applyProtection="1">
      <alignment horizontal="center"/>
      <protection locked="0"/>
    </xf>
    <xf numFmtId="15" fontId="2" fillId="0" borderId="0" xfId="0" applyNumberFormat="1" applyFont="1">
      <alignment horizontal="center"/>
    </xf>
    <xf numFmtId="0" fontId="2" fillId="0" borderId="9" xfId="0" applyFont="1" applyBorder="1">
      <alignment horizontal="center"/>
    </xf>
    <xf numFmtId="0" fontId="2" fillId="0" borderId="9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9" xfId="0" applyFont="1" applyBorder="1" applyAlignment="1">
      <alignment horizontal="left"/>
    </xf>
    <xf numFmtId="0" fontId="2" fillId="0" borderId="11" xfId="0" applyFont="1" applyBorder="1">
      <alignment horizontal="center"/>
    </xf>
    <xf numFmtId="3" fontId="2" fillId="0" borderId="2" xfId="0" applyNumberFormat="1" applyFont="1" applyBorder="1">
      <alignment horizontal="center"/>
    </xf>
    <xf numFmtId="3" fontId="2" fillId="0" borderId="12" xfId="0" applyNumberFormat="1" applyFont="1" applyBorder="1">
      <alignment horizontal="center"/>
    </xf>
    <xf numFmtId="0" fontId="2" fillId="0" borderId="4" xfId="0" applyFont="1" applyBorder="1">
      <alignment horizontal="center"/>
    </xf>
    <xf numFmtId="164" fontId="2" fillId="0" borderId="13" xfId="0" applyNumberFormat="1" applyFont="1" applyBorder="1">
      <alignment horizontal="center"/>
    </xf>
    <xf numFmtId="164" fontId="2" fillId="0" borderId="5" xfId="0" applyNumberFormat="1" applyFont="1" applyBorder="1">
      <alignment horizontal="center"/>
    </xf>
    <xf numFmtId="164" fontId="2" fillId="0" borderId="14" xfId="0" applyNumberFormat="1" applyFont="1" applyBorder="1">
      <alignment horizontal="center"/>
    </xf>
    <xf numFmtId="164" fontId="2" fillId="4" borderId="5" xfId="0" applyNumberFormat="1" applyFont="1" applyFill="1" applyBorder="1">
      <alignment horizontal="center"/>
    </xf>
    <xf numFmtId="172" fontId="2" fillId="0" borderId="13" xfId="0" applyNumberFormat="1" applyFont="1" applyBorder="1">
      <alignment horizontal="center"/>
    </xf>
    <xf numFmtId="164" fontId="2" fillId="0" borderId="9" xfId="0" applyNumberFormat="1" applyFont="1" applyBorder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64" fontId="2" fillId="0" borderId="9" xfId="0" applyNumberFormat="1" applyFont="1" applyBorder="1" applyAlignment="1">
      <alignment horizontal="left"/>
    </xf>
    <xf numFmtId="164" fontId="2" fillId="0" borderId="11" xfId="0" applyNumberFormat="1" applyFont="1" applyBorder="1">
      <alignment horizontal="center"/>
    </xf>
    <xf numFmtId="164" fontId="2" fillId="0" borderId="2" xfId="0" applyNumberFormat="1" applyFont="1" applyBorder="1">
      <alignment horizontal="center"/>
    </xf>
    <xf numFmtId="0" fontId="2" fillId="0" borderId="15" xfId="0" applyFont="1" applyBorder="1">
      <alignment horizontal="center"/>
    </xf>
    <xf numFmtId="0" fontId="2" fillId="0" borderId="16" xfId="0" applyFont="1" applyBorder="1">
      <alignment horizontal="center"/>
    </xf>
    <xf numFmtId="0" fontId="3" fillId="0" borderId="16" xfId="0" applyFont="1" applyBorder="1" applyAlignment="1">
      <alignment horizontal="centerContinuous"/>
    </xf>
    <xf numFmtId="0" fontId="11" fillId="0" borderId="16" xfId="0" applyFont="1" applyBorder="1" applyAlignment="1">
      <alignment horizontal="centerContinuous"/>
    </xf>
    <xf numFmtId="0" fontId="11" fillId="0" borderId="17" xfId="0" applyFont="1" applyBorder="1">
      <alignment horizontal="center"/>
    </xf>
    <xf numFmtId="0" fontId="11" fillId="0" borderId="9" xfId="0" applyFont="1" applyBorder="1">
      <alignment horizontal="center"/>
    </xf>
    <xf numFmtId="0" fontId="11" fillId="0" borderId="0" xfId="0" applyFont="1">
      <alignment horizontal="center"/>
    </xf>
    <xf numFmtId="0" fontId="11" fillId="0" borderId="0" xfId="0" applyFont="1" applyAlignment="1">
      <alignment horizontal="centerContinuous"/>
    </xf>
    <xf numFmtId="0" fontId="11" fillId="0" borderId="10" xfId="0" applyFont="1" applyBorder="1">
      <alignment horizontal="center"/>
    </xf>
    <xf numFmtId="0" fontId="11" fillId="0" borderId="11" xfId="0" applyFont="1" applyBorder="1">
      <alignment horizontal="center"/>
    </xf>
    <xf numFmtId="0" fontId="11" fillId="0" borderId="2" xfId="0" applyFont="1" applyBorder="1">
      <alignment horizontal="center"/>
    </xf>
    <xf numFmtId="0" fontId="11" fillId="0" borderId="12" xfId="0" applyFont="1" applyBorder="1">
      <alignment horizontal="center"/>
    </xf>
    <xf numFmtId="0" fontId="11" fillId="0" borderId="8" xfId="0" applyFont="1" applyBorder="1">
      <alignment horizontal="center"/>
    </xf>
    <xf numFmtId="0" fontId="11" fillId="0" borderId="18" xfId="0" applyFont="1" applyBorder="1">
      <alignment horizontal="center"/>
    </xf>
    <xf numFmtId="11" fontId="11" fillId="0" borderId="8" xfId="0" applyNumberFormat="1" applyFont="1" applyBorder="1">
      <alignment horizontal="center"/>
    </xf>
    <xf numFmtId="11" fontId="11" fillId="0" borderId="18" xfId="0" applyNumberFormat="1" applyFont="1" applyBorder="1">
      <alignment horizontal="center"/>
    </xf>
    <xf numFmtId="11" fontId="11" fillId="2" borderId="8" xfId="0" applyNumberFormat="1" applyFont="1" applyFill="1" applyBorder="1">
      <alignment horizontal="center"/>
    </xf>
    <xf numFmtId="11" fontId="11" fillId="2" borderId="18" xfId="0" applyNumberFormat="1" applyFont="1" applyFill="1" applyBorder="1">
      <alignment horizontal="center"/>
    </xf>
    <xf numFmtId="0" fontId="11" fillId="4" borderId="9" xfId="0" applyFont="1" applyFill="1" applyBorder="1">
      <alignment horizontal="center"/>
    </xf>
    <xf numFmtId="0" fontId="11" fillId="0" borderId="19" xfId="0" applyFont="1" applyBorder="1">
      <alignment horizontal="center"/>
    </xf>
    <xf numFmtId="11" fontId="11" fillId="0" borderId="20" xfId="0" applyNumberFormat="1" applyFont="1" applyBorder="1">
      <alignment horizontal="center"/>
    </xf>
    <xf numFmtId="11" fontId="11" fillId="0" borderId="21" xfId="0" applyNumberFormat="1" applyFont="1" applyBorder="1">
      <alignment horizontal="center"/>
    </xf>
    <xf numFmtId="0" fontId="3" fillId="0" borderId="15" xfId="0" applyFont="1" applyBorder="1" applyAlignment="1">
      <alignment horizontal="centerContinuous"/>
    </xf>
    <xf numFmtId="0" fontId="11" fillId="0" borderId="17" xfId="0" applyFont="1" applyBorder="1" applyAlignment="1">
      <alignment horizontal="centerContinuous"/>
    </xf>
    <xf numFmtId="0" fontId="3" fillId="0" borderId="9" xfId="0" applyFont="1" applyBorder="1" applyAlignment="1">
      <alignment horizontal="centerContinuous"/>
    </xf>
    <xf numFmtId="0" fontId="11" fillId="0" borderId="8" xfId="0" applyFont="1" applyBorder="1" applyAlignment="1">
      <alignment horizontal="centerContinuous"/>
    </xf>
    <xf numFmtId="0" fontId="11" fillId="0" borderId="9" xfId="0" applyFont="1" applyBorder="1" applyAlignment="1">
      <alignment horizontal="centerContinuous"/>
    </xf>
    <xf numFmtId="0" fontId="5" fillId="0" borderId="11" xfId="0" applyFont="1" applyBorder="1">
      <alignment horizontal="center"/>
    </xf>
    <xf numFmtId="2" fontId="11" fillId="0" borderId="8" xfId="0" applyNumberFormat="1" applyFont="1" applyBorder="1">
      <alignment horizontal="center"/>
    </xf>
    <xf numFmtId="167" fontId="11" fillId="0" borderId="8" xfId="0" applyNumberFormat="1" applyFont="1" applyBorder="1">
      <alignment horizontal="center"/>
    </xf>
    <xf numFmtId="164" fontId="11" fillId="0" borderId="8" xfId="0" applyNumberFormat="1" applyFont="1" applyBorder="1">
      <alignment horizontal="center"/>
    </xf>
    <xf numFmtId="2" fontId="11" fillId="0" borderId="9" xfId="0" applyNumberFormat="1" applyFont="1" applyBorder="1">
      <alignment horizontal="center"/>
    </xf>
    <xf numFmtId="165" fontId="11" fillId="0" borderId="8" xfId="0" applyNumberFormat="1" applyFont="1" applyBorder="1">
      <alignment horizontal="center"/>
    </xf>
    <xf numFmtId="2" fontId="11" fillId="0" borderId="18" xfId="0" applyNumberFormat="1" applyFont="1" applyBorder="1">
      <alignment horizontal="center"/>
    </xf>
    <xf numFmtId="0" fontId="11" fillId="0" borderId="22" xfId="0" applyFont="1" applyBorder="1">
      <alignment horizontal="center"/>
    </xf>
    <xf numFmtId="0" fontId="11" fillId="0" borderId="23" xfId="0" applyFont="1" applyBorder="1">
      <alignment horizontal="center"/>
    </xf>
    <xf numFmtId="0" fontId="6" fillId="0" borderId="0" xfId="0" applyFont="1">
      <alignment horizontal="center"/>
    </xf>
    <xf numFmtId="49" fontId="2" fillId="0" borderId="0" xfId="0" applyNumberFormat="1" applyFont="1" applyAlignment="1">
      <alignment horizontal="right"/>
    </xf>
    <xf numFmtId="0" fontId="12" fillId="0" borderId="0" xfId="1" applyFont="1"/>
    <xf numFmtId="0" fontId="13" fillId="0" borderId="0" xfId="1" applyFont="1"/>
    <xf numFmtId="0" fontId="14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15" fontId="13" fillId="5" borderId="1" xfId="1" applyNumberFormat="1" applyFont="1" applyFill="1" applyBorder="1"/>
    <xf numFmtId="0" fontId="13" fillId="0" borderId="0" xfId="1" applyFont="1" applyAlignment="1">
      <alignment horizontal="right"/>
    </xf>
    <xf numFmtId="0" fontId="13" fillId="5" borderId="1" xfId="1" applyFont="1" applyFill="1" applyBorder="1"/>
    <xf numFmtId="0" fontId="1" fillId="0" borderId="0" xfId="1"/>
    <xf numFmtId="0" fontId="15" fillId="0" borderId="0" xfId="1" applyFont="1" applyAlignment="1">
      <alignment horizontal="left"/>
    </xf>
    <xf numFmtId="0" fontId="13" fillId="0" borderId="6" xfId="1" applyFont="1" applyBorder="1"/>
    <xf numFmtId="0" fontId="13" fillId="0" borderId="1" xfId="1" applyFont="1" applyBorder="1" applyAlignment="1">
      <alignment horizontal="right"/>
    </xf>
    <xf numFmtId="0" fontId="16" fillId="0" borderId="2" xfId="1" applyFont="1" applyBorder="1" applyAlignment="1">
      <alignment horizontal="center"/>
    </xf>
    <xf numFmtId="0" fontId="13" fillId="0" borderId="2" xfId="1" applyFont="1" applyBorder="1" applyAlignment="1">
      <alignment horizontal="center"/>
    </xf>
    <xf numFmtId="175" fontId="13" fillId="0" borderId="0" xfId="1" applyNumberFormat="1" applyFont="1"/>
    <xf numFmtId="0" fontId="13" fillId="0" borderId="4" xfId="1" applyFont="1" applyBorder="1" applyAlignment="1">
      <alignment horizontal="right"/>
    </xf>
    <xf numFmtId="2" fontId="13" fillId="2" borderId="5" xfId="1" applyNumberFormat="1" applyFont="1" applyFill="1" applyBorder="1" applyAlignment="1">
      <alignment horizontal="center"/>
    </xf>
    <xf numFmtId="171" fontId="13" fillId="0" borderId="0" xfId="1" applyNumberFormat="1" applyFont="1"/>
    <xf numFmtId="170" fontId="13" fillId="0" borderId="0" xfId="1" applyNumberFormat="1" applyFont="1"/>
    <xf numFmtId="3" fontId="13" fillId="0" borderId="4" xfId="1" applyNumberFormat="1" applyFont="1" applyBorder="1" applyAlignment="1">
      <alignment horizontal="right"/>
    </xf>
    <xf numFmtId="0" fontId="13" fillId="5" borderId="0" xfId="1" applyFont="1" applyFill="1"/>
    <xf numFmtId="2" fontId="13" fillId="5" borderId="0" xfId="1" applyNumberFormat="1" applyFont="1" applyFill="1"/>
    <xf numFmtId="0" fontId="13" fillId="0" borderId="1" xfId="1" applyFont="1" applyBorder="1"/>
    <xf numFmtId="11" fontId="13" fillId="0" borderId="0" xfId="1" applyNumberFormat="1" applyFont="1"/>
    <xf numFmtId="2" fontId="13" fillId="0" borderId="0" xfId="1" applyNumberFormat="1" applyFont="1"/>
    <xf numFmtId="174" fontId="13" fillId="0" borderId="0" xfId="1" applyNumberFormat="1" applyFont="1"/>
    <xf numFmtId="0" fontId="13" fillId="0" borderId="24" xfId="1" applyFont="1" applyBorder="1"/>
    <xf numFmtId="164" fontId="3" fillId="0" borderId="15" xfId="1" applyNumberFormat="1" applyFont="1" applyBorder="1" applyAlignment="1">
      <alignment horizontal="centerContinuous"/>
    </xf>
    <xf numFmtId="164" fontId="1" fillId="0" borderId="16" xfId="1" applyNumberFormat="1" applyBorder="1" applyAlignment="1">
      <alignment horizontal="centerContinuous"/>
    </xf>
    <xf numFmtId="164" fontId="2" fillId="0" borderId="16" xfId="1" applyNumberFormat="1" applyFont="1" applyBorder="1" applyAlignment="1">
      <alignment horizontal="centerContinuous"/>
    </xf>
    <xf numFmtId="164" fontId="1" fillId="0" borderId="17" xfId="1" applyNumberFormat="1" applyBorder="1" applyAlignment="1">
      <alignment horizontal="centerContinuous"/>
    </xf>
    <xf numFmtId="164" fontId="1" fillId="0" borderId="0" xfId="1" applyNumberFormat="1"/>
    <xf numFmtId="164" fontId="3" fillId="0" borderId="9" xfId="1" applyNumberFormat="1" applyFont="1" applyBorder="1" applyAlignment="1">
      <alignment horizontal="centerContinuous"/>
    </xf>
    <xf numFmtId="164" fontId="1" fillId="0" borderId="0" xfId="1" applyNumberFormat="1" applyAlignment="1">
      <alignment horizontal="centerContinuous"/>
    </xf>
    <xf numFmtId="164" fontId="2" fillId="0" borderId="0" xfId="1" applyNumberFormat="1" applyFont="1" applyAlignment="1">
      <alignment horizontal="centerContinuous"/>
    </xf>
    <xf numFmtId="164" fontId="1" fillId="0" borderId="9" xfId="1" applyNumberFormat="1" applyBorder="1"/>
    <xf numFmtId="164" fontId="1" fillId="0" borderId="10" xfId="1" applyNumberFormat="1" applyBorder="1"/>
    <xf numFmtId="164" fontId="2" fillId="0" borderId="9" xfId="1" applyNumberFormat="1" applyFont="1" applyBorder="1"/>
    <xf numFmtId="164" fontId="2" fillId="0" borderId="8" xfId="1" applyNumberFormat="1" applyFont="1" applyBorder="1" applyAlignment="1">
      <alignment horizontal="centerContinuous"/>
    </xf>
    <xf numFmtId="164" fontId="2" fillId="0" borderId="0" xfId="1" applyNumberFormat="1" applyFont="1"/>
    <xf numFmtId="164" fontId="2" fillId="0" borderId="9" xfId="1" applyNumberFormat="1" applyFont="1" applyBorder="1" applyAlignment="1">
      <alignment horizontal="centerContinuous"/>
    </xf>
    <xf numFmtId="164" fontId="2" fillId="0" borderId="18" xfId="1" applyNumberFormat="1" applyFont="1" applyBorder="1"/>
    <xf numFmtId="164" fontId="2" fillId="0" borderId="11" xfId="1" applyNumberFormat="1" applyFont="1" applyBorder="1"/>
    <xf numFmtId="164" fontId="5" fillId="0" borderId="2" xfId="1" applyNumberFormat="1" applyFont="1" applyBorder="1"/>
    <xf numFmtId="164" fontId="2" fillId="0" borderId="2" xfId="1" applyNumberFormat="1" applyFont="1" applyBorder="1"/>
    <xf numFmtId="164" fontId="5" fillId="0" borderId="11" xfId="1" applyNumberFormat="1" applyFont="1" applyBorder="1"/>
    <xf numFmtId="164" fontId="2" fillId="0" borderId="12" xfId="1" applyNumberFormat="1" applyFont="1" applyBorder="1"/>
    <xf numFmtId="1" fontId="2" fillId="0" borderId="9" xfId="1" applyNumberFormat="1" applyFont="1" applyBorder="1"/>
    <xf numFmtId="164" fontId="2" fillId="0" borderId="8" xfId="1" applyNumberFormat="1" applyFont="1" applyBorder="1"/>
    <xf numFmtId="164" fontId="1" fillId="0" borderId="8" xfId="1" applyNumberFormat="1" applyBorder="1"/>
    <xf numFmtId="164" fontId="2" fillId="0" borderId="19" xfId="1" applyNumberFormat="1" applyFont="1" applyBorder="1"/>
    <xf numFmtId="164" fontId="1" fillId="0" borderId="22" xfId="1" applyNumberFormat="1" applyBorder="1"/>
    <xf numFmtId="164" fontId="2" fillId="0" borderId="22" xfId="1" applyNumberFormat="1" applyFont="1" applyBorder="1"/>
    <xf numFmtId="164" fontId="1" fillId="0" borderId="19" xfId="1" applyNumberFormat="1" applyBorder="1"/>
    <xf numFmtId="164" fontId="1" fillId="0" borderId="23" xfId="1" applyNumberFormat="1" applyBorder="1"/>
    <xf numFmtId="0" fontId="19" fillId="0" borderId="0" xfId="0" applyFont="1" applyAlignment="1">
      <alignment horizontal="centerContinuous"/>
    </xf>
    <xf numFmtId="0" fontId="6" fillId="0" borderId="0" xfId="1" applyFont="1" applyAlignment="1">
      <alignment horizontal="center"/>
    </xf>
    <xf numFmtId="0" fontId="0" fillId="3" borderId="1" xfId="0" applyFill="1" applyBorder="1" applyAlignment="1" applyProtection="1">
      <alignment horizontal="left"/>
      <protection locked="0"/>
    </xf>
    <xf numFmtId="0" fontId="0" fillId="3" borderId="4" xfId="0" applyFill="1" applyBorder="1" applyProtection="1">
      <alignment horizontal="center"/>
      <protection locked="0"/>
    </xf>
    <xf numFmtId="2" fontId="0" fillId="0" borderId="0" xfId="0" applyNumberFormat="1">
      <alignment horizontal="center"/>
    </xf>
    <xf numFmtId="0" fontId="20" fillId="0" borderId="0" xfId="2" applyFont="1"/>
    <xf numFmtId="0" fontId="1" fillId="0" borderId="0" xfId="2"/>
    <xf numFmtId="0" fontId="20" fillId="0" borderId="0" xfId="2" quotePrefix="1" applyFont="1"/>
    <xf numFmtId="0" fontId="20" fillId="0" borderId="25" xfId="2" applyFont="1" applyBorder="1"/>
    <xf numFmtId="0" fontId="20" fillId="0" borderId="26" xfId="2" applyFont="1" applyBorder="1"/>
    <xf numFmtId="0" fontId="20" fillId="0" borderId="27" xfId="2" applyFont="1" applyBorder="1"/>
    <xf numFmtId="0" fontId="1" fillId="0" borderId="8" xfId="2" applyBorder="1"/>
    <xf numFmtId="9" fontId="1" fillId="0" borderId="0" xfId="2" applyNumberFormat="1"/>
    <xf numFmtId="0" fontId="1" fillId="0" borderId="7" xfId="2" applyBorder="1"/>
    <xf numFmtId="0" fontId="1" fillId="0" borderId="2" xfId="2" applyBorder="1"/>
    <xf numFmtId="0" fontId="1" fillId="0" borderId="1" xfId="2" applyBorder="1"/>
    <xf numFmtId="9" fontId="1" fillId="0" borderId="1" xfId="2" applyNumberFormat="1" applyBorder="1"/>
    <xf numFmtId="0" fontId="1" fillId="0" borderId="28" xfId="2" applyBorder="1"/>
    <xf numFmtId="0" fontId="20" fillId="0" borderId="29" xfId="2" applyFont="1" applyBorder="1"/>
    <xf numFmtId="0" fontId="1" fillId="0" borderId="30" xfId="2" applyBorder="1"/>
    <xf numFmtId="1" fontId="1" fillId="0" borderId="0" xfId="2" applyNumberFormat="1"/>
    <xf numFmtId="0" fontId="1" fillId="6" borderId="0" xfId="2" applyFill="1"/>
    <xf numFmtId="0" fontId="20" fillId="0" borderId="30" xfId="2" applyFont="1" applyBorder="1"/>
    <xf numFmtId="0" fontId="20" fillId="0" borderId="31" xfId="2" applyFont="1" applyBorder="1"/>
    <xf numFmtId="2" fontId="1" fillId="0" borderId="0" xfId="2" applyNumberFormat="1" applyAlignment="1">
      <alignment horizontal="center"/>
    </xf>
    <xf numFmtId="164" fontId="1" fillId="0" borderId="0" xfId="2" applyNumberFormat="1" applyAlignment="1">
      <alignment horizontal="center"/>
    </xf>
    <xf numFmtId="167" fontId="1" fillId="0" borderId="0" xfId="2" applyNumberFormat="1" applyAlignment="1">
      <alignment horizontal="center"/>
    </xf>
    <xf numFmtId="0" fontId="1" fillId="0" borderId="0" xfId="2" applyAlignment="1">
      <alignment horizontal="center"/>
    </xf>
    <xf numFmtId="2" fontId="1" fillId="0" borderId="28" xfId="2" applyNumberFormat="1" applyBorder="1" applyAlignment="1">
      <alignment horizontal="center"/>
    </xf>
    <xf numFmtId="0" fontId="1" fillId="0" borderId="1" xfId="2" applyBorder="1" applyAlignment="1">
      <alignment horizontal="center"/>
    </xf>
    <xf numFmtId="2" fontId="1" fillId="0" borderId="7" xfId="2" applyNumberFormat="1" applyBorder="1" applyAlignment="1">
      <alignment horizontal="center"/>
    </xf>
    <xf numFmtId="11" fontId="1" fillId="0" borderId="0" xfId="2" applyNumberFormat="1" applyAlignment="1">
      <alignment horizontal="center"/>
    </xf>
    <xf numFmtId="0" fontId="20" fillId="0" borderId="33" xfId="2" applyFont="1" applyBorder="1" applyAlignment="1">
      <alignment horizontal="center"/>
    </xf>
    <xf numFmtId="0" fontId="20" fillId="0" borderId="6" xfId="2" applyFont="1" applyBorder="1" applyAlignment="1">
      <alignment horizontal="center"/>
    </xf>
    <xf numFmtId="0" fontId="1" fillId="0" borderId="24" xfId="2" applyBorder="1" applyAlignment="1">
      <alignment horizontal="center"/>
    </xf>
    <xf numFmtId="0" fontId="20" fillId="0" borderId="7" xfId="2" applyFont="1" applyBorder="1" applyAlignment="1">
      <alignment horizontal="center"/>
    </xf>
    <xf numFmtId="0" fontId="20" fillId="0" borderId="0" xfId="2" applyFont="1" applyAlignment="1">
      <alignment horizontal="center"/>
    </xf>
    <xf numFmtId="0" fontId="5" fillId="0" borderId="34" xfId="0" applyFont="1" applyBorder="1">
      <alignment horizontal="center"/>
    </xf>
    <xf numFmtId="0" fontId="0" fillId="0" borderId="7" xfId="0" applyBorder="1">
      <alignment horizontal="center"/>
    </xf>
    <xf numFmtId="0" fontId="1" fillId="0" borderId="29" xfId="2" applyBorder="1"/>
    <xf numFmtId="0" fontId="1" fillId="6" borderId="35" xfId="2" applyFill="1" applyBorder="1"/>
    <xf numFmtId="0" fontId="1" fillId="6" borderId="6" xfId="2" applyFill="1" applyBorder="1"/>
    <xf numFmtId="0" fontId="1" fillId="6" borderId="36" xfId="2" applyFill="1" applyBorder="1"/>
    <xf numFmtId="0" fontId="1" fillId="6" borderId="37" xfId="2" applyFill="1" applyBorder="1"/>
    <xf numFmtId="0" fontId="1" fillId="6" borderId="38" xfId="2" applyFill="1" applyBorder="1"/>
    <xf numFmtId="164" fontId="1" fillId="0" borderId="24" xfId="2" applyNumberFormat="1" applyBorder="1" applyAlignment="1">
      <alignment horizontal="center"/>
    </xf>
    <xf numFmtId="165" fontId="1" fillId="0" borderId="24" xfId="2" applyNumberFormat="1" applyBorder="1" applyAlignment="1">
      <alignment horizontal="center"/>
    </xf>
    <xf numFmtId="0" fontId="1" fillId="0" borderId="39" xfId="2" applyBorder="1"/>
    <xf numFmtId="0" fontId="1" fillId="0" borderId="40" xfId="2" applyBorder="1"/>
    <xf numFmtId="0" fontId="20" fillId="0" borderId="41" xfId="2" applyFont="1" applyBorder="1"/>
    <xf numFmtId="1" fontId="1" fillId="0" borderId="0" xfId="2" applyNumberFormat="1" applyAlignment="1">
      <alignment horizontal="center"/>
    </xf>
    <xf numFmtId="0" fontId="1" fillId="0" borderId="0" xfId="2" applyAlignment="1">
      <alignment horizontal="right"/>
    </xf>
    <xf numFmtId="0" fontId="1" fillId="0" borderId="35" xfId="2" applyBorder="1"/>
    <xf numFmtId="0" fontId="1" fillId="0" borderId="33" xfId="2" applyBorder="1"/>
    <xf numFmtId="0" fontId="1" fillId="0" borderId="42" xfId="2" applyBorder="1" applyAlignment="1">
      <alignment horizontal="center"/>
    </xf>
    <xf numFmtId="0" fontId="1" fillId="0" borderId="6" xfId="2" applyBorder="1"/>
    <xf numFmtId="0" fontId="1" fillId="0" borderId="36" xfId="2" applyBorder="1"/>
    <xf numFmtId="0" fontId="1" fillId="0" borderId="37" xfId="2" applyBorder="1"/>
    <xf numFmtId="0" fontId="1" fillId="0" borderId="38" xfId="2" applyBorder="1"/>
    <xf numFmtId="0" fontId="2" fillId="0" borderId="29" xfId="0" applyFont="1" applyBorder="1">
      <alignment horizontal="center"/>
    </xf>
    <xf numFmtId="0" fontId="20" fillId="0" borderId="8" xfId="2" applyFont="1" applyBorder="1" applyAlignment="1">
      <alignment horizontal="center"/>
    </xf>
    <xf numFmtId="0" fontId="20" fillId="0" borderId="32" xfId="2" applyFont="1" applyBorder="1" applyAlignment="1">
      <alignment horizontal="center"/>
    </xf>
    <xf numFmtId="0" fontId="0" fillId="3" borderId="5" xfId="0" applyFill="1" applyBorder="1" applyProtection="1">
      <alignment horizontal="center"/>
      <protection locked="0"/>
    </xf>
    <xf numFmtId="0" fontId="0" fillId="3" borderId="2" xfId="0" applyFill="1" applyBorder="1" applyProtection="1">
      <alignment horizontal="center"/>
      <protection locked="0"/>
    </xf>
    <xf numFmtId="15" fontId="0" fillId="3" borderId="1" xfId="0" applyNumberFormat="1" applyFill="1" applyBorder="1" applyAlignment="1" applyProtection="1">
      <alignment horizontal="centerContinuous"/>
      <protection locked="0"/>
    </xf>
    <xf numFmtId="0" fontId="2" fillId="3" borderId="1" xfId="3" applyFill="1" applyBorder="1" applyProtection="1">
      <alignment horizontal="center"/>
      <protection locked="0"/>
    </xf>
    <xf numFmtId="0" fontId="0" fillId="7" borderId="43" xfId="0" applyFill="1" applyBorder="1" applyProtection="1">
      <alignment horizontal="center"/>
      <protection locked="0"/>
    </xf>
    <xf numFmtId="168" fontId="13" fillId="0" borderId="0" xfId="1" applyNumberFormat="1" applyFont="1"/>
    <xf numFmtId="11" fontId="13" fillId="5" borderId="0" xfId="1" applyNumberFormat="1" applyFont="1" applyFill="1"/>
    <xf numFmtId="0" fontId="24" fillId="0" borderId="0" xfId="4">
      <alignment horizontal="center"/>
    </xf>
    <xf numFmtId="0" fontId="24" fillId="0" borderId="0" xfId="4" applyAlignment="1">
      <alignment horizontal="left"/>
    </xf>
    <xf numFmtId="0" fontId="5" fillId="0" borderId="44" xfId="4" applyFont="1" applyBorder="1">
      <alignment horizontal="center"/>
    </xf>
    <xf numFmtId="0" fontId="24" fillId="0" borderId="0" xfId="4" applyAlignment="1"/>
    <xf numFmtId="167" fontId="24" fillId="0" borderId="0" xfId="4" applyNumberFormat="1">
      <alignment horizontal="center"/>
    </xf>
    <xf numFmtId="0" fontId="0" fillId="0" borderId="0" xfId="5" applyNumberFormat="1" applyFont="1" applyAlignment="1">
      <alignment horizontal="center"/>
    </xf>
    <xf numFmtId="0" fontId="24" fillId="0" borderId="24" xfId="4" applyBorder="1">
      <alignment horizontal="center"/>
    </xf>
    <xf numFmtId="167" fontId="24" fillId="0" borderId="24" xfId="4" applyNumberFormat="1" applyBorder="1">
      <alignment horizontal="center"/>
    </xf>
    <xf numFmtId="2" fontId="24" fillId="0" borderId="24" xfId="4" applyNumberFormat="1" applyBorder="1">
      <alignment horizontal="center"/>
    </xf>
    <xf numFmtId="164" fontId="24" fillId="0" borderId="24" xfId="4" applyNumberFormat="1" applyBorder="1">
      <alignment horizontal="center"/>
    </xf>
    <xf numFmtId="171" fontId="24" fillId="0" borderId="24" xfId="4" applyNumberFormat="1" applyBorder="1">
      <alignment horizontal="center"/>
    </xf>
    <xf numFmtId="0" fontId="0" fillId="0" borderId="0" xfId="0" applyAlignment="1">
      <alignment horizontal="center" wrapText="1"/>
    </xf>
    <xf numFmtId="0" fontId="8" fillId="0" borderId="0" xfId="0" applyFont="1" applyAlignment="1"/>
    <xf numFmtId="11" fontId="0" fillId="0" borderId="0" xfId="0" applyNumberFormat="1">
      <alignment horizontal="center"/>
    </xf>
    <xf numFmtId="167" fontId="0" fillId="0" borderId="0" xfId="0" applyNumberFormat="1">
      <alignment horizontal="center"/>
    </xf>
    <xf numFmtId="0" fontId="5" fillId="0" borderId="0" xfId="0" applyFont="1">
      <alignment horizontal="center"/>
    </xf>
    <xf numFmtId="0" fontId="0" fillId="0" borderId="0" xfId="0" applyAlignment="1">
      <alignment horizontal="center" vertical="center" wrapText="1"/>
    </xf>
    <xf numFmtId="0" fontId="5" fillId="0" borderId="45" xfId="4" applyFont="1" applyBorder="1">
      <alignment horizontal="center"/>
    </xf>
    <xf numFmtId="0" fontId="24" fillId="8" borderId="46" xfId="4" applyFill="1" applyBorder="1">
      <alignment horizontal="center"/>
    </xf>
    <xf numFmtId="0" fontId="24" fillId="8" borderId="47" xfId="4" applyFill="1" applyBorder="1">
      <alignment horizontal="center"/>
    </xf>
    <xf numFmtId="0" fontId="24" fillId="8" borderId="24" xfId="4" applyFill="1" applyBorder="1">
      <alignment horizontal="center"/>
    </xf>
    <xf numFmtId="2" fontId="24" fillId="8" borderId="24" xfId="4" applyNumberFormat="1" applyFill="1" applyBorder="1">
      <alignment horizontal="center"/>
    </xf>
    <xf numFmtId="167" fontId="24" fillId="8" borderId="24" xfId="4" applyNumberFormat="1" applyFill="1" applyBorder="1">
      <alignment horizontal="center"/>
    </xf>
    <xf numFmtId="0" fontId="24" fillId="9" borderId="24" xfId="4" applyFill="1" applyBorder="1">
      <alignment horizontal="center"/>
    </xf>
    <xf numFmtId="0" fontId="8" fillId="0" borderId="0" xfId="0" applyFont="1">
      <alignment horizontal="center"/>
    </xf>
    <xf numFmtId="0" fontId="0" fillId="3" borderId="46" xfId="0" applyFill="1" applyBorder="1" applyProtection="1">
      <alignment horizontal="center"/>
      <protection locked="0"/>
    </xf>
    <xf numFmtId="167" fontId="0" fillId="3" borderId="4" xfId="0" applyNumberFormat="1" applyFill="1" applyBorder="1" applyProtection="1">
      <alignment horizontal="center"/>
      <protection locked="0"/>
    </xf>
    <xf numFmtId="2" fontId="0" fillId="3" borderId="4" xfId="0" applyNumberFormat="1" applyFill="1" applyBorder="1" applyProtection="1">
      <alignment horizontal="center"/>
      <protection locked="0"/>
    </xf>
    <xf numFmtId="2" fontId="0" fillId="3" borderId="1" xfId="0" applyNumberFormat="1" applyFill="1" applyBorder="1" applyProtection="1">
      <alignment horizontal="center"/>
      <protection locked="0"/>
    </xf>
    <xf numFmtId="176" fontId="1" fillId="0" borderId="0" xfId="2" applyNumberFormat="1"/>
    <xf numFmtId="0" fontId="24" fillId="0" borderId="0" xfId="4">
      <alignment horizontal="center"/>
    </xf>
    <xf numFmtId="0" fontId="24" fillId="0" borderId="8" xfId="4" applyBorder="1">
      <alignment horizontal="center"/>
    </xf>
    <xf numFmtId="0" fontId="24" fillId="0" borderId="29" xfId="4" applyBorder="1">
      <alignment horizontal="center"/>
    </xf>
    <xf numFmtId="0" fontId="24" fillId="0" borderId="30" xfId="4" applyBorder="1">
      <alignment horizontal="center"/>
    </xf>
    <xf numFmtId="0" fontId="1" fillId="0" borderId="30" xfId="2" applyBorder="1" applyAlignment="1">
      <alignment horizontal="center"/>
    </xf>
    <xf numFmtId="0" fontId="1" fillId="0" borderId="31" xfId="2" applyBorder="1" applyAlignment="1">
      <alignment horizontal="center"/>
    </xf>
    <xf numFmtId="0" fontId="1" fillId="0" borderId="0" xfId="2" applyAlignment="1">
      <alignment horizontal="center"/>
    </xf>
    <xf numFmtId="0" fontId="0" fillId="0" borderId="0" xfId="0">
      <alignment horizontal="center"/>
    </xf>
    <xf numFmtId="0" fontId="0" fillId="0" borderId="7" xfId="0" applyBorder="1">
      <alignment horizontal="center"/>
    </xf>
    <xf numFmtId="0" fontId="1" fillId="0" borderId="0" xfId="2" applyAlignment="1">
      <alignment horizontal="center" vertical="center" wrapText="1"/>
    </xf>
    <xf numFmtId="0" fontId="13" fillId="0" borderId="0" xfId="1" applyFont="1" applyAlignment="1">
      <alignment wrapText="1"/>
    </xf>
    <xf numFmtId="0" fontId="13" fillId="0" borderId="1" xfId="1" applyFont="1" applyBorder="1" applyAlignment="1">
      <alignment wrapText="1"/>
    </xf>
    <xf numFmtId="0" fontId="13" fillId="0" borderId="0" xfId="1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6">
    <cellStyle name="Normal" xfId="0" builtinId="0"/>
    <cellStyle name="Normal 2" xfId="2" xr:uid="{00000000-0005-0000-0000-000001000000}"/>
    <cellStyle name="Normal 3" xfId="4" xr:uid="{00000000-0005-0000-0000-000002000000}"/>
    <cellStyle name="Normal_Shield_form" xfId="3" xr:uid="{00000000-0005-0000-0000-000003000000}"/>
    <cellStyle name="Normal_shieldevaluation" xfId="1" xr:uid="{00000000-0005-0000-0000-000004000000}"/>
    <cellStyle name="Percent 2" xfId="5" xr:uid="{00000000-0005-0000-0000-000005000000}"/>
  </cellStyles>
  <dxfs count="2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for lead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5.2777777777777773E-4"/>
                  <c:y val="-0.32202172645086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NCRP147_C1!$A$8:$A$10</c:f>
              <c:numCache>
                <c:formatCode>General</c:formatCode>
                <c:ptCount val="3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</c:numCache>
            </c:numRef>
          </c:xVal>
          <c:yVal>
            <c:numRef>
              <c:f>NCRP147_C1!$B$8:$B$10</c:f>
              <c:numCache>
                <c:formatCode>General</c:formatCode>
                <c:ptCount val="3"/>
                <c:pt idx="0">
                  <c:v>2.5070000000000001</c:v>
                </c:pt>
                <c:pt idx="1">
                  <c:v>2.2330000000000001</c:v>
                </c:pt>
                <c:pt idx="2">
                  <c:v>1.7909999999999999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9-488C-89C6-6798B32A60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37440"/>
        <c:axId val="205534560"/>
      </c:scatterChart>
      <c:valAx>
        <c:axId val="205537440"/>
        <c:scaling>
          <c:orientation val="minMax"/>
          <c:max val="15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34560"/>
        <c:crosses val="autoZero"/>
        <c:crossBetween val="midCat"/>
      </c:valAx>
      <c:valAx>
        <c:axId val="205534560"/>
        <c:scaling>
          <c:orientation val="minMax"/>
          <c:min val="1.7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3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for lead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0527777777777776E-2"/>
                  <c:y val="-0.287401939340915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NCRP147_C1!$A$8:$A$10</c:f>
              <c:numCache>
                <c:formatCode>General</c:formatCode>
                <c:ptCount val="3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</c:numCache>
            </c:numRef>
          </c:xVal>
          <c:yVal>
            <c:numRef>
              <c:f>NCRP147_C1!$D$8:$D$10</c:f>
              <c:numCache>
                <c:formatCode>General</c:formatCode>
                <c:ptCount val="3"/>
                <c:pt idx="0">
                  <c:v>0.91239999999999999</c:v>
                </c:pt>
                <c:pt idx="1">
                  <c:v>0.72950000000000004</c:v>
                </c:pt>
                <c:pt idx="2">
                  <c:v>0.56779999999999997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2A-413E-8755-481FD8036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25232"/>
        <c:axId val="199326192"/>
      </c:scatterChart>
      <c:valAx>
        <c:axId val="199325232"/>
        <c:scaling>
          <c:orientation val="minMax"/>
          <c:max val="15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26192"/>
        <c:crosses val="autoZero"/>
        <c:crossBetween val="midCat"/>
      </c:valAx>
      <c:valAx>
        <c:axId val="199326192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2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Beta for lead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9.1666666666666665E-4"/>
                  <c:y val="-0.13855788859725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NCRP147_C1!$A$8:$A$10</c:f>
              <c:numCache>
                <c:formatCode>General</c:formatCode>
                <c:ptCount val="3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</c:numCache>
            </c:numRef>
          </c:xVal>
          <c:yVal>
            <c:numRef>
              <c:f>NCRP147_C1!$C$8:$C$10</c:f>
              <c:numCache>
                <c:formatCode>General</c:formatCode>
                <c:ptCount val="3"/>
                <c:pt idx="0">
                  <c:v>15.33</c:v>
                </c:pt>
                <c:pt idx="1">
                  <c:v>7.8879999999999999</c:v>
                </c:pt>
                <c:pt idx="2">
                  <c:v>5.4779999999999998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85-4182-AB73-2E598AB09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47536"/>
        <c:axId val="212844176"/>
      </c:scatterChart>
      <c:valAx>
        <c:axId val="212847536"/>
        <c:scaling>
          <c:orientation val="minMax"/>
          <c:max val="15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44176"/>
        <c:crosses val="autoZero"/>
        <c:crossBetween val="midCat"/>
      </c:valAx>
      <c:valAx>
        <c:axId val="212844176"/>
        <c:scaling>
          <c:orientation val="minMax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4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for concrete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NCRP147_C1!$A$8:$A$10</c:f>
              <c:numCache>
                <c:formatCode>General</c:formatCode>
                <c:ptCount val="3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</c:numCache>
            </c:numRef>
          </c:xVal>
          <c:yVal>
            <c:numRef>
              <c:f>NCRP147_C1!$E$8:$E$10</c:f>
              <c:numCache>
                <c:formatCode>General</c:formatCode>
                <c:ptCount val="3"/>
                <c:pt idx="0">
                  <c:v>3.95E-2</c:v>
                </c:pt>
                <c:pt idx="1">
                  <c:v>3.5099999999999999E-2</c:v>
                </c:pt>
                <c:pt idx="2">
                  <c:v>3.2399999999999998E-2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87-4EB3-8120-94B770C12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38400"/>
        <c:axId val="205540320"/>
      </c:scatterChart>
      <c:valAx>
        <c:axId val="205538400"/>
        <c:scaling>
          <c:orientation val="minMax"/>
          <c:max val="15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40320"/>
        <c:crosses val="autoZero"/>
        <c:crossBetween val="midCat"/>
      </c:valAx>
      <c:valAx>
        <c:axId val="205540320"/>
        <c:scaling>
          <c:orientation val="minMax"/>
          <c:min val="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3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Beta for concrete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NCRP147_C1!$A$8:$A$10</c:f>
              <c:numCache>
                <c:formatCode>General</c:formatCode>
                <c:ptCount val="3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</c:numCache>
            </c:numRef>
          </c:xVal>
          <c:yVal>
            <c:numRef>
              <c:f>NCRP147_C1!$F$8:$F$10</c:f>
              <c:numCache>
                <c:formatCode>General</c:formatCode>
                <c:ptCount val="3"/>
                <c:pt idx="0">
                  <c:v>8.4400000000000003E-2</c:v>
                </c:pt>
                <c:pt idx="1">
                  <c:v>6.6000000000000003E-2</c:v>
                </c:pt>
                <c:pt idx="2">
                  <c:v>7.7499999999999999E-2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96-4EA2-B363-2553459B8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088944"/>
        <c:axId val="237078864"/>
      </c:scatterChart>
      <c:valAx>
        <c:axId val="237088944"/>
        <c:scaling>
          <c:orientation val="minMax"/>
          <c:max val="15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078864"/>
        <c:crosses val="autoZero"/>
        <c:crossBetween val="midCat"/>
      </c:valAx>
      <c:valAx>
        <c:axId val="237078864"/>
        <c:scaling>
          <c:orientation val="minMax"/>
          <c:min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08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 for concrete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NCRP147_C1!$A$8:$A$10</c:f>
              <c:numCache>
                <c:formatCode>General</c:formatCode>
                <c:ptCount val="3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</c:numCache>
            </c:numRef>
          </c:xVal>
          <c:yVal>
            <c:numRef>
              <c:f>NCRP147_C1!$G$8:$G$10</c:f>
              <c:numCache>
                <c:formatCode>General</c:formatCode>
                <c:ptCount val="3"/>
                <c:pt idx="0">
                  <c:v>0.51910000000000001</c:v>
                </c:pt>
                <c:pt idx="1">
                  <c:v>0.78320000000000001</c:v>
                </c:pt>
                <c:pt idx="2">
                  <c:v>1.5660000000000001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F9-4A9D-9227-956412C3D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42736"/>
        <c:axId val="212842256"/>
      </c:scatterChart>
      <c:valAx>
        <c:axId val="212842736"/>
        <c:scaling>
          <c:orientation val="minMax"/>
          <c:max val="15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42256"/>
        <c:crosses val="autoZero"/>
        <c:crossBetween val="midCat"/>
      </c:valAx>
      <c:valAx>
        <c:axId val="212842256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4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if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95</xdr:row>
      <xdr:rowOff>95250</xdr:rowOff>
    </xdr:from>
    <xdr:to>
      <xdr:col>4</xdr:col>
      <xdr:colOff>0</xdr:colOff>
      <xdr:row>98</xdr:row>
      <xdr:rowOff>155067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15506700"/>
          <a:ext cx="1828800" cy="5455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95250</xdr:rowOff>
    </xdr:from>
    <xdr:to>
      <xdr:col>2</xdr:col>
      <xdr:colOff>0</xdr:colOff>
      <xdr:row>47</xdr:row>
      <xdr:rowOff>155067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666875" cy="5455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50800</xdr:rowOff>
    </xdr:from>
    <xdr:to>
      <xdr:col>1</xdr:col>
      <xdr:colOff>650875</xdr:colOff>
      <xdr:row>33</xdr:row>
      <xdr:rowOff>189992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362700"/>
          <a:ext cx="1666875" cy="5455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487680</xdr:colOff>
      <xdr:row>19</xdr:row>
      <xdr:rowOff>99060</xdr:rowOff>
    </xdr:from>
    <xdr:to>
      <xdr:col>6</xdr:col>
      <xdr:colOff>137160</xdr:colOff>
      <xdr:row>35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7B61CC-37A4-2AF7-D2D9-BF1E12B61F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19</xdr:row>
      <xdr:rowOff>45720</xdr:rowOff>
    </xdr:from>
    <xdr:to>
      <xdr:col>22</xdr:col>
      <xdr:colOff>0</xdr:colOff>
      <xdr:row>35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1917E9-1D5E-952D-BF67-5319D312A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251460</xdr:colOff>
      <xdr:row>19</xdr:row>
      <xdr:rowOff>76200</xdr:rowOff>
    </xdr:from>
    <xdr:to>
      <xdr:col>13</xdr:col>
      <xdr:colOff>556260</xdr:colOff>
      <xdr:row>35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F80C48-652D-DD08-3AF5-B9F48639B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441960</xdr:colOff>
      <xdr:row>37</xdr:row>
      <xdr:rowOff>144780</xdr:rowOff>
    </xdr:from>
    <xdr:to>
      <xdr:col>6</xdr:col>
      <xdr:colOff>91440</xdr:colOff>
      <xdr:row>54</xdr:row>
      <xdr:rowOff>38100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FCDC0C5-3474-2B0A-7FEB-9AD602B237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297180</xdr:colOff>
      <xdr:row>37</xdr:row>
      <xdr:rowOff>152400</xdr:rowOff>
    </xdr:from>
    <xdr:to>
      <xdr:col>13</xdr:col>
      <xdr:colOff>601980</xdr:colOff>
      <xdr:row>54</xdr:row>
      <xdr:rowOff>45720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D7D4C8A-04CB-AB00-72CA-06A6FD822A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152400</xdr:colOff>
      <xdr:row>37</xdr:row>
      <xdr:rowOff>160020</xdr:rowOff>
    </xdr:from>
    <xdr:to>
      <xdr:col>21</xdr:col>
      <xdr:colOff>457200</xdr:colOff>
      <xdr:row>54</xdr:row>
      <xdr:rowOff>53340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3BDC972-C9E9-9C27-8A6E-8FC3F4AEAF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ugenem\Documents\ShieldingDesigns\MtP\MtPSpecialtyCare\Ortho\1B08_201712\1B08Shield_fo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"/>
      <sheetName val="RadFluoro"/>
      <sheetName val="CT"/>
      <sheetName val="ShieldEvaluation"/>
      <sheetName val="FitParameters"/>
      <sheetName val="NCRP147_4.1"/>
      <sheetName val="NCRP147_4.2"/>
      <sheetName val="NCRP147_4.3"/>
      <sheetName val="NCRP147_4.4"/>
      <sheetName val="NCRP147_4.5"/>
      <sheetName val="NCRP147_4.7"/>
      <sheetName val="NCRP147_5.2"/>
      <sheetName val="NCRP147_A1"/>
      <sheetName val="NCRP147_B1"/>
      <sheetName val="NCRP147_C1"/>
      <sheetName val="W_Rh_Al_Ag"/>
    </sheetNames>
    <sheetDataSet>
      <sheetData sheetId="0">
        <row r="6">
          <cell r="AE6">
            <v>-25.4</v>
          </cell>
          <cell r="AG6" t="str">
            <v>0"</v>
          </cell>
        </row>
        <row r="7">
          <cell r="AE7">
            <v>0</v>
          </cell>
          <cell r="AG7" t="str">
            <v>&lt;=1/256"</v>
          </cell>
        </row>
        <row r="8">
          <cell r="AE8">
            <v>9.9218750999999994E-2</v>
          </cell>
          <cell r="AG8">
            <v>7.8125E-3</v>
          </cell>
        </row>
        <row r="9">
          <cell r="AE9">
            <v>0.19843750099999999</v>
          </cell>
          <cell r="AG9">
            <v>1.5625E-2</v>
          </cell>
        </row>
        <row r="10">
          <cell r="AE10">
            <v>0.39687500100000001</v>
          </cell>
          <cell r="AG10">
            <v>3.125E-2</v>
          </cell>
        </row>
        <row r="11">
          <cell r="AE11">
            <v>0.59531250099999988</v>
          </cell>
          <cell r="AG11">
            <v>3.125E-2</v>
          </cell>
        </row>
        <row r="12">
          <cell r="AE12">
            <v>0.79375000099999993</v>
          </cell>
          <cell r="AG12">
            <v>3.125E-2</v>
          </cell>
        </row>
        <row r="13">
          <cell r="AE13">
            <v>0.99218750099999997</v>
          </cell>
          <cell r="AG13">
            <v>6.25E-2</v>
          </cell>
        </row>
        <row r="14">
          <cell r="AE14">
            <v>1.1906250009999999</v>
          </cell>
          <cell r="AG14">
            <v>6.25E-2</v>
          </cell>
        </row>
        <row r="15">
          <cell r="AE15">
            <v>1.3890625009999999</v>
          </cell>
          <cell r="AG15">
            <v>6.25E-2</v>
          </cell>
        </row>
        <row r="16">
          <cell r="AE16">
            <v>1.587500001</v>
          </cell>
          <cell r="AG16">
            <v>6.25E-2</v>
          </cell>
        </row>
        <row r="17">
          <cell r="AE17">
            <v>1.785937501</v>
          </cell>
          <cell r="AG17">
            <v>9.375E-2</v>
          </cell>
        </row>
        <row r="18">
          <cell r="AE18">
            <v>1.9843750010000001</v>
          </cell>
          <cell r="AG18">
            <v>9.375E-2</v>
          </cell>
        </row>
        <row r="19">
          <cell r="AE19">
            <v>2.1828125009999999</v>
          </cell>
          <cell r="AG19">
            <v>9.375E-2</v>
          </cell>
        </row>
        <row r="20">
          <cell r="AE20">
            <v>2.3812500009999997</v>
          </cell>
          <cell r="AG20">
            <v>9.375E-2</v>
          </cell>
        </row>
        <row r="21">
          <cell r="AE21">
            <v>2.579687501</v>
          </cell>
          <cell r="AG21">
            <v>0.125</v>
          </cell>
        </row>
        <row r="22">
          <cell r="AE22">
            <v>2.7781250009999998</v>
          </cell>
          <cell r="AG22">
            <v>0.125</v>
          </cell>
        </row>
        <row r="23">
          <cell r="AE23">
            <v>2.9765625010000001</v>
          </cell>
          <cell r="AG23">
            <v>0.125</v>
          </cell>
        </row>
        <row r="24">
          <cell r="AE24">
            <v>3.1750000009999999</v>
          </cell>
          <cell r="AG24">
            <v>0.125</v>
          </cell>
        </row>
        <row r="25">
          <cell r="AE25">
            <v>3.3734375009999997</v>
          </cell>
          <cell r="AG25">
            <v>0.15625</v>
          </cell>
        </row>
        <row r="26">
          <cell r="AE26">
            <v>3.571875001</v>
          </cell>
          <cell r="AG26">
            <v>0.15625</v>
          </cell>
        </row>
        <row r="27">
          <cell r="AE27">
            <v>3.7703125009999998</v>
          </cell>
          <cell r="AG27">
            <v>0.15625</v>
          </cell>
        </row>
        <row r="28">
          <cell r="AE28">
            <v>3.9687500010000001</v>
          </cell>
          <cell r="AG28">
            <v>0.15625</v>
          </cell>
        </row>
        <row r="29">
          <cell r="AE29">
            <v>4.1671875009999999</v>
          </cell>
          <cell r="AG29">
            <v>0.1875</v>
          </cell>
        </row>
        <row r="30">
          <cell r="AE30">
            <v>4.3656250009999997</v>
          </cell>
          <cell r="AG30">
            <v>0.1875</v>
          </cell>
        </row>
        <row r="31">
          <cell r="AE31">
            <v>4.5640625009999995</v>
          </cell>
          <cell r="AG31">
            <v>0.1875</v>
          </cell>
        </row>
        <row r="32">
          <cell r="AE32">
            <v>4.7625000009999994</v>
          </cell>
          <cell r="AG32">
            <v>0.1875</v>
          </cell>
        </row>
        <row r="33">
          <cell r="AE33">
            <v>4.9609375010000001</v>
          </cell>
          <cell r="AG33">
            <v>0.21875</v>
          </cell>
        </row>
        <row r="34">
          <cell r="AE34">
            <v>5.1593750009999999</v>
          </cell>
          <cell r="AG34">
            <v>0.21875</v>
          </cell>
        </row>
        <row r="35">
          <cell r="AE35">
            <v>5.3578125009999997</v>
          </cell>
          <cell r="AG35">
            <v>0.21875</v>
          </cell>
        </row>
        <row r="36">
          <cell r="AE36">
            <v>5.5562500009999995</v>
          </cell>
          <cell r="AG36">
            <v>0.21875</v>
          </cell>
        </row>
        <row r="37">
          <cell r="AE37">
            <v>5.7546875009999994</v>
          </cell>
          <cell r="AG37">
            <v>0.25</v>
          </cell>
        </row>
        <row r="38">
          <cell r="AE38">
            <v>5.9531250010000001</v>
          </cell>
          <cell r="AG38">
            <v>0.25</v>
          </cell>
        </row>
        <row r="39">
          <cell r="AE39">
            <v>6.1515625009999999</v>
          </cell>
          <cell r="AG39">
            <v>0.25</v>
          </cell>
        </row>
        <row r="40">
          <cell r="AE40">
            <v>6.3500000009999997</v>
          </cell>
          <cell r="AG40" t="str">
            <v>&gt;=1/4"</v>
          </cell>
        </row>
        <row r="41">
          <cell r="AE41">
            <v>25.400000000999999</v>
          </cell>
        </row>
      </sheetData>
      <sheetData sheetId="1"/>
      <sheetData sheetId="2"/>
      <sheetData sheetId="3">
        <row r="16">
          <cell r="H16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2"/>
  <sheetViews>
    <sheetView zoomScale="90" zoomScaleNormal="90" workbookViewId="0">
      <selection activeCell="AG24" sqref="AG24"/>
    </sheetView>
  </sheetViews>
  <sheetFormatPr defaultRowHeight="13.2" x14ac:dyDescent="0.25"/>
  <cols>
    <col min="1" max="1" width="13.77734375" customWidth="1"/>
    <col min="2" max="10" width="8.77734375" customWidth="1"/>
    <col min="11" max="14" width="12.33203125" customWidth="1"/>
    <col min="16" max="29" width="9.33203125" style="10"/>
    <col min="30" max="30" width="14.33203125" customWidth="1"/>
    <col min="31" max="31" width="14" customWidth="1"/>
    <col min="32" max="32" width="10.6640625" customWidth="1"/>
    <col min="33" max="33" width="10.44140625" customWidth="1"/>
    <col min="35" max="35" width="13" customWidth="1"/>
    <col min="36" max="36" width="13.6640625" customWidth="1"/>
    <col min="47" max="47" width="5.77734375" customWidth="1"/>
  </cols>
  <sheetData>
    <row r="1" spans="1:36" ht="15.6" x14ac:dyDescent="0.3">
      <c r="B1" s="1"/>
      <c r="C1" s="1"/>
      <c r="D1" s="174"/>
      <c r="E1" s="1"/>
      <c r="F1" s="1"/>
      <c r="G1" s="118" t="s">
        <v>0</v>
      </c>
      <c r="I1" s="1"/>
      <c r="J1" s="1"/>
      <c r="K1" s="1"/>
      <c r="L1" s="1"/>
      <c r="M1" s="1"/>
      <c r="N1" s="1"/>
      <c r="O1" s="10"/>
      <c r="P1" s="20" t="s">
        <v>1</v>
      </c>
      <c r="Q1"/>
      <c r="R1"/>
      <c r="S1"/>
      <c r="T1"/>
      <c r="U1"/>
      <c r="V1"/>
      <c r="W1"/>
      <c r="X1"/>
      <c r="Y1"/>
      <c r="Z1"/>
      <c r="AA1"/>
      <c r="AB1"/>
      <c r="AC1"/>
    </row>
    <row r="2" spans="1:36" x14ac:dyDescent="0.25">
      <c r="O2" s="10"/>
      <c r="Q2"/>
      <c r="R2"/>
      <c r="S2"/>
      <c r="T2"/>
      <c r="U2"/>
      <c r="V2"/>
      <c r="W2"/>
      <c r="X2"/>
      <c r="Y2"/>
      <c r="Z2"/>
      <c r="AA2"/>
      <c r="AB2"/>
      <c r="AC2"/>
    </row>
    <row r="3" spans="1:36" x14ac:dyDescent="0.25">
      <c r="A3" s="2" t="s">
        <v>2</v>
      </c>
      <c r="B3" s="176"/>
      <c r="C3" s="4"/>
      <c r="D3" s="16"/>
      <c r="E3" s="16"/>
      <c r="F3" s="16"/>
      <c r="G3" s="16"/>
      <c r="H3" s="16"/>
      <c r="I3" s="16"/>
      <c r="J3" s="19"/>
      <c r="O3" s="119" t="s">
        <v>3</v>
      </c>
      <c r="P3" s="21" t="s">
        <v>4</v>
      </c>
      <c r="Q3"/>
      <c r="R3"/>
      <c r="S3"/>
      <c r="T3"/>
      <c r="U3"/>
      <c r="V3"/>
      <c r="W3"/>
      <c r="X3"/>
      <c r="Y3"/>
      <c r="Z3"/>
      <c r="AA3"/>
      <c r="AB3"/>
      <c r="AC3"/>
    </row>
    <row r="4" spans="1:36" x14ac:dyDescent="0.25">
      <c r="A4" s="5"/>
      <c r="B4" s="1"/>
      <c r="C4" s="1"/>
      <c r="D4" s="1"/>
      <c r="E4" s="1"/>
      <c r="F4" s="1"/>
      <c r="G4" s="1"/>
      <c r="H4" s="1"/>
      <c r="I4" s="1"/>
      <c r="J4" s="1"/>
      <c r="O4" s="119" t="s">
        <v>5</v>
      </c>
      <c r="P4" s="21" t="s">
        <v>6</v>
      </c>
      <c r="Q4"/>
      <c r="R4"/>
      <c r="S4"/>
      <c r="T4"/>
      <c r="U4"/>
      <c r="V4"/>
      <c r="W4"/>
      <c r="X4"/>
      <c r="Y4"/>
      <c r="Z4"/>
      <c r="AA4"/>
      <c r="AB4"/>
      <c r="AC4"/>
      <c r="AG4" t="s">
        <v>7</v>
      </c>
    </row>
    <row r="5" spans="1:36" ht="13.8" thickBot="1" x14ac:dyDescent="0.3">
      <c r="A5" s="7" t="s">
        <v>8</v>
      </c>
      <c r="B5" s="238"/>
      <c r="C5" s="49"/>
      <c r="D5" s="8"/>
      <c r="E5" s="8"/>
      <c r="G5" s="29" t="s">
        <v>9</v>
      </c>
      <c r="H5" s="32" t="s">
        <v>102</v>
      </c>
      <c r="I5" s="30"/>
      <c r="J5" s="31"/>
      <c r="K5" s="6"/>
      <c r="L5" s="6"/>
      <c r="O5" s="119" t="s">
        <v>10</v>
      </c>
      <c r="P5" s="21" t="s">
        <v>11</v>
      </c>
      <c r="Q5"/>
      <c r="R5"/>
      <c r="S5"/>
      <c r="T5"/>
      <c r="U5"/>
      <c r="V5"/>
      <c r="W5"/>
      <c r="X5"/>
      <c r="Y5"/>
      <c r="Z5"/>
      <c r="AA5"/>
      <c r="AB5"/>
      <c r="AC5"/>
      <c r="AE5" s="38" t="s">
        <v>12</v>
      </c>
      <c r="AF5" s="38" t="s">
        <v>13</v>
      </c>
      <c r="AG5" s="38" t="s">
        <v>14</v>
      </c>
    </row>
    <row r="6" spans="1:36" x14ac:dyDescent="0.25">
      <c r="A6" s="7"/>
      <c r="B6" s="37"/>
      <c r="C6" s="37"/>
      <c r="D6" s="8"/>
      <c r="E6" s="8"/>
      <c r="G6" s="29"/>
      <c r="H6" s="8"/>
      <c r="I6" s="8"/>
      <c r="J6" s="36"/>
      <c r="K6" s="6"/>
      <c r="L6" s="6"/>
      <c r="O6" s="119" t="s">
        <v>15</v>
      </c>
      <c r="P6" s="21" t="s">
        <v>16</v>
      </c>
      <c r="Q6"/>
      <c r="R6"/>
      <c r="S6"/>
      <c r="T6"/>
      <c r="U6"/>
      <c r="V6"/>
      <c r="W6"/>
      <c r="X6"/>
      <c r="Y6"/>
      <c r="Z6"/>
      <c r="AA6"/>
      <c r="AB6"/>
      <c r="AC6"/>
      <c r="AE6">
        <v>-25.4</v>
      </c>
      <c r="AF6">
        <v>-1</v>
      </c>
      <c r="AG6" s="48" t="s">
        <v>17</v>
      </c>
    </row>
    <row r="7" spans="1:36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O7" s="119" t="s">
        <v>18</v>
      </c>
      <c r="P7" s="21" t="s">
        <v>19</v>
      </c>
      <c r="Q7"/>
      <c r="R7"/>
      <c r="S7"/>
      <c r="T7"/>
      <c r="U7"/>
      <c r="V7"/>
      <c r="W7"/>
      <c r="X7"/>
      <c r="Y7"/>
      <c r="Z7"/>
      <c r="AA7"/>
      <c r="AB7"/>
      <c r="AC7"/>
      <c r="AD7" s="47"/>
      <c r="AE7">
        <v>0</v>
      </c>
      <c r="AF7">
        <v>0</v>
      </c>
      <c r="AG7" s="44" t="s">
        <v>20</v>
      </c>
      <c r="AJ7" s="47"/>
    </row>
    <row r="8" spans="1:36" x14ac:dyDescent="0.25">
      <c r="C8" s="2" t="s">
        <v>21</v>
      </c>
      <c r="D8" s="240"/>
      <c r="O8" s="119" t="s">
        <v>22</v>
      </c>
      <c r="P8" s="21" t="s">
        <v>23</v>
      </c>
      <c r="Q8"/>
      <c r="R8"/>
      <c r="S8"/>
      <c r="T8"/>
      <c r="U8"/>
      <c r="V8"/>
      <c r="W8"/>
      <c r="X8"/>
      <c r="Y8"/>
      <c r="Z8"/>
      <c r="AA8"/>
      <c r="AB8"/>
      <c r="AC8"/>
      <c r="AD8" s="47"/>
      <c r="AE8" s="47">
        <v>9.9218750999999994E-2</v>
      </c>
      <c r="AF8" s="43">
        <v>3.90625E-3</v>
      </c>
      <c r="AG8" s="44">
        <v>7.8125E-3</v>
      </c>
      <c r="AH8" s="45"/>
      <c r="AI8" s="47"/>
      <c r="AJ8" s="47"/>
    </row>
    <row r="9" spans="1:36" x14ac:dyDescent="0.25">
      <c r="C9" s="2" t="s">
        <v>24</v>
      </c>
      <c r="D9" s="240"/>
      <c r="G9" s="2" t="s">
        <v>25</v>
      </c>
      <c r="H9" s="239"/>
      <c r="I9" s="1"/>
      <c r="O9" s="119" t="s">
        <v>26</v>
      </c>
      <c r="P9" s="21" t="s">
        <v>27</v>
      </c>
      <c r="Q9"/>
      <c r="R9"/>
      <c r="S9"/>
      <c r="T9"/>
      <c r="U9"/>
      <c r="V9"/>
      <c r="W9"/>
      <c r="X9"/>
      <c r="Y9"/>
      <c r="Z9"/>
      <c r="AA9"/>
      <c r="AB9"/>
      <c r="AC9"/>
      <c r="AD9" s="47"/>
      <c r="AE9" s="47">
        <v>0.19843750099999999</v>
      </c>
      <c r="AF9" s="43">
        <v>7.8125E-3</v>
      </c>
      <c r="AG9" s="44">
        <v>1.5625E-2</v>
      </c>
      <c r="AH9" s="45"/>
      <c r="AI9" s="47"/>
      <c r="AJ9" s="47"/>
    </row>
    <row r="10" spans="1:36" x14ac:dyDescent="0.25">
      <c r="C10" s="2" t="s">
        <v>28</v>
      </c>
      <c r="D10" s="240"/>
      <c r="G10" s="2" t="s">
        <v>29</v>
      </c>
      <c r="H10" s="239"/>
      <c r="I10" s="1"/>
      <c r="O10" s="119" t="s">
        <v>30</v>
      </c>
      <c r="P10" s="21" t="s">
        <v>31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 s="47"/>
      <c r="AE10" s="47">
        <v>0.39687500100000001</v>
      </c>
      <c r="AF10" s="43">
        <v>1.5625E-2</v>
      </c>
      <c r="AG10" s="44">
        <v>3.125E-2</v>
      </c>
      <c r="AH10" s="45"/>
      <c r="AI10" s="47"/>
      <c r="AJ10" s="47"/>
    </row>
    <row r="11" spans="1:36" ht="13.8" thickBot="1" x14ac:dyDescent="0.3">
      <c r="C11" s="2" t="s">
        <v>32</v>
      </c>
      <c r="D11" s="24" t="str">
        <f>IF(AND(D8="",D9="",D10=""),"",ROUND(D8*D9*D10/60,0))</f>
        <v/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s="47"/>
      <c r="AE11" s="47">
        <v>0.59531250099999988</v>
      </c>
      <c r="AF11" s="43">
        <v>2.34375E-2</v>
      </c>
      <c r="AG11" s="44">
        <v>3.125E-2</v>
      </c>
      <c r="AH11" s="45"/>
      <c r="AI11" s="47"/>
      <c r="AJ11" s="47"/>
    </row>
    <row r="12" spans="1:36" ht="13.8" thickTop="1" x14ac:dyDescent="0.25">
      <c r="D12" s="2"/>
      <c r="E12" s="3"/>
      <c r="F12" s="11"/>
      <c r="G12" s="12"/>
      <c r="H12" s="2"/>
      <c r="I12" s="2"/>
      <c r="P12"/>
      <c r="Q12"/>
      <c r="R12"/>
      <c r="S12"/>
      <c r="T12"/>
      <c r="U12"/>
      <c r="V12" s="82"/>
      <c r="W12" s="83"/>
      <c r="X12" s="84" t="s">
        <v>33</v>
      </c>
      <c r="Y12" s="85"/>
      <c r="Z12" s="85"/>
      <c r="AA12" s="85"/>
      <c r="AB12" s="86"/>
      <c r="AC12"/>
      <c r="AD12" s="47"/>
      <c r="AE12" s="47">
        <v>0.79375000099999993</v>
      </c>
      <c r="AF12" s="43">
        <v>3.125E-2</v>
      </c>
      <c r="AG12" s="44">
        <v>3.125E-2</v>
      </c>
      <c r="AH12" s="45"/>
      <c r="AI12" s="47"/>
      <c r="AJ12" s="47"/>
    </row>
    <row r="13" spans="1:36" x14ac:dyDescent="0.25">
      <c r="C13" s="11" t="s">
        <v>34</v>
      </c>
      <c r="D13" s="33"/>
      <c r="E13" s="12" t="s">
        <v>35</v>
      </c>
      <c r="F13" s="11"/>
      <c r="G13" s="12"/>
      <c r="H13" s="2"/>
      <c r="I13" s="2"/>
      <c r="P13"/>
      <c r="Q13"/>
      <c r="R13"/>
      <c r="S13"/>
      <c r="T13"/>
      <c r="U13"/>
      <c r="V13" s="87"/>
      <c r="W13" s="88"/>
      <c r="X13" s="89" t="s">
        <v>36</v>
      </c>
      <c r="Y13" s="89"/>
      <c r="Z13" s="89"/>
      <c r="AA13" s="89"/>
      <c r="AB13" s="90"/>
      <c r="AC13"/>
      <c r="AD13" s="47"/>
      <c r="AE13" s="47">
        <v>0.99218750099999997</v>
      </c>
      <c r="AF13" s="43">
        <v>3.90625E-2</v>
      </c>
      <c r="AG13" s="44">
        <v>6.25E-2</v>
      </c>
      <c r="AH13" s="45"/>
      <c r="AI13" s="47"/>
      <c r="AJ13" s="47"/>
    </row>
    <row r="14" spans="1:36" x14ac:dyDescent="0.25">
      <c r="C14" s="11"/>
      <c r="D14" s="3"/>
      <c r="E14" s="12"/>
      <c r="F14" s="11"/>
      <c r="G14" s="12"/>
      <c r="H14" s="2"/>
      <c r="I14" s="2"/>
      <c r="P14"/>
      <c r="Q14"/>
      <c r="R14"/>
      <c r="S14"/>
      <c r="T14"/>
      <c r="U14"/>
      <c r="V14" s="91" t="s">
        <v>37</v>
      </c>
      <c r="W14" s="92">
        <v>30</v>
      </c>
      <c r="X14" s="92">
        <v>45</v>
      </c>
      <c r="Y14" s="92">
        <v>60</v>
      </c>
      <c r="Z14" s="92">
        <v>90</v>
      </c>
      <c r="AA14" s="92">
        <v>120</v>
      </c>
      <c r="AB14" s="93">
        <v>135</v>
      </c>
      <c r="AC14"/>
      <c r="AD14" s="47"/>
      <c r="AE14" s="47">
        <v>1.1906250009999999</v>
      </c>
      <c r="AF14" s="43">
        <v>4.6875E-2</v>
      </c>
      <c r="AG14" s="44">
        <v>6.25E-2</v>
      </c>
      <c r="AH14" s="45"/>
      <c r="AI14" s="47"/>
      <c r="AJ14" s="47"/>
    </row>
    <row r="15" spans="1:36" x14ac:dyDescent="0.25">
      <c r="A15" s="18" t="s">
        <v>38</v>
      </c>
      <c r="P15"/>
      <c r="Q15"/>
      <c r="R15"/>
      <c r="S15"/>
      <c r="T15"/>
      <c r="U15"/>
      <c r="V15" s="87"/>
      <c r="W15" s="94"/>
      <c r="X15" s="94"/>
      <c r="Y15" s="94"/>
      <c r="Z15" s="94"/>
      <c r="AA15" s="94"/>
      <c r="AB15" s="95"/>
      <c r="AC15"/>
      <c r="AD15" s="47"/>
      <c r="AE15" s="47">
        <v>1.3890625009999999</v>
      </c>
      <c r="AF15" s="43">
        <v>5.46875E-2</v>
      </c>
      <c r="AG15" s="44">
        <v>6.25E-2</v>
      </c>
      <c r="AH15" s="45"/>
      <c r="AI15" s="47"/>
      <c r="AJ15" s="47"/>
    </row>
    <row r="16" spans="1:36" x14ac:dyDescent="0.25">
      <c r="A16" s="4" t="s">
        <v>39</v>
      </c>
      <c r="B16" s="13" t="s">
        <v>40</v>
      </c>
      <c r="C16" s="13" t="s">
        <v>41</v>
      </c>
      <c r="D16" s="13" t="s">
        <v>42</v>
      </c>
      <c r="E16" s="26" t="s">
        <v>43</v>
      </c>
      <c r="F16" s="26" t="s">
        <v>44</v>
      </c>
      <c r="G16" s="26" t="s">
        <v>45</v>
      </c>
      <c r="K16" s="7" t="s">
        <v>46</v>
      </c>
      <c r="L16" s="23">
        <f>(12*2.54)/100</f>
        <v>0.30480000000000002</v>
      </c>
      <c r="M16" s="21" t="s">
        <v>47</v>
      </c>
      <c r="P16"/>
      <c r="Q16"/>
      <c r="R16"/>
      <c r="S16"/>
      <c r="T16"/>
      <c r="U16"/>
      <c r="V16" s="87">
        <v>30</v>
      </c>
      <c r="W16" s="94"/>
      <c r="X16" s="94"/>
      <c r="Y16" s="94"/>
      <c r="Z16" s="94"/>
      <c r="AA16" s="94"/>
      <c r="AB16" s="95"/>
      <c r="AC16"/>
      <c r="AD16" s="47"/>
      <c r="AE16" s="47">
        <v>1.587500001</v>
      </c>
      <c r="AF16" s="43">
        <v>6.25E-2</v>
      </c>
      <c r="AG16" s="44">
        <v>6.25E-2</v>
      </c>
      <c r="AH16" s="45"/>
      <c r="AI16" s="47"/>
      <c r="AJ16" s="47"/>
    </row>
    <row r="17" spans="1:36" x14ac:dyDescent="0.25">
      <c r="A17" s="15" t="s">
        <v>48</v>
      </c>
      <c r="B17" s="25" t="str">
        <f>IF($D$13="","",VLOOKUP($D$13,$O$46:$AT$71,2))</f>
        <v/>
      </c>
      <c r="C17" s="25" t="str">
        <f>IF($D$13="","",VLOOKUP($D$13,$O$46:$AT$71,3))</f>
        <v/>
      </c>
      <c r="D17" s="25" t="str">
        <f>IF($D$13="","",VLOOKUP($D$13,$O$46:$AT$71,4))</f>
        <v/>
      </c>
      <c r="E17" s="25" t="str">
        <f t="shared" ref="E17:E22" si="0">IF($D$13="","",VLOOKUP($D$13,$O$46:$AT$71,32))</f>
        <v/>
      </c>
      <c r="F17" s="25" t="str">
        <f>IF($D$13="","",VLOOKUP($D$13,$O$46:$AT$71,5))</f>
        <v/>
      </c>
      <c r="G17" s="25" t="str">
        <f>IF($D$13="","",VLOOKUP($D$13,$O$46:$AT$71,6))</f>
        <v/>
      </c>
      <c r="K17" s="2" t="s">
        <v>49</v>
      </c>
      <c r="L17">
        <f>1/16</f>
        <v>6.25E-2</v>
      </c>
      <c r="P17"/>
      <c r="Q17"/>
      <c r="R17"/>
      <c r="S17"/>
      <c r="T17"/>
      <c r="U17"/>
      <c r="V17" s="87">
        <v>35</v>
      </c>
      <c r="W17" s="94"/>
      <c r="X17" s="94"/>
      <c r="Y17" s="94"/>
      <c r="Z17" s="94"/>
      <c r="AA17" s="94"/>
      <c r="AB17" s="95"/>
      <c r="AC17"/>
      <c r="AD17" s="47"/>
      <c r="AE17" s="47">
        <v>1.785937501</v>
      </c>
      <c r="AF17" s="43">
        <v>7.03125E-2</v>
      </c>
      <c r="AG17" s="44">
        <v>9.375E-2</v>
      </c>
      <c r="AH17" s="45"/>
      <c r="AI17" s="47"/>
      <c r="AJ17" s="47"/>
    </row>
    <row r="18" spans="1:36" x14ac:dyDescent="0.25">
      <c r="A18" s="15" t="s">
        <v>50</v>
      </c>
      <c r="B18" s="25" t="str">
        <f>IF($D$13="","",VLOOKUP($D$13,$O$46:$AT$71,7))</f>
        <v/>
      </c>
      <c r="C18" s="25" t="str">
        <f>IF($D$13="","",VLOOKUP($D$13,$O$46:$AT$71,8))</f>
        <v/>
      </c>
      <c r="D18" s="25" t="str">
        <f>IF($D$13="","",VLOOKUP($D$13,$O$46:$AT$71,9))</f>
        <v/>
      </c>
      <c r="E18" s="25" t="str">
        <f t="shared" si="0"/>
        <v/>
      </c>
      <c r="F18" s="25" t="str">
        <f>IF($D$13="","",VLOOKUP($D$13,$O$46:$AT$71,10))</f>
        <v/>
      </c>
      <c r="G18" s="25" t="str">
        <f>IF($D$13="","",VLOOKUP($D$13,$O$46:$AT$71,11))</f>
        <v/>
      </c>
      <c r="K18" s="2" t="s">
        <v>51</v>
      </c>
      <c r="L18">
        <f>1/8</f>
        <v>0.125</v>
      </c>
      <c r="P18"/>
      <c r="Q18"/>
      <c r="R18"/>
      <c r="S18"/>
      <c r="T18"/>
      <c r="U18"/>
      <c r="V18" s="87">
        <v>50</v>
      </c>
      <c r="W18" s="96">
        <v>5.0000000000000001E-4</v>
      </c>
      <c r="X18" s="96">
        <v>2.0000000000000001E-4</v>
      </c>
      <c r="Y18" s="96">
        <v>2.5000000000000001E-4</v>
      </c>
      <c r="Z18" s="96">
        <v>3.5E-4</v>
      </c>
      <c r="AA18" s="96">
        <v>8.0000000000000004E-4</v>
      </c>
      <c r="AB18" s="97">
        <v>1E-3</v>
      </c>
      <c r="AC18"/>
      <c r="AD18" s="47"/>
      <c r="AE18" s="47">
        <v>1.9843750010000001</v>
      </c>
      <c r="AF18" s="43">
        <v>7.8125E-2</v>
      </c>
      <c r="AG18" s="44">
        <v>9.375E-2</v>
      </c>
      <c r="AH18" s="45"/>
      <c r="AI18" s="47"/>
      <c r="AJ18" s="47"/>
    </row>
    <row r="19" spans="1:36" x14ac:dyDescent="0.25">
      <c r="A19" s="17" t="s">
        <v>52</v>
      </c>
      <c r="B19" s="25" t="str">
        <f>IF($D$13="","",VLOOKUP($D$13,$O$46:$AT$71,12))</f>
        <v/>
      </c>
      <c r="C19" s="25" t="str">
        <f>IF($D$13="","",VLOOKUP($D$13,$O$46:$AT$71,13))</f>
        <v/>
      </c>
      <c r="D19" s="25" t="str">
        <f>IF($D$13="","",VLOOKUP($D$13,$O$46:$AT$71,14))</f>
        <v/>
      </c>
      <c r="E19" s="25" t="str">
        <f t="shared" si="0"/>
        <v/>
      </c>
      <c r="F19" s="25" t="str">
        <f>IF($D$13="","",VLOOKUP($D$13,$O$46:$AT$71,15))</f>
        <v/>
      </c>
      <c r="G19" s="25" t="str">
        <f>IF($D$13="","",VLOOKUP($D$13,$O$46:$AT$71,16))</f>
        <v/>
      </c>
      <c r="I19" s="41" t="s">
        <v>53</v>
      </c>
      <c r="P19"/>
      <c r="Q19"/>
      <c r="R19"/>
      <c r="S19"/>
      <c r="T19"/>
      <c r="U19"/>
      <c r="V19" s="87">
        <v>55</v>
      </c>
      <c r="W19" s="98">
        <f t="shared" ref="W19:AB21" si="1">((($V19-$V$18)/($V$22-$V$18))*(W$22-W$18))+W$18</f>
        <v>5.375E-4</v>
      </c>
      <c r="X19" s="98">
        <f t="shared" si="1"/>
        <v>2.375E-4</v>
      </c>
      <c r="Y19" s="98">
        <f t="shared" si="1"/>
        <v>2.7500000000000002E-4</v>
      </c>
      <c r="Z19" s="98">
        <f t="shared" si="1"/>
        <v>3.8749999999999999E-4</v>
      </c>
      <c r="AA19" s="98">
        <f t="shared" si="1"/>
        <v>8.5000000000000006E-4</v>
      </c>
      <c r="AB19" s="99">
        <f t="shared" si="1"/>
        <v>1.075E-3</v>
      </c>
      <c r="AC19"/>
      <c r="AD19" s="47"/>
      <c r="AE19" s="47">
        <v>2.1828125009999999</v>
      </c>
      <c r="AF19" s="43">
        <v>8.59375E-2</v>
      </c>
      <c r="AG19" s="44">
        <v>9.375E-2</v>
      </c>
      <c r="AH19" s="45"/>
      <c r="AI19" s="46"/>
      <c r="AJ19" s="47"/>
    </row>
    <row r="20" spans="1:36" ht="13.8" thickBot="1" x14ac:dyDescent="0.3">
      <c r="A20" s="17" t="s">
        <v>54</v>
      </c>
      <c r="B20" s="25" t="str">
        <f>IF($D$13="","",VLOOKUP($D$13,$O$46:$AT$71,17))</f>
        <v/>
      </c>
      <c r="C20" s="25" t="str">
        <f>IF($D$13="","",VLOOKUP($D$13,$O$46:$AT$71,18))</f>
        <v/>
      </c>
      <c r="D20" s="25" t="str">
        <f>IF($D$13="","",VLOOKUP($D$13,$O$46:$AT$71,19))</f>
        <v/>
      </c>
      <c r="E20" s="25" t="str">
        <f t="shared" si="0"/>
        <v/>
      </c>
      <c r="F20" s="25" t="str">
        <f>IF($D$13="","",VLOOKUP($D$13,$O$46:$AT$71,20))</f>
        <v/>
      </c>
      <c r="G20" s="25" t="str">
        <f>IF($D$13="","",VLOOKUP($D$13,$O$46:$AT$71,21))</f>
        <v/>
      </c>
      <c r="I20" s="38" t="s">
        <v>55</v>
      </c>
      <c r="J20" s="38" t="s">
        <v>56</v>
      </c>
      <c r="K20" s="38" t="s">
        <v>56</v>
      </c>
      <c r="L20" s="38" t="s">
        <v>55</v>
      </c>
      <c r="P20"/>
      <c r="Q20"/>
      <c r="R20"/>
      <c r="S20"/>
      <c r="T20"/>
      <c r="U20"/>
      <c r="V20" s="87">
        <v>60</v>
      </c>
      <c r="W20" s="98">
        <f t="shared" si="1"/>
        <v>5.7499999999999999E-4</v>
      </c>
      <c r="X20" s="98">
        <f t="shared" si="1"/>
        <v>2.7500000000000002E-4</v>
      </c>
      <c r="Y20" s="98">
        <f t="shared" si="1"/>
        <v>3.0000000000000003E-4</v>
      </c>
      <c r="Z20" s="98">
        <f t="shared" si="1"/>
        <v>4.2500000000000003E-4</v>
      </c>
      <c r="AA20" s="98">
        <f t="shared" si="1"/>
        <v>8.9999999999999998E-4</v>
      </c>
      <c r="AB20" s="99">
        <f t="shared" si="1"/>
        <v>1.15E-3</v>
      </c>
      <c r="AC20"/>
      <c r="AD20" s="47"/>
      <c r="AE20" s="47">
        <v>2.3812500009999997</v>
      </c>
      <c r="AF20" s="43">
        <v>9.375E-2</v>
      </c>
      <c r="AG20" s="44">
        <v>9.375E-2</v>
      </c>
      <c r="AH20" s="45"/>
      <c r="AI20" s="46"/>
      <c r="AJ20" s="47"/>
    </row>
    <row r="21" spans="1:36" x14ac:dyDescent="0.25">
      <c r="A21" s="17" t="s">
        <v>57</v>
      </c>
      <c r="B21" s="25" t="str">
        <f>IF($D$13="","",VLOOKUP($D$13,$O$46:$AT$71,22))</f>
        <v/>
      </c>
      <c r="C21" s="25" t="str">
        <f>IF($D$13="","",VLOOKUP($D$13,$O$46:$AT$71,23))</f>
        <v/>
      </c>
      <c r="D21" s="25" t="str">
        <f>IF($D$13="","",VLOOKUP($D$13,$O$46:$AT$71,24))</f>
        <v/>
      </c>
      <c r="E21" s="25" t="str">
        <f t="shared" si="0"/>
        <v/>
      </c>
      <c r="F21" s="25" t="str">
        <f>IF($D$13="","",VLOOKUP($D$13,$O$46:$AT$71,25))</f>
        <v/>
      </c>
      <c r="G21" s="25" t="str">
        <f>IF($D$13="","",VLOOKUP($D$13,$O$46:$AT$71,26))</f>
        <v/>
      </c>
      <c r="I21" s="40"/>
      <c r="J21" s="178">
        <f>I21*12*0.0254</f>
        <v>0</v>
      </c>
      <c r="K21" s="40"/>
      <c r="L21" s="178">
        <f>K21*100/2.54/12</f>
        <v>0</v>
      </c>
      <c r="P21"/>
      <c r="Q21"/>
      <c r="R21"/>
      <c r="S21"/>
      <c r="T21"/>
      <c r="U21"/>
      <c r="V21" s="87">
        <v>65</v>
      </c>
      <c r="W21" s="98">
        <f t="shared" si="1"/>
        <v>6.1249999999999998E-4</v>
      </c>
      <c r="X21" s="98">
        <f t="shared" si="1"/>
        <v>3.1250000000000001E-4</v>
      </c>
      <c r="Y21" s="98">
        <f t="shared" si="1"/>
        <v>3.2499999999999999E-4</v>
      </c>
      <c r="Z21" s="98">
        <f t="shared" si="1"/>
        <v>4.6250000000000002E-4</v>
      </c>
      <c r="AA21" s="98">
        <f t="shared" si="1"/>
        <v>9.5E-4</v>
      </c>
      <c r="AB21" s="99">
        <f t="shared" si="1"/>
        <v>1.225E-3</v>
      </c>
      <c r="AC21"/>
      <c r="AD21" s="47"/>
      <c r="AE21" s="47">
        <v>2.579687501</v>
      </c>
      <c r="AF21" s="43">
        <v>0.1015625</v>
      </c>
      <c r="AG21" s="44">
        <v>0.125</v>
      </c>
      <c r="AH21" s="45"/>
      <c r="AI21" s="46"/>
      <c r="AJ21" s="47"/>
    </row>
    <row r="22" spans="1:36" ht="13.8" thickBot="1" x14ac:dyDescent="0.3">
      <c r="A22" s="17" t="s">
        <v>58</v>
      </c>
      <c r="B22" s="25" t="str">
        <f>IF($D$13="","",VLOOKUP($D$13,$O$46:$AT$71,27))</f>
        <v/>
      </c>
      <c r="C22" s="25" t="str">
        <f>IF($D$13="","",VLOOKUP($D$13,$O$46:$AT$71,28))</f>
        <v/>
      </c>
      <c r="D22" s="25" t="str">
        <f>IF($D$13="","",VLOOKUP($D$13,$O$46:$AT$71,29))</f>
        <v/>
      </c>
      <c r="E22" s="25" t="str">
        <f t="shared" si="0"/>
        <v/>
      </c>
      <c r="F22" s="25" t="str">
        <f>IF($D$13="","",VLOOKUP($D$13,$O$46:$AT$71,30))</f>
        <v/>
      </c>
      <c r="G22" s="25" t="str">
        <f>IF($D$13="","",VLOOKUP($D$13,$O$46:$AT$71,31))</f>
        <v/>
      </c>
      <c r="I22" s="38" t="s">
        <v>13</v>
      </c>
      <c r="J22" s="38" t="s">
        <v>12</v>
      </c>
      <c r="K22" s="42" t="s">
        <v>12</v>
      </c>
      <c r="L22" s="42" t="s">
        <v>13</v>
      </c>
      <c r="M22" s="27"/>
      <c r="P22"/>
      <c r="Q22"/>
      <c r="R22"/>
      <c r="S22"/>
      <c r="T22"/>
      <c r="U22"/>
      <c r="V22" s="87">
        <v>70</v>
      </c>
      <c r="W22" s="96">
        <v>6.4999999999999997E-4</v>
      </c>
      <c r="X22" s="96">
        <v>3.5E-4</v>
      </c>
      <c r="Y22" s="96">
        <v>3.5E-4</v>
      </c>
      <c r="Z22" s="96">
        <v>5.0000000000000001E-4</v>
      </c>
      <c r="AA22" s="96">
        <v>1E-3</v>
      </c>
      <c r="AB22" s="97">
        <v>1.2999999999999999E-3</v>
      </c>
      <c r="AC22"/>
      <c r="AD22" s="47"/>
      <c r="AE22" s="47">
        <v>2.7781250009999998</v>
      </c>
      <c r="AF22" s="43">
        <v>0.109375</v>
      </c>
      <c r="AG22" s="44">
        <v>0.125</v>
      </c>
      <c r="AH22" s="45"/>
      <c r="AI22" s="46"/>
      <c r="AJ22" s="47"/>
    </row>
    <row r="23" spans="1:36" x14ac:dyDescent="0.25">
      <c r="I23" s="39"/>
      <c r="J23" s="178">
        <f>I23*25.4</f>
        <v>0</v>
      </c>
      <c r="K23" s="39"/>
      <c r="L23" s="178">
        <f>K23/25.4</f>
        <v>0</v>
      </c>
      <c r="P23" s="10" t="s">
        <v>59</v>
      </c>
      <c r="Q23"/>
      <c r="R23"/>
      <c r="S23"/>
      <c r="T23"/>
      <c r="U23"/>
      <c r="V23" s="87">
        <v>75</v>
      </c>
      <c r="W23" s="98">
        <f t="shared" ref="W23:AB27" si="2">((($V23-$V$22)/($V$28-$V$22))*(W$28-W$22))+W$22</f>
        <v>7.9166666666666665E-4</v>
      </c>
      <c r="X23" s="98">
        <f t="shared" si="2"/>
        <v>4.9166666666666662E-4</v>
      </c>
      <c r="Y23" s="98">
        <f t="shared" si="2"/>
        <v>4.9166666666666662E-4</v>
      </c>
      <c r="Z23" s="98">
        <f t="shared" si="2"/>
        <v>6.333333333333333E-4</v>
      </c>
      <c r="AA23" s="98">
        <f t="shared" si="2"/>
        <v>1.1666666666666668E-3</v>
      </c>
      <c r="AB23" s="99">
        <f t="shared" si="2"/>
        <v>1.4499999999999999E-3</v>
      </c>
      <c r="AC23"/>
      <c r="AD23" s="47"/>
      <c r="AE23" s="47">
        <v>2.9765625010000001</v>
      </c>
      <c r="AF23" s="43">
        <v>0.1171875</v>
      </c>
      <c r="AG23" s="44">
        <v>0.125</v>
      </c>
      <c r="AH23" s="45"/>
      <c r="AI23" s="46"/>
      <c r="AJ23" s="47"/>
    </row>
    <row r="24" spans="1:36" x14ac:dyDescent="0.25">
      <c r="A24" s="6"/>
      <c r="B24" s="36" t="s">
        <v>60</v>
      </c>
      <c r="C24" s="36"/>
      <c r="D24" s="36"/>
      <c r="E24" s="51"/>
      <c r="F24" s="6"/>
      <c r="G24" s="6"/>
      <c r="H24" s="6"/>
      <c r="I24" s="52" t="s">
        <v>61</v>
      </c>
      <c r="J24" s="6"/>
      <c r="K24" s="52" t="s">
        <v>62</v>
      </c>
      <c r="L24" s="52" t="s">
        <v>63</v>
      </c>
      <c r="M24" s="52" t="s">
        <v>64</v>
      </c>
      <c r="N24" s="52"/>
      <c r="O24" s="52" t="s">
        <v>65</v>
      </c>
      <c r="P24" s="52" t="s">
        <v>65</v>
      </c>
      <c r="Q24" s="52" t="s">
        <v>66</v>
      </c>
      <c r="R24"/>
      <c r="S24"/>
      <c r="T24"/>
      <c r="U24"/>
      <c r="V24" s="87">
        <v>80</v>
      </c>
      <c r="W24" s="98">
        <f t="shared" si="2"/>
        <v>9.3333333333333332E-4</v>
      </c>
      <c r="X24" s="98">
        <f t="shared" si="2"/>
        <v>6.3333333333333319E-4</v>
      </c>
      <c r="Y24" s="98">
        <f t="shared" si="2"/>
        <v>6.3333333333333319E-4</v>
      </c>
      <c r="Z24" s="98">
        <f t="shared" si="2"/>
        <v>7.6666666666666658E-4</v>
      </c>
      <c r="AA24" s="98">
        <f t="shared" si="2"/>
        <v>1.3333333333333333E-3</v>
      </c>
      <c r="AB24" s="99">
        <f t="shared" si="2"/>
        <v>1.5999999999999999E-3</v>
      </c>
      <c r="AC24"/>
      <c r="AD24" s="47"/>
      <c r="AE24" s="47">
        <v>3.1750000009999999</v>
      </c>
      <c r="AF24" s="43">
        <v>0.125</v>
      </c>
      <c r="AG24" s="44">
        <v>0.125</v>
      </c>
      <c r="AH24" s="45"/>
      <c r="AI24" s="46"/>
      <c r="AJ24" s="47"/>
    </row>
    <row r="25" spans="1:36" x14ac:dyDescent="0.25">
      <c r="A25" s="53" t="s">
        <v>67</v>
      </c>
      <c r="B25" s="26" t="s">
        <v>68</v>
      </c>
      <c r="C25" s="26" t="s">
        <v>69</v>
      </c>
      <c r="D25" s="26" t="s">
        <v>70</v>
      </c>
      <c r="E25" s="26" t="s">
        <v>71</v>
      </c>
      <c r="F25" s="26" t="s">
        <v>72</v>
      </c>
      <c r="G25" s="26" t="s">
        <v>73</v>
      </c>
      <c r="H25" s="26" t="s">
        <v>74</v>
      </c>
      <c r="I25" s="26" t="s">
        <v>75</v>
      </c>
      <c r="J25" s="26" t="s">
        <v>76</v>
      </c>
      <c r="K25" s="26" t="s">
        <v>77</v>
      </c>
      <c r="L25" s="26" t="s">
        <v>78</v>
      </c>
      <c r="M25" s="26" t="s">
        <v>78</v>
      </c>
      <c r="N25" s="26" t="s">
        <v>79</v>
      </c>
      <c r="O25" s="26" t="s">
        <v>80</v>
      </c>
      <c r="P25" s="26" t="s">
        <v>81</v>
      </c>
      <c r="Q25" s="54" t="s">
        <v>82</v>
      </c>
      <c r="R25"/>
      <c r="S25"/>
      <c r="T25"/>
      <c r="U25"/>
      <c r="V25" s="87">
        <v>85</v>
      </c>
      <c r="W25" s="98">
        <f t="shared" si="2"/>
        <v>1.075E-3</v>
      </c>
      <c r="X25" s="98">
        <f t="shared" si="2"/>
        <v>7.7499999999999986E-4</v>
      </c>
      <c r="Y25" s="98">
        <f t="shared" si="2"/>
        <v>7.7499999999999986E-4</v>
      </c>
      <c r="Z25" s="98">
        <f t="shared" si="2"/>
        <v>8.9999999999999998E-4</v>
      </c>
      <c r="AA25" s="98">
        <f t="shared" si="2"/>
        <v>1.5E-3</v>
      </c>
      <c r="AB25" s="99">
        <f t="shared" si="2"/>
        <v>1.75E-3</v>
      </c>
      <c r="AC25"/>
      <c r="AD25" s="47"/>
      <c r="AE25" s="47">
        <v>3.3734375009999997</v>
      </c>
      <c r="AF25" s="43">
        <v>0.1328125</v>
      </c>
      <c r="AG25" s="44">
        <v>0.15625</v>
      </c>
      <c r="AH25" s="45"/>
      <c r="AI25" s="46"/>
      <c r="AJ25" s="47"/>
    </row>
    <row r="26" spans="1:36" x14ac:dyDescent="0.25">
      <c r="A26" s="177"/>
      <c r="B26" s="50"/>
      <c r="C26" s="50"/>
      <c r="D26" s="50"/>
      <c r="E26" s="50"/>
      <c r="F26" s="50"/>
      <c r="G26" s="50"/>
      <c r="H26" s="236"/>
      <c r="I26" s="50"/>
      <c r="J26" s="56" t="str">
        <f t="shared" ref="J26:J39" si="3">IF(Q26="","",IF($D$13&lt;40,0.00022,VLOOKUP($D$13,$V$16:$AB$38,Q26,FALSE)))</f>
        <v/>
      </c>
      <c r="K26" s="57" t="str">
        <f>IF(C26="","",IF(H26="U",0.02,0.1))</f>
        <v/>
      </c>
      <c r="L26" s="58" t="str">
        <f t="shared" ref="L26:L39" si="4">IF(OR(B26="",F26=""),"",(K26*(B26^2))/($D$11*F26*G26))</f>
        <v/>
      </c>
      <c r="M26" s="58" t="str">
        <f>IF(C26="","",(K26/(J26*$D$11*G26))*(D26^2)*(C26^2)*(400/$H$10))</f>
        <v/>
      </c>
      <c r="N26" s="58" t="str">
        <f t="shared" ref="N26:N39" si="5">IF(E26="","",(K26*E26^2*60*$H$9)/($D$11*G26))</f>
        <v/>
      </c>
      <c r="O26" s="59" t="str">
        <f t="shared" ref="O26:O39" si="6">IF(N26="","",IF((-LN(N26)/LN(2))&lt;0,0,-LN(N26)/LN(2)))</f>
        <v/>
      </c>
      <c r="P26" s="60" t="str">
        <f t="shared" ref="P26:P39" si="7">IF(L26="","",IF((-LN(L26)/LN(2))&lt;0,0,-LN(L26)/LN(2)))</f>
        <v/>
      </c>
      <c r="Q26" s="61" t="str">
        <f t="shared" ref="Q26:Q39" si="8">IF(I26="","",IF(I26=30,2,IF(I26=45,3,IF(I26=4,11,IF(I26=90,5,IF(I26=120,6,7))))))</f>
        <v/>
      </c>
      <c r="R26"/>
      <c r="S26"/>
      <c r="T26"/>
      <c r="U26"/>
      <c r="V26" s="87">
        <v>90</v>
      </c>
      <c r="W26" s="98">
        <f t="shared" si="2"/>
        <v>1.2166666666666667E-3</v>
      </c>
      <c r="X26" s="98">
        <f t="shared" si="2"/>
        <v>9.1666666666666654E-4</v>
      </c>
      <c r="Y26" s="98">
        <f t="shared" si="2"/>
        <v>9.1666666666666654E-4</v>
      </c>
      <c r="Z26" s="98">
        <f t="shared" si="2"/>
        <v>1.0333333333333332E-3</v>
      </c>
      <c r="AA26" s="98">
        <f t="shared" si="2"/>
        <v>1.6666666666666666E-3</v>
      </c>
      <c r="AB26" s="99">
        <f t="shared" si="2"/>
        <v>1.9E-3</v>
      </c>
      <c r="AC26"/>
      <c r="AD26" s="47"/>
      <c r="AE26" s="47">
        <v>3.571875001</v>
      </c>
      <c r="AF26" s="43">
        <v>0.140625</v>
      </c>
      <c r="AG26" s="44">
        <v>0.15625</v>
      </c>
      <c r="AH26" s="45"/>
      <c r="AI26" s="46"/>
      <c r="AJ26" s="47"/>
    </row>
    <row r="27" spans="1:36" x14ac:dyDescent="0.25">
      <c r="A27" s="177"/>
      <c r="B27" s="50"/>
      <c r="C27" s="50"/>
      <c r="D27" s="50"/>
      <c r="E27" s="50"/>
      <c r="F27" s="50"/>
      <c r="G27" s="50"/>
      <c r="H27" s="236"/>
      <c r="I27" s="50"/>
      <c r="J27" s="56" t="str">
        <f t="shared" si="3"/>
        <v/>
      </c>
      <c r="K27" s="57" t="str">
        <f t="shared" ref="K27:K39" si="9">IF(C27="","",IF(H27="U",0.02,0.1))</f>
        <v/>
      </c>
      <c r="L27" s="58" t="str">
        <f t="shared" si="4"/>
        <v/>
      </c>
      <c r="M27" s="58" t="str">
        <f>IF(C27="","",(K27/(J27*$D$11*G27))*(D27^2)*(C27^2)*(400/$H$10))</f>
        <v/>
      </c>
      <c r="N27" s="58" t="str">
        <f t="shared" si="5"/>
        <v/>
      </c>
      <c r="O27" s="59" t="str">
        <f t="shared" si="6"/>
        <v/>
      </c>
      <c r="P27" s="60" t="str">
        <f t="shared" si="7"/>
        <v/>
      </c>
      <c r="Q27" s="61" t="str">
        <f t="shared" si="8"/>
        <v/>
      </c>
      <c r="R27"/>
      <c r="S27"/>
      <c r="T27"/>
      <c r="U27"/>
      <c r="V27" s="87">
        <v>95</v>
      </c>
      <c r="W27" s="98">
        <f t="shared" si="2"/>
        <v>1.3583333333333334E-3</v>
      </c>
      <c r="X27" s="98">
        <f t="shared" si="2"/>
        <v>1.0583333333333332E-3</v>
      </c>
      <c r="Y27" s="98">
        <f t="shared" si="2"/>
        <v>1.0583333333333332E-3</v>
      </c>
      <c r="Z27" s="98">
        <f t="shared" si="2"/>
        <v>1.1666666666666665E-3</v>
      </c>
      <c r="AA27" s="98">
        <f t="shared" si="2"/>
        <v>1.8333333333333335E-3</v>
      </c>
      <c r="AB27" s="99">
        <f t="shared" si="2"/>
        <v>2.0500000000000002E-3</v>
      </c>
      <c r="AC27"/>
      <c r="AD27" s="47"/>
      <c r="AE27" s="47">
        <v>3.7703125009999998</v>
      </c>
      <c r="AF27" s="43">
        <v>0.1484375</v>
      </c>
      <c r="AG27" s="44">
        <v>0.15625</v>
      </c>
      <c r="AH27" s="45"/>
      <c r="AI27" s="46"/>
      <c r="AJ27" s="47"/>
    </row>
    <row r="28" spans="1:36" x14ac:dyDescent="0.25">
      <c r="A28" s="177"/>
      <c r="B28" s="50"/>
      <c r="C28" s="50"/>
      <c r="D28" s="50"/>
      <c r="E28" s="50"/>
      <c r="F28" s="50"/>
      <c r="G28" s="50"/>
      <c r="H28" s="236"/>
      <c r="I28" s="50"/>
      <c r="J28" s="56" t="str">
        <f t="shared" si="3"/>
        <v/>
      </c>
      <c r="K28" s="57" t="str">
        <f t="shared" si="9"/>
        <v/>
      </c>
      <c r="L28" s="58" t="str">
        <f t="shared" si="4"/>
        <v/>
      </c>
      <c r="M28" s="58" t="str">
        <f t="shared" ref="M28:M39" si="10">IF(C28="","",(K28/(J28*$D$11*G28))*(D28^2)*(C28^2)*(400/$H$10))</f>
        <v/>
      </c>
      <c r="N28" s="58" t="str">
        <f t="shared" si="5"/>
        <v/>
      </c>
      <c r="O28" s="59" t="str">
        <f t="shared" si="6"/>
        <v/>
      </c>
      <c r="P28" s="60" t="str">
        <f t="shared" si="7"/>
        <v/>
      </c>
      <c r="Q28" s="61" t="str">
        <f t="shared" si="8"/>
        <v/>
      </c>
      <c r="R28"/>
      <c r="S28"/>
      <c r="T28"/>
      <c r="U28"/>
      <c r="V28" s="87">
        <v>100</v>
      </c>
      <c r="W28" s="96">
        <v>1.5E-3</v>
      </c>
      <c r="X28" s="96">
        <v>1.1999999999999999E-3</v>
      </c>
      <c r="Y28" s="96">
        <v>1.1999999999999999E-3</v>
      </c>
      <c r="Z28" s="96">
        <v>1.2999999999999999E-3</v>
      </c>
      <c r="AA28" s="96">
        <v>2E-3</v>
      </c>
      <c r="AB28" s="97">
        <v>2.2000000000000001E-3</v>
      </c>
      <c r="AC28"/>
      <c r="AD28" s="47"/>
      <c r="AE28" s="47">
        <v>3.9687500010000001</v>
      </c>
      <c r="AF28" s="43">
        <v>0.15625</v>
      </c>
      <c r="AG28" s="44">
        <v>0.15625</v>
      </c>
      <c r="AH28" s="45"/>
      <c r="AI28" s="46"/>
      <c r="AJ28" s="47"/>
    </row>
    <row r="29" spans="1:36" x14ac:dyDescent="0.25">
      <c r="A29" s="177"/>
      <c r="B29" s="50"/>
      <c r="C29" s="50"/>
      <c r="D29" s="50"/>
      <c r="E29" s="50"/>
      <c r="F29" s="50"/>
      <c r="G29" s="50"/>
      <c r="H29" s="236"/>
      <c r="I29" s="50"/>
      <c r="J29" s="56" t="str">
        <f t="shared" si="3"/>
        <v/>
      </c>
      <c r="K29" s="57" t="str">
        <f t="shared" si="9"/>
        <v/>
      </c>
      <c r="L29" s="58" t="str">
        <f t="shared" si="4"/>
        <v/>
      </c>
      <c r="M29" s="58" t="str">
        <f t="shared" si="10"/>
        <v/>
      </c>
      <c r="N29" s="58" t="str">
        <f t="shared" si="5"/>
        <v/>
      </c>
      <c r="O29" s="59" t="str">
        <f t="shared" si="6"/>
        <v/>
      </c>
      <c r="P29" s="60" t="str">
        <f t="shared" si="7"/>
        <v/>
      </c>
      <c r="Q29" s="61" t="str">
        <f t="shared" si="8"/>
        <v/>
      </c>
      <c r="R29"/>
      <c r="S29"/>
      <c r="T29"/>
      <c r="U29"/>
      <c r="V29" s="87">
        <v>105</v>
      </c>
      <c r="W29" s="98">
        <f t="shared" ref="W29:AB32" si="11">((($V29-$V$28)/($V$33-$V$28))*(W$33-W$28))+W$28</f>
        <v>1.56E-3</v>
      </c>
      <c r="X29" s="98">
        <f t="shared" si="11"/>
        <v>1.2599999999999998E-3</v>
      </c>
      <c r="Y29" s="98">
        <f t="shared" si="11"/>
        <v>1.2599999999999998E-3</v>
      </c>
      <c r="Z29" s="98">
        <f t="shared" si="11"/>
        <v>1.34E-3</v>
      </c>
      <c r="AA29" s="98">
        <f t="shared" si="11"/>
        <v>2.0600000000000002E-3</v>
      </c>
      <c r="AB29" s="99">
        <f t="shared" si="11"/>
        <v>2.2600000000000003E-3</v>
      </c>
      <c r="AC29"/>
      <c r="AD29" s="47"/>
      <c r="AE29" s="47">
        <v>4.1671875009999999</v>
      </c>
      <c r="AF29" s="43">
        <v>0.1640625</v>
      </c>
      <c r="AG29" s="44">
        <v>0.1875</v>
      </c>
      <c r="AH29" s="45"/>
      <c r="AI29" s="46"/>
      <c r="AJ29" s="47"/>
    </row>
    <row r="30" spans="1:36" x14ac:dyDescent="0.25">
      <c r="A30" s="177"/>
      <c r="B30" s="50"/>
      <c r="C30" s="50"/>
      <c r="D30" s="50"/>
      <c r="E30" s="50"/>
      <c r="F30" s="50"/>
      <c r="G30" s="50"/>
      <c r="H30" s="236"/>
      <c r="I30" s="50"/>
      <c r="J30" s="56" t="str">
        <f t="shared" si="3"/>
        <v/>
      </c>
      <c r="K30" s="57" t="str">
        <f t="shared" si="9"/>
        <v/>
      </c>
      <c r="L30" s="58" t="str">
        <f t="shared" si="4"/>
        <v/>
      </c>
      <c r="M30" s="58" t="str">
        <f t="shared" si="10"/>
        <v/>
      </c>
      <c r="N30" s="58" t="str">
        <f t="shared" si="5"/>
        <v/>
      </c>
      <c r="O30" s="59" t="str">
        <f t="shared" si="6"/>
        <v/>
      </c>
      <c r="P30" s="60" t="str">
        <f t="shared" si="7"/>
        <v/>
      </c>
      <c r="Q30" s="61" t="str">
        <f t="shared" si="8"/>
        <v/>
      </c>
      <c r="R30"/>
      <c r="S30"/>
      <c r="T30"/>
      <c r="U30"/>
      <c r="V30" s="87">
        <v>110</v>
      </c>
      <c r="W30" s="98">
        <f t="shared" si="11"/>
        <v>1.6199999999999999E-3</v>
      </c>
      <c r="X30" s="98">
        <f t="shared" si="11"/>
        <v>1.32E-3</v>
      </c>
      <c r="Y30" s="98">
        <f t="shared" si="11"/>
        <v>1.32E-3</v>
      </c>
      <c r="Z30" s="98">
        <f t="shared" si="11"/>
        <v>1.3799999999999999E-3</v>
      </c>
      <c r="AA30" s="98">
        <f t="shared" si="11"/>
        <v>2.1199999999999999E-3</v>
      </c>
      <c r="AB30" s="99">
        <f t="shared" si="11"/>
        <v>2.32E-3</v>
      </c>
      <c r="AC30"/>
      <c r="AD30" s="47"/>
      <c r="AE30" s="47">
        <v>4.3656250009999997</v>
      </c>
      <c r="AF30" s="43">
        <v>0.171875</v>
      </c>
      <c r="AG30" s="44">
        <v>0.1875</v>
      </c>
      <c r="AH30" s="45"/>
      <c r="AI30" s="46"/>
      <c r="AJ30" s="47"/>
    </row>
    <row r="31" spans="1:36" x14ac:dyDescent="0.25">
      <c r="A31" s="177"/>
      <c r="B31" s="50"/>
      <c r="C31" s="50"/>
      <c r="D31" s="50"/>
      <c r="E31" s="50"/>
      <c r="F31" s="50"/>
      <c r="G31" s="50"/>
      <c r="H31" s="236"/>
      <c r="I31" s="50"/>
      <c r="J31" s="56" t="str">
        <f t="shared" si="3"/>
        <v/>
      </c>
      <c r="K31" s="57" t="str">
        <f t="shared" si="9"/>
        <v/>
      </c>
      <c r="L31" s="58" t="str">
        <f t="shared" si="4"/>
        <v/>
      </c>
      <c r="M31" s="58" t="str">
        <f t="shared" si="10"/>
        <v/>
      </c>
      <c r="N31" s="58" t="str">
        <f t="shared" si="5"/>
        <v/>
      </c>
      <c r="O31" s="59" t="str">
        <f t="shared" si="6"/>
        <v/>
      </c>
      <c r="P31" s="60" t="str">
        <f t="shared" si="7"/>
        <v/>
      </c>
      <c r="Q31" s="61" t="str">
        <f t="shared" si="8"/>
        <v/>
      </c>
      <c r="R31"/>
      <c r="S31"/>
      <c r="T31"/>
      <c r="U31"/>
      <c r="V31" s="87">
        <v>115</v>
      </c>
      <c r="W31" s="98">
        <f t="shared" si="11"/>
        <v>1.6800000000000001E-3</v>
      </c>
      <c r="X31" s="98">
        <f t="shared" si="11"/>
        <v>1.3799999999999999E-3</v>
      </c>
      <c r="Y31" s="98">
        <f t="shared" si="11"/>
        <v>1.3799999999999999E-3</v>
      </c>
      <c r="Z31" s="98">
        <f t="shared" si="11"/>
        <v>1.42E-3</v>
      </c>
      <c r="AA31" s="98">
        <f t="shared" si="11"/>
        <v>2.1800000000000001E-3</v>
      </c>
      <c r="AB31" s="99">
        <f t="shared" si="11"/>
        <v>2.3800000000000002E-3</v>
      </c>
      <c r="AC31"/>
      <c r="AD31" s="47"/>
      <c r="AE31" s="47">
        <v>4.5640625009999995</v>
      </c>
      <c r="AF31" s="43">
        <v>0.1796875</v>
      </c>
      <c r="AG31" s="44">
        <v>0.1875</v>
      </c>
      <c r="AH31" s="45"/>
      <c r="AI31" s="46"/>
      <c r="AJ31" s="47"/>
    </row>
    <row r="32" spans="1:36" x14ac:dyDescent="0.25">
      <c r="A32" s="177"/>
      <c r="B32" s="50"/>
      <c r="C32" s="50"/>
      <c r="D32" s="50"/>
      <c r="E32" s="50"/>
      <c r="F32" s="50"/>
      <c r="G32" s="50"/>
      <c r="H32" s="236"/>
      <c r="I32" s="50"/>
      <c r="J32" s="56" t="str">
        <f t="shared" si="3"/>
        <v/>
      </c>
      <c r="K32" s="57" t="str">
        <f t="shared" si="9"/>
        <v/>
      </c>
      <c r="L32" s="58" t="str">
        <f t="shared" si="4"/>
        <v/>
      </c>
      <c r="M32" s="58" t="str">
        <f t="shared" si="10"/>
        <v/>
      </c>
      <c r="N32" s="58" t="str">
        <f t="shared" si="5"/>
        <v/>
      </c>
      <c r="O32" s="59" t="str">
        <f t="shared" si="6"/>
        <v/>
      </c>
      <c r="P32" s="60" t="str">
        <f t="shared" si="7"/>
        <v/>
      </c>
      <c r="Q32" s="61" t="str">
        <f t="shared" si="8"/>
        <v/>
      </c>
      <c r="R32"/>
      <c r="S32"/>
      <c r="T32"/>
      <c r="U32"/>
      <c r="V32" s="87">
        <v>120</v>
      </c>
      <c r="W32" s="98">
        <f t="shared" si="11"/>
        <v>1.74E-3</v>
      </c>
      <c r="X32" s="98">
        <f t="shared" si="11"/>
        <v>1.4400000000000001E-3</v>
      </c>
      <c r="Y32" s="98">
        <f t="shared" si="11"/>
        <v>1.4400000000000001E-3</v>
      </c>
      <c r="Z32" s="98">
        <f t="shared" si="11"/>
        <v>1.4599999999999999E-3</v>
      </c>
      <c r="AA32" s="98">
        <f t="shared" si="11"/>
        <v>2.2399999999999998E-3</v>
      </c>
      <c r="AB32" s="99">
        <f t="shared" si="11"/>
        <v>2.4399999999999999E-3</v>
      </c>
      <c r="AC32"/>
      <c r="AD32" s="47"/>
      <c r="AE32" s="47">
        <v>4.7625000009999994</v>
      </c>
      <c r="AF32" s="43">
        <v>0.1875</v>
      </c>
      <c r="AG32" s="44">
        <v>0.1875</v>
      </c>
      <c r="AH32" s="45"/>
      <c r="AI32" s="46"/>
      <c r="AJ32" s="47"/>
    </row>
    <row r="33" spans="1:46" x14ac:dyDescent="0.25">
      <c r="A33" s="177"/>
      <c r="B33" s="50"/>
      <c r="C33" s="50"/>
      <c r="D33" s="50"/>
      <c r="E33" s="50"/>
      <c r="F33" s="50"/>
      <c r="G33" s="50"/>
      <c r="H33" s="50"/>
      <c r="I33" s="50"/>
      <c r="J33" s="56" t="str">
        <f t="shared" si="3"/>
        <v/>
      </c>
      <c r="K33" s="57" t="str">
        <f t="shared" si="9"/>
        <v/>
      </c>
      <c r="L33" s="58" t="str">
        <f t="shared" si="4"/>
        <v/>
      </c>
      <c r="M33" s="58" t="str">
        <f t="shared" si="10"/>
        <v/>
      </c>
      <c r="N33" s="58" t="str">
        <f t="shared" si="5"/>
        <v/>
      </c>
      <c r="O33" s="59" t="str">
        <f t="shared" si="6"/>
        <v/>
      </c>
      <c r="P33" s="60" t="str">
        <f t="shared" si="7"/>
        <v/>
      </c>
      <c r="Q33" s="61" t="str">
        <f t="shared" si="8"/>
        <v/>
      </c>
      <c r="R33"/>
      <c r="S33"/>
      <c r="T33"/>
      <c r="U33"/>
      <c r="V33" s="87">
        <v>125</v>
      </c>
      <c r="W33" s="96">
        <v>1.8E-3</v>
      </c>
      <c r="X33" s="96">
        <v>1.5E-3</v>
      </c>
      <c r="Y33" s="96">
        <v>1.5E-3</v>
      </c>
      <c r="Z33" s="96">
        <v>1.5E-3</v>
      </c>
      <c r="AA33" s="96">
        <v>2.3E-3</v>
      </c>
      <c r="AB33" s="97">
        <v>2.5000000000000001E-3</v>
      </c>
      <c r="AC33"/>
      <c r="AD33" s="47"/>
      <c r="AE33" s="47">
        <v>4.9609375010000001</v>
      </c>
      <c r="AF33" s="43">
        <v>0.1953125</v>
      </c>
      <c r="AG33" s="44">
        <v>0.21875</v>
      </c>
      <c r="AH33" s="45"/>
      <c r="AI33" s="46"/>
      <c r="AJ33" s="47"/>
    </row>
    <row r="34" spans="1:46" x14ac:dyDescent="0.25">
      <c r="A34" s="177"/>
      <c r="B34" s="50"/>
      <c r="C34" s="50"/>
      <c r="D34" s="50"/>
      <c r="E34" s="50"/>
      <c r="F34" s="50"/>
      <c r="G34" s="50"/>
      <c r="H34" s="50"/>
      <c r="I34" s="50"/>
      <c r="J34" s="56" t="str">
        <f t="shared" si="3"/>
        <v/>
      </c>
      <c r="K34" s="57" t="str">
        <f t="shared" si="9"/>
        <v/>
      </c>
      <c r="L34" s="58" t="str">
        <f t="shared" si="4"/>
        <v/>
      </c>
      <c r="M34" s="58" t="str">
        <f t="shared" si="10"/>
        <v/>
      </c>
      <c r="N34" s="58" t="str">
        <f t="shared" si="5"/>
        <v/>
      </c>
      <c r="O34" s="59" t="str">
        <f t="shared" si="6"/>
        <v/>
      </c>
      <c r="P34" s="60" t="str">
        <f t="shared" si="7"/>
        <v/>
      </c>
      <c r="Q34" s="61" t="str">
        <f t="shared" si="8"/>
        <v/>
      </c>
      <c r="R34"/>
      <c r="S34"/>
      <c r="T34"/>
      <c r="U34"/>
      <c r="V34" s="100">
        <v>130</v>
      </c>
      <c r="W34" s="98">
        <f t="shared" ref="W34:AB37" si="12">((($V34-$V$33)/($V$38-$V$33))*(W$38-W$33))+W$33</f>
        <v>1.8400000000000001E-3</v>
      </c>
      <c r="X34" s="98">
        <f t="shared" si="12"/>
        <v>1.5200000000000001E-3</v>
      </c>
      <c r="Y34" s="98">
        <f t="shared" si="12"/>
        <v>1.5200000000000001E-3</v>
      </c>
      <c r="Z34" s="98">
        <f t="shared" si="12"/>
        <v>1.5200000000000001E-3</v>
      </c>
      <c r="AA34" s="98">
        <f t="shared" si="12"/>
        <v>2.32E-3</v>
      </c>
      <c r="AB34" s="99">
        <f t="shared" si="12"/>
        <v>2.5200000000000001E-3</v>
      </c>
      <c r="AC34"/>
      <c r="AD34" s="47"/>
      <c r="AE34" s="47">
        <v>5.1593750009999999</v>
      </c>
      <c r="AF34" s="43">
        <v>0.203125</v>
      </c>
      <c r="AG34" s="44">
        <v>0.21875</v>
      </c>
      <c r="AH34" s="45"/>
      <c r="AI34" s="46"/>
      <c r="AJ34" s="47"/>
    </row>
    <row r="35" spans="1:46" x14ac:dyDescent="0.25">
      <c r="A35" s="177"/>
      <c r="B35" s="50"/>
      <c r="C35" s="50"/>
      <c r="D35" s="50"/>
      <c r="E35" s="50"/>
      <c r="F35" s="50"/>
      <c r="G35" s="50"/>
      <c r="H35" s="50"/>
      <c r="I35" s="50"/>
      <c r="J35" s="56" t="str">
        <f t="shared" si="3"/>
        <v/>
      </c>
      <c r="K35" s="57" t="str">
        <f t="shared" si="9"/>
        <v/>
      </c>
      <c r="L35" s="58" t="str">
        <f t="shared" si="4"/>
        <v/>
      </c>
      <c r="M35" s="58" t="str">
        <f t="shared" si="10"/>
        <v/>
      </c>
      <c r="N35" s="58" t="str">
        <f t="shared" si="5"/>
        <v/>
      </c>
      <c r="O35" s="59" t="str">
        <f t="shared" si="6"/>
        <v/>
      </c>
      <c r="P35" s="60" t="str">
        <f t="shared" si="7"/>
        <v/>
      </c>
      <c r="Q35" s="61" t="str">
        <f t="shared" si="8"/>
        <v/>
      </c>
      <c r="R35"/>
      <c r="S35"/>
      <c r="T35"/>
      <c r="U35"/>
      <c r="V35" s="100">
        <v>135</v>
      </c>
      <c r="W35" s="98">
        <f t="shared" si="12"/>
        <v>1.8799999999999999E-3</v>
      </c>
      <c r="X35" s="98">
        <f t="shared" si="12"/>
        <v>1.5400000000000001E-3</v>
      </c>
      <c r="Y35" s="98">
        <f t="shared" si="12"/>
        <v>1.5400000000000001E-3</v>
      </c>
      <c r="Z35" s="98">
        <f t="shared" si="12"/>
        <v>1.5400000000000001E-3</v>
      </c>
      <c r="AA35" s="98">
        <f t="shared" si="12"/>
        <v>2.3400000000000001E-3</v>
      </c>
      <c r="AB35" s="99">
        <f t="shared" si="12"/>
        <v>2.5400000000000002E-3</v>
      </c>
      <c r="AC35"/>
      <c r="AD35" s="47"/>
      <c r="AE35" s="47">
        <v>5.3578125009999997</v>
      </c>
      <c r="AF35" s="43">
        <v>0.2109375</v>
      </c>
      <c r="AG35" s="44">
        <v>0.21875</v>
      </c>
      <c r="AH35" s="45"/>
      <c r="AI35" s="46"/>
      <c r="AJ35" s="47"/>
    </row>
    <row r="36" spans="1:46" x14ac:dyDescent="0.25">
      <c r="A36" s="55"/>
      <c r="B36" s="50"/>
      <c r="C36" s="50"/>
      <c r="D36" s="50"/>
      <c r="E36" s="50"/>
      <c r="F36" s="50"/>
      <c r="G36" s="50"/>
      <c r="H36" s="50"/>
      <c r="I36" s="50"/>
      <c r="J36" s="56" t="str">
        <f t="shared" si="3"/>
        <v/>
      </c>
      <c r="K36" s="57" t="str">
        <f t="shared" si="9"/>
        <v/>
      </c>
      <c r="L36" s="58" t="str">
        <f t="shared" si="4"/>
        <v/>
      </c>
      <c r="M36" s="58" t="str">
        <f t="shared" si="10"/>
        <v/>
      </c>
      <c r="N36" s="58" t="str">
        <f t="shared" si="5"/>
        <v/>
      </c>
      <c r="O36" s="59" t="str">
        <f t="shared" si="6"/>
        <v/>
      </c>
      <c r="P36" s="60" t="str">
        <f t="shared" si="7"/>
        <v/>
      </c>
      <c r="Q36" s="61" t="str">
        <f t="shared" si="8"/>
        <v/>
      </c>
      <c r="R36"/>
      <c r="S36"/>
      <c r="T36"/>
      <c r="U36"/>
      <c r="V36" s="100">
        <v>140</v>
      </c>
      <c r="W36" s="98">
        <f t="shared" si="12"/>
        <v>1.92E-3</v>
      </c>
      <c r="X36" s="98">
        <f t="shared" si="12"/>
        <v>1.56E-3</v>
      </c>
      <c r="Y36" s="98">
        <f t="shared" si="12"/>
        <v>1.56E-3</v>
      </c>
      <c r="Z36" s="98">
        <f t="shared" si="12"/>
        <v>1.56E-3</v>
      </c>
      <c r="AA36" s="98">
        <f t="shared" si="12"/>
        <v>2.3599999999999997E-3</v>
      </c>
      <c r="AB36" s="99">
        <f t="shared" si="12"/>
        <v>2.5599999999999998E-3</v>
      </c>
      <c r="AC36"/>
      <c r="AD36" s="47"/>
      <c r="AE36" s="47">
        <v>5.5562500009999995</v>
      </c>
      <c r="AF36" s="43">
        <v>0.21875</v>
      </c>
      <c r="AG36" s="44">
        <v>0.21875</v>
      </c>
      <c r="AH36" s="45"/>
      <c r="AI36" s="46"/>
      <c r="AJ36" s="47"/>
    </row>
    <row r="37" spans="1:46" x14ac:dyDescent="0.25">
      <c r="A37" s="55"/>
      <c r="B37" s="50"/>
      <c r="C37" s="50"/>
      <c r="D37" s="50"/>
      <c r="E37" s="50"/>
      <c r="F37" s="50"/>
      <c r="G37" s="50"/>
      <c r="H37" s="50"/>
      <c r="I37" s="50"/>
      <c r="J37" s="56" t="str">
        <f t="shared" si="3"/>
        <v/>
      </c>
      <c r="K37" s="57" t="str">
        <f t="shared" si="9"/>
        <v/>
      </c>
      <c r="L37" s="58" t="str">
        <f t="shared" si="4"/>
        <v/>
      </c>
      <c r="M37" s="58" t="str">
        <f t="shared" si="10"/>
        <v/>
      </c>
      <c r="N37" s="58" t="str">
        <f t="shared" si="5"/>
        <v/>
      </c>
      <c r="O37" s="59" t="str">
        <f t="shared" si="6"/>
        <v/>
      </c>
      <c r="P37" s="60" t="str">
        <f t="shared" si="7"/>
        <v/>
      </c>
      <c r="Q37" s="61" t="str">
        <f t="shared" si="8"/>
        <v/>
      </c>
      <c r="R37"/>
      <c r="S37"/>
      <c r="T37"/>
      <c r="U37"/>
      <c r="V37" s="100">
        <v>145</v>
      </c>
      <c r="W37" s="98">
        <f t="shared" si="12"/>
        <v>1.9599999999999999E-3</v>
      </c>
      <c r="X37" s="98">
        <f t="shared" si="12"/>
        <v>1.58E-3</v>
      </c>
      <c r="Y37" s="98">
        <f t="shared" si="12"/>
        <v>1.58E-3</v>
      </c>
      <c r="Z37" s="98">
        <f t="shared" si="12"/>
        <v>1.58E-3</v>
      </c>
      <c r="AA37" s="98">
        <f t="shared" si="12"/>
        <v>2.3799999999999997E-3</v>
      </c>
      <c r="AB37" s="99">
        <f t="shared" si="12"/>
        <v>2.5799999999999998E-3</v>
      </c>
      <c r="AC37"/>
      <c r="AD37" s="47"/>
      <c r="AE37" s="47">
        <v>5.7546875009999994</v>
      </c>
      <c r="AF37" s="43">
        <v>0.2265625</v>
      </c>
      <c r="AG37" s="44">
        <v>0.25</v>
      </c>
      <c r="AH37" s="45"/>
      <c r="AI37" s="46"/>
      <c r="AJ37" s="47"/>
    </row>
    <row r="38" spans="1:46" ht="13.8" thickBot="1" x14ac:dyDescent="0.3">
      <c r="A38" s="55"/>
      <c r="B38" s="50"/>
      <c r="C38" s="50"/>
      <c r="D38" s="50"/>
      <c r="E38" s="50"/>
      <c r="F38" s="50"/>
      <c r="G38" s="50"/>
      <c r="H38" s="50"/>
      <c r="I38" s="50"/>
      <c r="J38" s="56" t="str">
        <f t="shared" si="3"/>
        <v/>
      </c>
      <c r="K38" s="57" t="str">
        <f t="shared" si="9"/>
        <v/>
      </c>
      <c r="L38" s="58" t="str">
        <f t="shared" si="4"/>
        <v/>
      </c>
      <c r="M38" s="58" t="str">
        <f t="shared" si="10"/>
        <v/>
      </c>
      <c r="N38" s="58" t="str">
        <f t="shared" si="5"/>
        <v/>
      </c>
      <c r="O38" s="59" t="str">
        <f t="shared" si="6"/>
        <v/>
      </c>
      <c r="P38" s="60" t="str">
        <f t="shared" si="7"/>
        <v/>
      </c>
      <c r="Q38" s="61" t="str">
        <f t="shared" si="8"/>
        <v/>
      </c>
      <c r="R38"/>
      <c r="S38"/>
      <c r="T38"/>
      <c r="U38"/>
      <c r="V38" s="101">
        <v>150</v>
      </c>
      <c r="W38" s="102">
        <v>2E-3</v>
      </c>
      <c r="X38" s="102">
        <v>1.6000000000000001E-3</v>
      </c>
      <c r="Y38" s="102">
        <v>1.6000000000000001E-3</v>
      </c>
      <c r="Z38" s="102">
        <v>1.6000000000000001E-3</v>
      </c>
      <c r="AA38" s="102">
        <v>2.3999999999999998E-3</v>
      </c>
      <c r="AB38" s="103">
        <v>2.5999999999999999E-3</v>
      </c>
      <c r="AC38"/>
      <c r="AD38" s="47"/>
      <c r="AE38" s="47">
        <v>5.9531250010000001</v>
      </c>
      <c r="AF38" s="43">
        <v>0.234375</v>
      </c>
      <c r="AG38" s="44">
        <v>0.25</v>
      </c>
      <c r="AH38" s="45"/>
      <c r="AI38" s="46"/>
      <c r="AJ38" s="47"/>
    </row>
    <row r="39" spans="1:46" ht="13.8" thickTop="1" x14ac:dyDescent="0.25">
      <c r="A39" s="55"/>
      <c r="B39" s="50"/>
      <c r="C39" s="50"/>
      <c r="D39" s="50"/>
      <c r="E39" s="50"/>
      <c r="F39" s="62"/>
      <c r="G39" s="50"/>
      <c r="H39" s="50"/>
      <c r="I39" s="50"/>
      <c r="J39" s="56" t="str">
        <f t="shared" si="3"/>
        <v/>
      </c>
      <c r="K39" s="57" t="str">
        <f t="shared" si="9"/>
        <v/>
      </c>
      <c r="L39" s="58" t="str">
        <f t="shared" si="4"/>
        <v/>
      </c>
      <c r="M39" s="58" t="str">
        <f t="shared" si="10"/>
        <v/>
      </c>
      <c r="N39" s="58" t="str">
        <f t="shared" si="5"/>
        <v/>
      </c>
      <c r="O39" s="59" t="str">
        <f t="shared" si="6"/>
        <v/>
      </c>
      <c r="P39" s="60" t="str">
        <f t="shared" si="7"/>
        <v/>
      </c>
      <c r="Q39" s="61" t="str">
        <f t="shared" si="8"/>
        <v/>
      </c>
      <c r="R39"/>
      <c r="S39"/>
      <c r="T39"/>
      <c r="U39"/>
      <c r="V39"/>
      <c r="W39" s="35"/>
      <c r="X39" s="34" t="s">
        <v>83</v>
      </c>
      <c r="Y39"/>
      <c r="Z39"/>
      <c r="AA39"/>
      <c r="AB39"/>
      <c r="AC39"/>
      <c r="AD39" s="47"/>
      <c r="AE39" s="47">
        <v>6.1515625009999999</v>
      </c>
      <c r="AF39" s="43">
        <v>0.2421875</v>
      </c>
      <c r="AG39" s="44">
        <v>0.25</v>
      </c>
      <c r="AH39" s="45"/>
      <c r="AI39" s="46"/>
      <c r="AJ39" s="47"/>
    </row>
    <row r="40" spans="1:46" x14ac:dyDescent="0.25">
      <c r="A40" s="22" t="s">
        <v>84</v>
      </c>
      <c r="E40" s="2" t="s">
        <v>85</v>
      </c>
      <c r="F40" s="14" t="str">
        <f>IF(A26="","",SUM(F26:F38))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s="47"/>
      <c r="AE40">
        <v>6.3500000009999997</v>
      </c>
      <c r="AF40" s="43">
        <v>0.25</v>
      </c>
      <c r="AG40" s="44" t="s">
        <v>86</v>
      </c>
      <c r="AH40" s="45"/>
      <c r="AI40" s="46"/>
    </row>
    <row r="41" spans="1:46" ht="12.75" customHeight="1" thickBot="1" x14ac:dyDescent="0.3">
      <c r="A41" s="9" t="str">
        <f>IF(D8="","",B3&amp;"        Workload ="&amp;D11&amp;"   mA * min /wk"&amp;" @ "&amp;D13&amp;" kVp")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D41" s="47"/>
      <c r="AE41" s="47">
        <v>25.400000000999999</v>
      </c>
    </row>
    <row r="42" spans="1:46" ht="12.75" customHeight="1" thickTop="1" x14ac:dyDescent="0.25">
      <c r="A42" s="21" t="s">
        <v>87</v>
      </c>
      <c r="B42" s="6"/>
      <c r="C42" s="6"/>
      <c r="D42" s="21" t="str">
        <f>IF($B$3="","",$B$3)</f>
        <v/>
      </c>
      <c r="E42" s="6"/>
      <c r="F42" s="6"/>
      <c r="G42" s="6"/>
      <c r="H42" s="6"/>
      <c r="I42" s="6"/>
      <c r="J42" s="6"/>
      <c r="K42" s="6"/>
      <c r="L42" s="6"/>
      <c r="M42" s="63" t="str">
        <f>IF($B$5="","",$B$5)</f>
        <v/>
      </c>
      <c r="N42" s="64" t="s">
        <v>88</v>
      </c>
      <c r="O42" s="104" t="s">
        <v>89</v>
      </c>
      <c r="P42" s="85"/>
      <c r="Q42" s="85"/>
      <c r="R42" s="85"/>
      <c r="S42" s="85"/>
      <c r="T42" s="85"/>
      <c r="U42" s="85"/>
      <c r="V42" s="85"/>
      <c r="W42" s="85"/>
      <c r="X42" s="85"/>
      <c r="Y42" s="105"/>
      <c r="Z42" s="85"/>
      <c r="AA42" s="85"/>
      <c r="AB42" s="85"/>
      <c r="AC42" s="85"/>
      <c r="AD42" s="85"/>
      <c r="AE42" s="104" t="s">
        <v>89</v>
      </c>
      <c r="AF42" s="85"/>
      <c r="AG42" s="85"/>
      <c r="AH42" s="85"/>
      <c r="AI42" s="85"/>
      <c r="AJ42" s="85"/>
      <c r="AK42" s="85"/>
      <c r="AL42" s="85"/>
      <c r="AM42" s="85"/>
      <c r="AN42" s="85"/>
      <c r="AO42" s="105"/>
      <c r="AP42" s="85"/>
      <c r="AQ42" s="85"/>
      <c r="AR42" s="85"/>
      <c r="AS42" s="85"/>
      <c r="AT42" s="105"/>
    </row>
    <row r="43" spans="1:46" x14ac:dyDescent="0.25">
      <c r="A43" s="21"/>
      <c r="B43" s="65" t="s">
        <v>59</v>
      </c>
      <c r="C43" s="36"/>
      <c r="D43" s="36"/>
      <c r="E43" s="65" t="s">
        <v>61</v>
      </c>
      <c r="F43" s="36"/>
      <c r="G43" s="66"/>
      <c r="H43" s="65" t="s">
        <v>90</v>
      </c>
      <c r="I43" s="36"/>
      <c r="J43" s="36"/>
      <c r="K43" s="67" t="s">
        <v>91</v>
      </c>
      <c r="L43" s="6"/>
      <c r="M43" s="6"/>
      <c r="N43" s="64" t="s">
        <v>92</v>
      </c>
      <c r="O43" s="106"/>
      <c r="P43" s="89"/>
      <c r="Q43" s="89"/>
      <c r="R43" s="89"/>
      <c r="S43" s="88"/>
      <c r="T43" s="88"/>
      <c r="U43" s="89"/>
      <c r="V43" s="89"/>
      <c r="W43" s="89"/>
      <c r="X43" s="88"/>
      <c r="Y43" s="88"/>
      <c r="Z43" s="88"/>
      <c r="AA43" s="88"/>
      <c r="AB43" s="88"/>
      <c r="AC43" s="88"/>
      <c r="AD43" s="88"/>
      <c r="AE43" s="87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90"/>
    </row>
    <row r="44" spans="1:46" x14ac:dyDescent="0.25">
      <c r="A44" s="53" t="s">
        <v>67</v>
      </c>
      <c r="B44" s="68" t="str">
        <f>$A$17</f>
        <v>Lead</v>
      </c>
      <c r="C44" s="26" t="str">
        <f>$A$18</f>
        <v>Concrete</v>
      </c>
      <c r="D44" s="69" t="str">
        <f>$A$19</f>
        <v>Gypsum</v>
      </c>
      <c r="E44" s="68" t="str">
        <f>B44</f>
        <v>Lead</v>
      </c>
      <c r="F44" s="26" t="str">
        <f>C44</f>
        <v>Concrete</v>
      </c>
      <c r="G44" s="70" t="str">
        <f>D44</f>
        <v>Gypsum</v>
      </c>
      <c r="H44" s="68" t="str">
        <f>B44</f>
        <v>Lead</v>
      </c>
      <c r="I44" s="26" t="str">
        <f>C44</f>
        <v>Concrete</v>
      </c>
      <c r="J44" s="69" t="str">
        <f>D44</f>
        <v>Gypsum</v>
      </c>
      <c r="K44" s="68" t="str">
        <f>H44</f>
        <v>Lead</v>
      </c>
      <c r="L44" s="26" t="str">
        <f>I44</f>
        <v>Concrete</v>
      </c>
      <c r="M44" s="69" t="str">
        <f>J44</f>
        <v>Gypsum</v>
      </c>
      <c r="N44" s="68" t="s">
        <v>93</v>
      </c>
      <c r="O44" s="87"/>
      <c r="P44" s="107" t="s">
        <v>94</v>
      </c>
      <c r="Q44" s="89"/>
      <c r="R44" s="89"/>
      <c r="S44" s="88"/>
      <c r="T44" s="88"/>
      <c r="U44" s="107" t="s">
        <v>95</v>
      </c>
      <c r="V44" s="89"/>
      <c r="W44" s="89"/>
      <c r="X44" s="88"/>
      <c r="Y44" s="88"/>
      <c r="Z44" s="107" t="s">
        <v>52</v>
      </c>
      <c r="AA44" s="89"/>
      <c r="AB44" s="89"/>
      <c r="AC44" s="88"/>
      <c r="AD44" s="88"/>
      <c r="AE44" s="108" t="s">
        <v>54</v>
      </c>
      <c r="AF44" s="89"/>
      <c r="AG44" s="89"/>
      <c r="AH44" s="88"/>
      <c r="AI44" s="88"/>
      <c r="AJ44" s="107" t="s">
        <v>96</v>
      </c>
      <c r="AK44" s="89"/>
      <c r="AL44" s="89"/>
      <c r="AM44" s="88"/>
      <c r="AN44" s="88"/>
      <c r="AO44" s="107" t="s">
        <v>58</v>
      </c>
      <c r="AP44" s="89"/>
      <c r="AQ44" s="89"/>
      <c r="AR44" s="88"/>
      <c r="AS44" s="88"/>
      <c r="AT44" s="95"/>
    </row>
    <row r="45" spans="1:46" x14ac:dyDescent="0.25">
      <c r="A45" s="71" t="str">
        <f t="shared" ref="A45:A58" si="13">IF($A26="","",$A26)</f>
        <v/>
      </c>
      <c r="B45" s="72" t="str">
        <f>IF(OR($B26=0,$F26=""),"",(1/($B$17*$D$17))*LN(((($L26/$E$17)^-$D$17)+($C$17/$B$17))/(1+($C$17/$B$17))))</f>
        <v/>
      </c>
      <c r="C45" s="73" t="str">
        <f t="shared" ref="C45:C58" si="14">IF(OR($B26=0,$F26=""),"",(1/($B$18*$D$18))*LN(((($L26/$E$18)^-$D$18)+($C$18/$B$18))/(1+($C$18/$B$18))))</f>
        <v/>
      </c>
      <c r="D45" s="73" t="str">
        <f t="shared" ref="D45:D58" si="15">IF(OR($B26=0,$F26=""),"",(1/($B$19*$D$19))*LN(((($L26/$E$19)^-$D$19)+($C$19/$B$19))/(1+($C$19/$B$19))))</f>
        <v/>
      </c>
      <c r="E45" s="72" t="str">
        <f>IF($C26="","",IF((1/($B$17*$D$17))*LN(((($M26/$E$17)^-$D$17)+($C$17/$B$17))/(1+($C$17/$B$17)))&lt;0,0,(1/($B$17*$D$17))*LN(((($M26/$E$17)^-$D$17)+($C$17/$B$17))/(1+($C$17/$B$17)))))</f>
        <v/>
      </c>
      <c r="F45" s="73" t="str">
        <f t="shared" ref="F45:F58" si="16">IF($C26="","",IF((1/($B$18*$D$18))*LN(((($M26/$E$18)^-$D$18)+($C$18/$B$18))/(1+($C$18/$B$18)))&lt;0,0,(1/($B$18*$D$18))*LN(((($M26/$E$18)^-$D$18)+($C$18/$B$18))/(1+($C$18/$B$18)))))</f>
        <v/>
      </c>
      <c r="G45" s="74" t="str">
        <f t="shared" ref="G45:G58" si="17">IF($C26="","",IF((1/($B$19*$D$19))*LN(((($M26/$E$19)^-$D$19)+($C$19/$B$19))/(1+($C$19/$B$19)))&lt;0,0,(1/($B$19*$D$19))*LN(((($M26/$E$19)^-$D$19)+($C$19/$B$19))/(1+($C$19/$B$19)))))</f>
        <v/>
      </c>
      <c r="H45" s="75" t="str">
        <f t="shared" ref="H45:H58" si="18">IF($N26="","",IF(-LN($N26)*$F$17/LN(2)&lt;0,0,-LN($N26)*$F$17/LN(2)))</f>
        <v/>
      </c>
      <c r="I45" s="75" t="str">
        <f t="shared" ref="I45:I58" si="19">IF($N26="","",IF(-LN($N26)*$F$18/LN(2)&lt;0,0,-LN($N26)*$F$18/LN(2)))</f>
        <v/>
      </c>
      <c r="J45" s="75" t="str">
        <f t="shared" ref="J45:J58" si="20">IF($N26="","",IF(-LN($N26)*$F$19/LN(2)&lt;0,0,-LN($N26)*$F$19/LN(2)))</f>
        <v/>
      </c>
      <c r="K45" s="72" t="str">
        <f t="shared" ref="K45:K58" si="21">IF($E45="","",IF(AND($E45=0,$H45=0),0,IF(OR($E45=0,$H45=0),MAX($E45,$H45),IF(ABS($E45-$H45)&gt;$G$17,MAX($E45,$H45),(MAX($E45,$H45)+$F$17)))))</f>
        <v/>
      </c>
      <c r="L45" s="73" t="str">
        <f t="shared" ref="L45:L58" si="22">IF($F45="","",IF(AND($F45=0,$I45=0),0,IF(OR($F45=0,$I45=0),MAX($F45,$I45),IF(ABS($F45-$I45)&gt;$G$18,MAX($F45,$I45),(MAX($F45,$I45)+$F$18)))))</f>
        <v/>
      </c>
      <c r="M45" s="73" t="str">
        <f t="shared" ref="M45:M58" si="23">IF($G45="","",IF(AND($G45=0,$J45=0),0,IF(OR($G45=0,$J45=0),MAX($G45,$J45),IF(ABS($G45-$J45)&gt;$G$19,MAX($G45,$J45),(MAX($G45,$J45)+$F$19)))))</f>
        <v/>
      </c>
      <c r="N45" s="76" t="str">
        <f t="shared" ref="N45:N58" si="24">IF(AND(B45="",E45="",H45=""),"",IF(B45="",LOOKUP(K45,mm_value,minimum_Pb),LOOKUP(B45,mm_value,minimum_Pb)))</f>
        <v/>
      </c>
      <c r="O45" s="91" t="s">
        <v>37</v>
      </c>
      <c r="P45" s="13" t="s">
        <v>40</v>
      </c>
      <c r="Q45" s="13" t="s">
        <v>41</v>
      </c>
      <c r="R45" s="13" t="s">
        <v>42</v>
      </c>
      <c r="S45" s="92" t="s">
        <v>44</v>
      </c>
      <c r="T45" s="92" t="s">
        <v>45</v>
      </c>
      <c r="U45" s="13" t="s">
        <v>40</v>
      </c>
      <c r="V45" s="13" t="s">
        <v>41</v>
      </c>
      <c r="W45" s="13" t="s">
        <v>42</v>
      </c>
      <c r="X45" s="92" t="s">
        <v>44</v>
      </c>
      <c r="Y45" s="92" t="s">
        <v>45</v>
      </c>
      <c r="Z45" s="13" t="s">
        <v>40</v>
      </c>
      <c r="AA45" s="13" t="s">
        <v>41</v>
      </c>
      <c r="AB45" s="13" t="s">
        <v>42</v>
      </c>
      <c r="AC45" s="92" t="s">
        <v>44</v>
      </c>
      <c r="AD45" s="92" t="s">
        <v>45</v>
      </c>
      <c r="AE45" s="109" t="s">
        <v>40</v>
      </c>
      <c r="AF45" s="13" t="s">
        <v>41</v>
      </c>
      <c r="AG45" s="13" t="s">
        <v>42</v>
      </c>
      <c r="AH45" s="92" t="s">
        <v>44</v>
      </c>
      <c r="AI45" s="92" t="s">
        <v>45</v>
      </c>
      <c r="AJ45" s="13" t="s">
        <v>40</v>
      </c>
      <c r="AK45" s="13" t="s">
        <v>41</v>
      </c>
      <c r="AL45" s="13" t="s">
        <v>42</v>
      </c>
      <c r="AM45" s="92" t="s">
        <v>44</v>
      </c>
      <c r="AN45" s="92" t="s">
        <v>45</v>
      </c>
      <c r="AO45" s="13" t="s">
        <v>40</v>
      </c>
      <c r="AP45" s="13" t="s">
        <v>41</v>
      </c>
      <c r="AQ45" s="13" t="s">
        <v>42</v>
      </c>
      <c r="AR45" s="92" t="s">
        <v>44</v>
      </c>
      <c r="AS45" s="92" t="s">
        <v>45</v>
      </c>
      <c r="AT45" s="93" t="s">
        <v>97</v>
      </c>
    </row>
    <row r="46" spans="1:46" x14ac:dyDescent="0.25">
      <c r="A46" s="71" t="str">
        <f t="shared" si="13"/>
        <v/>
      </c>
      <c r="B46" s="72" t="str">
        <f t="shared" ref="B46:B58" si="25">IF(OR($B27=0,$F27=""),"",(1/($B$17*$D$17))*LN(((($L27/$E$17)^-$D$17)+($C$17/$B$17))/(1+($C$17/$B$17))))</f>
        <v/>
      </c>
      <c r="C46" s="73" t="str">
        <f t="shared" si="14"/>
        <v/>
      </c>
      <c r="D46" s="73" t="str">
        <f t="shared" si="15"/>
        <v/>
      </c>
      <c r="E46" s="72" t="str">
        <f t="shared" ref="E46:E58" si="26">IF($C27="","",IF((1/($B$17*$D$17))*LN(((($M27/$E$17)^-$D$17)+($C$17/$B$17))/(1+($C$17/$B$17)))&lt;0,0,(1/($B$17*$D$17))*LN(((($M27/$E$17)^-$D$17)+($C$17/$B$17))/(1+($C$17/$B$17)))))</f>
        <v/>
      </c>
      <c r="F46" s="73" t="str">
        <f t="shared" si="16"/>
        <v/>
      </c>
      <c r="G46" s="74" t="str">
        <f t="shared" si="17"/>
        <v/>
      </c>
      <c r="H46" s="75" t="str">
        <f t="shared" si="18"/>
        <v/>
      </c>
      <c r="I46" s="75" t="str">
        <f t="shared" si="19"/>
        <v/>
      </c>
      <c r="J46" s="75" t="str">
        <f t="shared" si="20"/>
        <v/>
      </c>
      <c r="K46" s="72" t="str">
        <f t="shared" si="21"/>
        <v/>
      </c>
      <c r="L46" s="73" t="str">
        <f t="shared" si="22"/>
        <v/>
      </c>
      <c r="M46" s="73" t="str">
        <f t="shared" si="23"/>
        <v/>
      </c>
      <c r="N46" s="76" t="str">
        <f t="shared" si="24"/>
        <v/>
      </c>
      <c r="O46" s="87">
        <v>25</v>
      </c>
      <c r="P46" s="110">
        <v>49.52</v>
      </c>
      <c r="Q46" s="111">
        <v>194</v>
      </c>
      <c r="R46" s="110">
        <v>0.30370000000000003</v>
      </c>
      <c r="S46" s="112">
        <f t="shared" ref="S46:S71" si="27">IF(P46="","",LN(2)/P46)</f>
        <v>1.3997317862680639E-2</v>
      </c>
      <c r="T46" s="112">
        <f t="shared" ref="T46:T71" si="28">IF(S46="","",(LN(10)/LN(2))*S46)</f>
        <v>4.6498083461107544E-2</v>
      </c>
      <c r="U46" s="110">
        <v>0.39040000000000002</v>
      </c>
      <c r="V46" s="110">
        <v>1.645</v>
      </c>
      <c r="W46" s="110">
        <v>0.2757</v>
      </c>
      <c r="X46" s="112">
        <f t="shared" ref="X46:X71" si="29">IF(U46="","",LN(2)/U46)</f>
        <v>1.775479458401499</v>
      </c>
      <c r="Y46" s="112">
        <f t="shared" ref="Y46:Y71" si="30">IF(X46="","",(LN(10)/LN(2))*X46)</f>
        <v>5.8980150947593382</v>
      </c>
      <c r="Z46" s="110">
        <v>0.15759999999999999</v>
      </c>
      <c r="AA46" s="110">
        <v>0.71750000000000003</v>
      </c>
      <c r="AB46" s="110">
        <v>0.30480000000000002</v>
      </c>
      <c r="AC46" s="112">
        <f t="shared" ref="AC46:AC71" si="31">IF(Z46="","",LN(2)/Z46)</f>
        <v>4.3981420086290948</v>
      </c>
      <c r="AD46" s="112">
        <f t="shared" ref="AD46:AD71" si="32">IF(AC46="","",(LN(10)/LN(2))*AC46)</f>
        <v>14.610311503769328</v>
      </c>
      <c r="AE46" s="113">
        <v>9.3640000000000008</v>
      </c>
      <c r="AF46" s="110">
        <v>41.25</v>
      </c>
      <c r="AG46" s="110">
        <v>0.32019999999999998</v>
      </c>
      <c r="AH46" s="112">
        <f t="shared" ref="AH46:AH71" si="33">IF(AE46="","",LN(2)/AE46)</f>
        <v>7.4022552387862581E-2</v>
      </c>
      <c r="AI46" s="112">
        <f t="shared" ref="AI46:AI71" si="34">IF(AH46="","",(LN(10)/LN(2))*AH46)</f>
        <v>0.24589759643251233</v>
      </c>
      <c r="AJ46" s="110">
        <v>0.38040000000000002</v>
      </c>
      <c r="AK46" s="110">
        <v>1.5429999999999999</v>
      </c>
      <c r="AL46" s="110">
        <v>0.28689999999999999</v>
      </c>
      <c r="AM46" s="112">
        <f t="shared" ref="AM46:AM71" si="35">IF(AJ46="","",LN(2)/AJ46)</f>
        <v>1.8221534715035363</v>
      </c>
      <c r="AN46" s="112">
        <f t="shared" ref="AN46:AN71" si="36">IF(AM46="","",(LN(10)/LN(2))*AM46)</f>
        <v>6.0530628101841364</v>
      </c>
      <c r="AO46" s="114">
        <v>2.23E-2</v>
      </c>
      <c r="AP46" s="112">
        <v>4.3400000000000001E-2</v>
      </c>
      <c r="AQ46" s="110">
        <v>0.19370000000000001</v>
      </c>
      <c r="AR46" s="112">
        <f t="shared" ref="AR46:AR71" si="37">IF(AO46="","",LN(2)/AO46)</f>
        <v>31.082833208966157</v>
      </c>
      <c r="AS46" s="112">
        <f t="shared" ref="AS46:AS71" si="38">IF(AR46="","",(LN(10)/LN(2))*AR46)</f>
        <v>103.2549369055626</v>
      </c>
      <c r="AT46" s="115">
        <f>0.1965*O46-3.429</f>
        <v>1.4835000000000007</v>
      </c>
    </row>
    <row r="47" spans="1:46" x14ac:dyDescent="0.25">
      <c r="A47" s="71" t="str">
        <f t="shared" si="13"/>
        <v/>
      </c>
      <c r="B47" s="72" t="str">
        <f t="shared" si="25"/>
        <v/>
      </c>
      <c r="C47" s="73" t="str">
        <f t="shared" si="14"/>
        <v/>
      </c>
      <c r="D47" s="73" t="str">
        <f t="shared" si="15"/>
        <v/>
      </c>
      <c r="E47" s="72" t="str">
        <f t="shared" si="26"/>
        <v/>
      </c>
      <c r="F47" s="73" t="str">
        <f t="shared" si="16"/>
        <v/>
      </c>
      <c r="G47" s="74" t="str">
        <f t="shared" si="17"/>
        <v/>
      </c>
      <c r="H47" s="75" t="str">
        <f t="shared" si="18"/>
        <v/>
      </c>
      <c r="I47" s="75" t="str">
        <f t="shared" si="19"/>
        <v/>
      </c>
      <c r="J47" s="75" t="str">
        <f t="shared" si="20"/>
        <v/>
      </c>
      <c r="K47" s="72" t="str">
        <f t="shared" si="21"/>
        <v/>
      </c>
      <c r="L47" s="73" t="str">
        <f t="shared" si="22"/>
        <v/>
      </c>
      <c r="M47" s="73" t="str">
        <f t="shared" si="23"/>
        <v/>
      </c>
      <c r="N47" s="76" t="str">
        <f t="shared" si="24"/>
        <v/>
      </c>
      <c r="O47" s="87">
        <v>30</v>
      </c>
      <c r="P47" s="110">
        <v>38.799999999999997</v>
      </c>
      <c r="Q47" s="111">
        <v>178</v>
      </c>
      <c r="R47" s="110">
        <v>0.3473</v>
      </c>
      <c r="S47" s="112">
        <f t="shared" si="27"/>
        <v>1.7864618055668694E-2</v>
      </c>
      <c r="T47" s="112">
        <f t="shared" si="28"/>
        <v>5.9344976623557887E-2</v>
      </c>
      <c r="U47" s="110">
        <v>0.31730000000000003</v>
      </c>
      <c r="V47" s="110">
        <v>1.698</v>
      </c>
      <c r="W47" s="110">
        <v>0.35930000000000001</v>
      </c>
      <c r="X47" s="112">
        <f t="shared" si="29"/>
        <v>2.1845167997477</v>
      </c>
      <c r="Y47" s="112">
        <f t="shared" si="30"/>
        <v>7.2568077308353152</v>
      </c>
      <c r="Z47" s="110">
        <v>0.1208</v>
      </c>
      <c r="AA47" s="110">
        <v>0.70430000000000004</v>
      </c>
      <c r="AB47" s="110">
        <v>0.36130000000000001</v>
      </c>
      <c r="AC47" s="112">
        <f t="shared" si="31"/>
        <v>5.7379733490061691</v>
      </c>
      <c r="AD47" s="112">
        <f t="shared" si="32"/>
        <v>19.061134875778524</v>
      </c>
      <c r="AE47" s="113">
        <v>7.4059999999999997</v>
      </c>
      <c r="AF47" s="110">
        <v>41.93</v>
      </c>
      <c r="AG47" s="110">
        <v>0.39589999999999997</v>
      </c>
      <c r="AH47" s="112">
        <f t="shared" si="33"/>
        <v>9.3592651979468713E-2</v>
      </c>
      <c r="AI47" s="112">
        <f t="shared" si="34"/>
        <v>0.31090806008561245</v>
      </c>
      <c r="AJ47" s="110">
        <v>0.30609999999999998</v>
      </c>
      <c r="AK47" s="110">
        <v>1.599</v>
      </c>
      <c r="AL47" s="110">
        <v>0.36930000000000002</v>
      </c>
      <c r="AM47" s="112">
        <f t="shared" si="35"/>
        <v>2.2644468492647674</v>
      </c>
      <c r="AN47" s="112">
        <f t="shared" si="36"/>
        <v>7.5223296079517992</v>
      </c>
      <c r="AO47" s="114">
        <v>2.1659999999999999E-2</v>
      </c>
      <c r="AP47" s="112">
        <v>3.9660000000000001E-2</v>
      </c>
      <c r="AQ47" s="110">
        <v>0.2843</v>
      </c>
      <c r="AR47" s="112">
        <f t="shared" si="37"/>
        <v>32.001254873497011</v>
      </c>
      <c r="AS47" s="112">
        <f t="shared" si="38"/>
        <v>106.30586763592085</v>
      </c>
      <c r="AT47" s="115">
        <f>0.1965*O47-3.429</f>
        <v>2.4660000000000006</v>
      </c>
    </row>
    <row r="48" spans="1:46" x14ac:dyDescent="0.25">
      <c r="A48" s="71" t="str">
        <f t="shared" si="13"/>
        <v/>
      </c>
      <c r="B48" s="72" t="str">
        <f t="shared" si="25"/>
        <v/>
      </c>
      <c r="C48" s="73" t="str">
        <f t="shared" si="14"/>
        <v/>
      </c>
      <c r="D48" s="73" t="str">
        <f t="shared" si="15"/>
        <v/>
      </c>
      <c r="E48" s="72" t="str">
        <f t="shared" si="26"/>
        <v/>
      </c>
      <c r="F48" s="73" t="str">
        <f t="shared" si="16"/>
        <v/>
      </c>
      <c r="G48" s="74" t="str">
        <f t="shared" si="17"/>
        <v/>
      </c>
      <c r="H48" s="75" t="str">
        <f t="shared" si="18"/>
        <v/>
      </c>
      <c r="I48" s="75" t="str">
        <f t="shared" si="19"/>
        <v/>
      </c>
      <c r="J48" s="75" t="str">
        <f t="shared" si="20"/>
        <v/>
      </c>
      <c r="K48" s="72" t="str">
        <f t="shared" si="21"/>
        <v/>
      </c>
      <c r="L48" s="73" t="str">
        <f t="shared" si="22"/>
        <v/>
      </c>
      <c r="M48" s="73" t="str">
        <f t="shared" si="23"/>
        <v/>
      </c>
      <c r="N48" s="76" t="str">
        <f t="shared" si="24"/>
        <v/>
      </c>
      <c r="O48" s="87">
        <v>35</v>
      </c>
      <c r="P48" s="110">
        <v>29.55</v>
      </c>
      <c r="Q48" s="111">
        <v>164.7</v>
      </c>
      <c r="R48" s="110">
        <v>0.39479999999999998</v>
      </c>
      <c r="S48" s="112">
        <f t="shared" si="27"/>
        <v>2.345675737935517E-2</v>
      </c>
      <c r="T48" s="112">
        <f t="shared" si="28"/>
        <v>7.7921661353436408E-2</v>
      </c>
      <c r="U48" s="110">
        <v>0.25280000000000002</v>
      </c>
      <c r="V48" s="110">
        <v>1.8069999999999999</v>
      </c>
      <c r="W48" s="110">
        <v>0.46479999999999999</v>
      </c>
      <c r="X48" s="112">
        <f t="shared" si="29"/>
        <v>2.741879669936492</v>
      </c>
      <c r="Y48" s="112">
        <f t="shared" si="30"/>
        <v>9.1083271083625217</v>
      </c>
      <c r="Z48" s="110">
        <v>8.8779999999999998E-2</v>
      </c>
      <c r="AA48" s="110">
        <v>0.69879999999999998</v>
      </c>
      <c r="AB48" s="110">
        <v>0.42449999999999999</v>
      </c>
      <c r="AC48" s="112">
        <f t="shared" si="31"/>
        <v>7.8074699319660432</v>
      </c>
      <c r="AD48" s="112">
        <f t="shared" si="32"/>
        <v>25.935853716986326</v>
      </c>
      <c r="AE48" s="113">
        <v>5.7160000000000002</v>
      </c>
      <c r="AF48" s="110">
        <v>43.41</v>
      </c>
      <c r="AG48" s="110">
        <v>0.48570000000000002</v>
      </c>
      <c r="AH48" s="112">
        <f t="shared" si="33"/>
        <v>0.12126437728480498</v>
      </c>
      <c r="AI48" s="112">
        <f t="shared" si="34"/>
        <v>0.40283154181141456</v>
      </c>
      <c r="AJ48" s="110">
        <v>0.23960000000000001</v>
      </c>
      <c r="AK48" s="110">
        <v>1.694</v>
      </c>
      <c r="AL48" s="110">
        <v>0.46829999999999999</v>
      </c>
      <c r="AM48" s="112">
        <f t="shared" si="35"/>
        <v>2.892934810350356</v>
      </c>
      <c r="AN48" s="112">
        <f t="shared" si="36"/>
        <v>9.6101214231804928</v>
      </c>
      <c r="AO48" s="114">
        <v>1.9009999999999999E-2</v>
      </c>
      <c r="AP48" s="112">
        <v>3.8730000000000001E-2</v>
      </c>
      <c r="AQ48" s="110">
        <v>0.37319999999999998</v>
      </c>
      <c r="AR48" s="112">
        <f t="shared" si="37"/>
        <v>36.462239903205962</v>
      </c>
      <c r="AS48" s="112">
        <f t="shared" si="38"/>
        <v>121.12493913698296</v>
      </c>
      <c r="AT48" s="115">
        <f>0.1965*O48-3.429</f>
        <v>3.4485000000000006</v>
      </c>
    </row>
    <row r="49" spans="1:46" x14ac:dyDescent="0.25">
      <c r="A49" s="71" t="str">
        <f t="shared" si="13"/>
        <v/>
      </c>
      <c r="B49" s="72" t="str">
        <f t="shared" si="25"/>
        <v/>
      </c>
      <c r="C49" s="73" t="str">
        <f t="shared" si="14"/>
        <v/>
      </c>
      <c r="D49" s="73" t="str">
        <f t="shared" si="15"/>
        <v/>
      </c>
      <c r="E49" s="72" t="str">
        <f t="shared" si="26"/>
        <v/>
      </c>
      <c r="F49" s="73" t="str">
        <f t="shared" si="16"/>
        <v/>
      </c>
      <c r="G49" s="74" t="str">
        <f t="shared" si="17"/>
        <v/>
      </c>
      <c r="H49" s="75" t="str">
        <f t="shared" si="18"/>
        <v/>
      </c>
      <c r="I49" s="75" t="str">
        <f t="shared" si="19"/>
        <v/>
      </c>
      <c r="J49" s="75" t="str">
        <f t="shared" si="20"/>
        <v/>
      </c>
      <c r="K49" s="72" t="str">
        <f t="shared" si="21"/>
        <v/>
      </c>
      <c r="L49" s="73" t="str">
        <f t="shared" si="22"/>
        <v/>
      </c>
      <c r="M49" s="73" t="str">
        <f t="shared" si="23"/>
        <v/>
      </c>
      <c r="N49" s="76" t="str">
        <f t="shared" si="24"/>
        <v/>
      </c>
      <c r="O49" s="87">
        <v>40</v>
      </c>
      <c r="P49" s="110"/>
      <c r="Q49" s="111"/>
      <c r="R49" s="110"/>
      <c r="S49" s="112" t="str">
        <f t="shared" si="27"/>
        <v/>
      </c>
      <c r="T49" s="112" t="str">
        <f t="shared" si="28"/>
        <v/>
      </c>
      <c r="U49" s="110">
        <v>0.12970000000000001</v>
      </c>
      <c r="V49" s="110">
        <v>0.17799999999999999</v>
      </c>
      <c r="W49" s="110">
        <v>0.21890000000000001</v>
      </c>
      <c r="X49" s="112">
        <f t="shared" si="29"/>
        <v>5.3442342371622606</v>
      </c>
      <c r="Y49" s="112">
        <f t="shared" si="30"/>
        <v>17.753161858088248</v>
      </c>
      <c r="Z49" s="110"/>
      <c r="AA49" s="110"/>
      <c r="AB49" s="110"/>
      <c r="AC49" s="112" t="str">
        <f t="shared" si="31"/>
        <v/>
      </c>
      <c r="AD49" s="112" t="str">
        <f t="shared" si="32"/>
        <v/>
      </c>
      <c r="AE49" s="113"/>
      <c r="AF49" s="110"/>
      <c r="AG49" s="110"/>
      <c r="AH49" s="112" t="str">
        <f t="shared" si="33"/>
        <v/>
      </c>
      <c r="AI49" s="112" t="str">
        <f t="shared" si="34"/>
        <v/>
      </c>
      <c r="AJ49" s="110"/>
      <c r="AK49" s="110"/>
      <c r="AL49" s="110"/>
      <c r="AM49" s="112" t="str">
        <f t="shared" si="35"/>
        <v/>
      </c>
      <c r="AN49" s="112" t="str">
        <f t="shared" si="36"/>
        <v/>
      </c>
      <c r="AO49" s="114"/>
      <c r="AP49" s="112"/>
      <c r="AQ49" s="110"/>
      <c r="AR49" s="112" t="str">
        <f t="shared" si="37"/>
        <v/>
      </c>
      <c r="AS49" s="112" t="str">
        <f t="shared" si="38"/>
        <v/>
      </c>
      <c r="AT49" s="115">
        <f t="shared" ref="AT49:AT71" si="39">1.222-0.05664*O49+0.001227*O49^2-0.000003136*O49^3</f>
        <v>0.71889599999999998</v>
      </c>
    </row>
    <row r="50" spans="1:46" x14ac:dyDescent="0.25">
      <c r="A50" s="71" t="str">
        <f t="shared" si="13"/>
        <v/>
      </c>
      <c r="B50" s="72" t="str">
        <f t="shared" si="25"/>
        <v/>
      </c>
      <c r="C50" s="73" t="str">
        <f t="shared" si="14"/>
        <v/>
      </c>
      <c r="D50" s="73" t="str">
        <f t="shared" si="15"/>
        <v/>
      </c>
      <c r="E50" s="72" t="str">
        <f t="shared" si="26"/>
        <v/>
      </c>
      <c r="F50" s="73" t="str">
        <f t="shared" si="16"/>
        <v/>
      </c>
      <c r="G50" s="74" t="str">
        <f t="shared" si="17"/>
        <v/>
      </c>
      <c r="H50" s="75" t="str">
        <f t="shared" si="18"/>
        <v/>
      </c>
      <c r="I50" s="75" t="str">
        <f t="shared" si="19"/>
        <v/>
      </c>
      <c r="J50" s="75" t="str">
        <f t="shared" si="20"/>
        <v/>
      </c>
      <c r="K50" s="72" t="str">
        <f t="shared" si="21"/>
        <v/>
      </c>
      <c r="L50" s="73" t="str">
        <f t="shared" si="22"/>
        <v/>
      </c>
      <c r="M50" s="73" t="str">
        <f t="shared" si="23"/>
        <v/>
      </c>
      <c r="N50" s="76" t="str">
        <f t="shared" si="24"/>
        <v/>
      </c>
      <c r="O50" s="87">
        <v>45</v>
      </c>
      <c r="P50" s="110"/>
      <c r="Q50" s="111"/>
      <c r="R50" s="110"/>
      <c r="S50" s="112" t="str">
        <f t="shared" si="27"/>
        <v/>
      </c>
      <c r="T50" s="112" t="str">
        <f t="shared" si="28"/>
        <v/>
      </c>
      <c r="U50" s="110">
        <v>0.1095</v>
      </c>
      <c r="V50" s="110">
        <v>0.1741</v>
      </c>
      <c r="W50" s="110">
        <v>0.22689999999999999</v>
      </c>
      <c r="X50" s="112">
        <f t="shared" si="29"/>
        <v>6.3301112379903683</v>
      </c>
      <c r="Y50" s="112">
        <f t="shared" si="30"/>
        <v>21.028174365242428</v>
      </c>
      <c r="Z50" s="110"/>
      <c r="AA50" s="110"/>
      <c r="AB50" s="110"/>
      <c r="AC50" s="112" t="str">
        <f t="shared" si="31"/>
        <v/>
      </c>
      <c r="AD50" s="112" t="str">
        <f t="shared" si="32"/>
        <v/>
      </c>
      <c r="AE50" s="113"/>
      <c r="AF50" s="110"/>
      <c r="AG50" s="110"/>
      <c r="AH50" s="112" t="str">
        <f t="shared" si="33"/>
        <v/>
      </c>
      <c r="AI50" s="112" t="str">
        <f t="shared" si="34"/>
        <v/>
      </c>
      <c r="AJ50" s="110"/>
      <c r="AK50" s="110"/>
      <c r="AL50" s="110"/>
      <c r="AM50" s="112" t="str">
        <f t="shared" si="35"/>
        <v/>
      </c>
      <c r="AN50" s="112" t="str">
        <f t="shared" si="36"/>
        <v/>
      </c>
      <c r="AO50" s="114"/>
      <c r="AP50" s="112"/>
      <c r="AQ50" s="110"/>
      <c r="AR50" s="112" t="str">
        <f t="shared" si="37"/>
        <v/>
      </c>
      <c r="AS50" s="112" t="str">
        <f t="shared" si="38"/>
        <v/>
      </c>
      <c r="AT50" s="115">
        <f t="shared" si="39"/>
        <v>0.87210700000000019</v>
      </c>
    </row>
    <row r="51" spans="1:46" x14ac:dyDescent="0.25">
      <c r="A51" s="71" t="str">
        <f t="shared" si="13"/>
        <v/>
      </c>
      <c r="B51" s="72" t="str">
        <f t="shared" si="25"/>
        <v/>
      </c>
      <c r="C51" s="73" t="str">
        <f t="shared" si="14"/>
        <v/>
      </c>
      <c r="D51" s="73" t="str">
        <f t="shared" si="15"/>
        <v/>
      </c>
      <c r="E51" s="72" t="str">
        <f t="shared" si="26"/>
        <v/>
      </c>
      <c r="F51" s="73" t="str">
        <f t="shared" si="16"/>
        <v/>
      </c>
      <c r="G51" s="74" t="str">
        <f t="shared" si="17"/>
        <v/>
      </c>
      <c r="H51" s="75" t="str">
        <f t="shared" si="18"/>
        <v/>
      </c>
      <c r="I51" s="75" t="str">
        <f t="shared" si="19"/>
        <v/>
      </c>
      <c r="J51" s="75" t="str">
        <f t="shared" si="20"/>
        <v/>
      </c>
      <c r="K51" s="72" t="str">
        <f t="shared" si="21"/>
        <v/>
      </c>
      <c r="L51" s="73" t="str">
        <f t="shared" si="22"/>
        <v/>
      </c>
      <c r="M51" s="73" t="str">
        <f t="shared" si="23"/>
        <v/>
      </c>
      <c r="N51" s="76" t="str">
        <f t="shared" si="24"/>
        <v/>
      </c>
      <c r="O51" s="87">
        <v>50</v>
      </c>
      <c r="P51" s="110">
        <v>8.8010000000000002</v>
      </c>
      <c r="Q51" s="111">
        <v>27.28</v>
      </c>
      <c r="R51" s="110">
        <v>0.29570000000000002</v>
      </c>
      <c r="S51" s="112">
        <f t="shared" si="27"/>
        <v>7.8757775316435089E-2</v>
      </c>
      <c r="T51" s="112">
        <f t="shared" si="28"/>
        <v>0.26162766651449215</v>
      </c>
      <c r="U51" s="110">
        <v>9.3200000000000005E-2</v>
      </c>
      <c r="V51" s="110">
        <v>0.17119999999999999</v>
      </c>
      <c r="W51" s="110">
        <v>0.2324</v>
      </c>
      <c r="X51" s="112">
        <f t="shared" si="29"/>
        <v>7.4372015081539189</v>
      </c>
      <c r="Y51" s="112">
        <f t="shared" si="30"/>
        <v>24.705848637275167</v>
      </c>
      <c r="Z51" s="110">
        <v>3.8830000000000003E-2</v>
      </c>
      <c r="AA51" s="110">
        <v>8.7300000000000003E-2</v>
      </c>
      <c r="AB51" s="110">
        <v>0.51049999999999995</v>
      </c>
      <c r="AC51" s="112">
        <f t="shared" si="31"/>
        <v>17.85081587844309</v>
      </c>
      <c r="AD51" s="112">
        <f t="shared" si="32"/>
        <v>59.299126783261535</v>
      </c>
      <c r="AE51" s="113">
        <v>1.8169999999999999</v>
      </c>
      <c r="AF51" s="110">
        <v>4.84</v>
      </c>
      <c r="AG51" s="110">
        <v>0.40210000000000001</v>
      </c>
      <c r="AH51" s="112">
        <f t="shared" si="33"/>
        <v>0.38147891059985983</v>
      </c>
      <c r="AI51" s="112">
        <f t="shared" si="34"/>
        <v>1.2672455107286988</v>
      </c>
      <c r="AJ51" s="110">
        <v>9.7210000000000005E-2</v>
      </c>
      <c r="AK51" s="110">
        <v>0.1799</v>
      </c>
      <c r="AL51" s="110">
        <v>0.49120000000000003</v>
      </c>
      <c r="AM51" s="112">
        <f t="shared" si="35"/>
        <v>7.1304102516196401</v>
      </c>
      <c r="AN51" s="112">
        <f t="shared" si="36"/>
        <v>23.686710142928153</v>
      </c>
      <c r="AO51" s="114">
        <v>1.076E-2</v>
      </c>
      <c r="AP51" s="112">
        <v>1.8619999999999999E-3</v>
      </c>
      <c r="AQ51" s="110">
        <v>1.17</v>
      </c>
      <c r="AR51" s="112">
        <f t="shared" si="37"/>
        <v>64.418882951667769</v>
      </c>
      <c r="AS51" s="112">
        <f t="shared" si="38"/>
        <v>213.9948971184057</v>
      </c>
      <c r="AT51" s="115">
        <f t="shared" si="39"/>
        <v>1.0654999999999997</v>
      </c>
    </row>
    <row r="52" spans="1:46" x14ac:dyDescent="0.25">
      <c r="A52" s="71" t="str">
        <f t="shared" si="13"/>
        <v/>
      </c>
      <c r="B52" s="72" t="str">
        <f t="shared" si="25"/>
        <v/>
      </c>
      <c r="C52" s="73" t="str">
        <f t="shared" si="14"/>
        <v/>
      </c>
      <c r="D52" s="73" t="str">
        <f t="shared" si="15"/>
        <v/>
      </c>
      <c r="E52" s="72" t="str">
        <f t="shared" si="26"/>
        <v/>
      </c>
      <c r="F52" s="73" t="str">
        <f t="shared" si="16"/>
        <v/>
      </c>
      <c r="G52" s="74" t="str">
        <f t="shared" si="17"/>
        <v/>
      </c>
      <c r="H52" s="75" t="str">
        <f t="shared" si="18"/>
        <v/>
      </c>
      <c r="I52" s="75" t="str">
        <f t="shared" si="19"/>
        <v/>
      </c>
      <c r="J52" s="75" t="str">
        <f t="shared" si="20"/>
        <v/>
      </c>
      <c r="K52" s="72" t="str">
        <f t="shared" si="21"/>
        <v/>
      </c>
      <c r="L52" s="73" t="str">
        <f t="shared" si="22"/>
        <v/>
      </c>
      <c r="M52" s="73" t="str">
        <f t="shared" si="23"/>
        <v/>
      </c>
      <c r="N52" s="76" t="str">
        <f t="shared" si="24"/>
        <v/>
      </c>
      <c r="O52" s="87">
        <v>55</v>
      </c>
      <c r="P52" s="110">
        <v>7.8390000000000004</v>
      </c>
      <c r="Q52" s="111">
        <v>25.92</v>
      </c>
      <c r="R52" s="110">
        <v>0.34989999999999999</v>
      </c>
      <c r="S52" s="112">
        <f t="shared" si="27"/>
        <v>8.8422908605682513E-2</v>
      </c>
      <c r="T52" s="112">
        <f t="shared" si="28"/>
        <v>0.2937345443288743</v>
      </c>
      <c r="U52" s="110">
        <v>7.4219999999999994E-2</v>
      </c>
      <c r="V52" s="110">
        <v>0.16969999999999999</v>
      </c>
      <c r="W52" s="110">
        <v>0.24540000000000001</v>
      </c>
      <c r="X52" s="112">
        <f t="shared" si="29"/>
        <v>9.3390889323625075</v>
      </c>
      <c r="Y52" s="112">
        <f t="shared" si="30"/>
        <v>31.023781905066638</v>
      </c>
      <c r="Z52" s="110">
        <v>3.4189999999999998E-2</v>
      </c>
      <c r="AA52" s="110">
        <v>8.3150000000000002E-2</v>
      </c>
      <c r="AB52" s="110">
        <v>0.56059999999999999</v>
      </c>
      <c r="AC52" s="112">
        <f t="shared" si="31"/>
        <v>20.273389311492991</v>
      </c>
      <c r="AD52" s="112">
        <f t="shared" si="32"/>
        <v>67.346741532437733</v>
      </c>
      <c r="AE52" s="113">
        <v>1.4930000000000001</v>
      </c>
      <c r="AF52" s="110">
        <v>4.5149999999999997</v>
      </c>
      <c r="AG52" s="110">
        <v>0.42930000000000001</v>
      </c>
      <c r="AH52" s="112">
        <f t="shared" si="33"/>
        <v>0.46426468892159761</v>
      </c>
      <c r="AI52" s="112">
        <f t="shared" si="34"/>
        <v>1.5422539135927968</v>
      </c>
      <c r="AJ52" s="110">
        <v>8.5519999999999999E-2</v>
      </c>
      <c r="AK52" s="110">
        <v>0.1661</v>
      </c>
      <c r="AL52" s="110">
        <v>0.51119999999999999</v>
      </c>
      <c r="AM52" s="112">
        <f t="shared" si="35"/>
        <v>8.1050886407851408</v>
      </c>
      <c r="AN52" s="112">
        <f t="shared" si="36"/>
        <v>26.924521667376585</v>
      </c>
      <c r="AO52" s="114">
        <v>1.0120000000000001E-2</v>
      </c>
      <c r="AP52" s="112">
        <v>1.4040000000000001E-3</v>
      </c>
      <c r="AQ52" s="110">
        <v>1.2689999999999999</v>
      </c>
      <c r="AR52" s="112">
        <f t="shared" si="37"/>
        <v>68.49280440315664</v>
      </c>
      <c r="AS52" s="112">
        <f t="shared" si="38"/>
        <v>227.52817124447091</v>
      </c>
      <c r="AT52" s="115">
        <f t="shared" si="39"/>
        <v>1.2967229999999998</v>
      </c>
    </row>
    <row r="53" spans="1:46" x14ac:dyDescent="0.25">
      <c r="A53" s="71" t="str">
        <f t="shared" si="13"/>
        <v/>
      </c>
      <c r="B53" s="72" t="str">
        <f t="shared" si="25"/>
        <v/>
      </c>
      <c r="C53" s="73" t="str">
        <f t="shared" si="14"/>
        <v/>
      </c>
      <c r="D53" s="73" t="str">
        <f t="shared" si="15"/>
        <v/>
      </c>
      <c r="E53" s="72" t="str">
        <f t="shared" si="26"/>
        <v/>
      </c>
      <c r="F53" s="73" t="str">
        <f t="shared" si="16"/>
        <v/>
      </c>
      <c r="G53" s="74" t="str">
        <f t="shared" si="17"/>
        <v/>
      </c>
      <c r="H53" s="75" t="str">
        <f t="shared" si="18"/>
        <v/>
      </c>
      <c r="I53" s="75" t="str">
        <f t="shared" si="19"/>
        <v/>
      </c>
      <c r="J53" s="75" t="str">
        <f t="shared" si="20"/>
        <v/>
      </c>
      <c r="K53" s="72" t="str">
        <f t="shared" si="21"/>
        <v/>
      </c>
      <c r="L53" s="73" t="str">
        <f t="shared" si="22"/>
        <v/>
      </c>
      <c r="M53" s="73" t="str">
        <f t="shared" si="23"/>
        <v/>
      </c>
      <c r="N53" s="76" t="str">
        <f t="shared" si="24"/>
        <v/>
      </c>
      <c r="O53" s="87">
        <v>60</v>
      </c>
      <c r="P53" s="110">
        <v>6.9509999999999996</v>
      </c>
      <c r="Q53" s="111">
        <v>24.89</v>
      </c>
      <c r="R53" s="110">
        <v>0.41980000000000001</v>
      </c>
      <c r="S53" s="112">
        <f t="shared" si="27"/>
        <v>9.971905920873908E-2</v>
      </c>
      <c r="T53" s="112">
        <f t="shared" si="28"/>
        <v>0.33125954438124672</v>
      </c>
      <c r="U53" s="110">
        <v>6.2509999999999996E-2</v>
      </c>
      <c r="V53" s="110">
        <v>0.16919999999999999</v>
      </c>
      <c r="W53" s="110">
        <v>0.27329999999999999</v>
      </c>
      <c r="X53" s="112">
        <f t="shared" si="29"/>
        <v>11.088580716044557</v>
      </c>
      <c r="Y53" s="112">
        <f t="shared" si="30"/>
        <v>36.835467813054642</v>
      </c>
      <c r="Z53" s="110">
        <v>2.9850000000000002E-2</v>
      </c>
      <c r="AA53" s="110">
        <v>7.961E-2</v>
      </c>
      <c r="AB53" s="110">
        <v>0.6169</v>
      </c>
      <c r="AC53" s="112">
        <f t="shared" si="31"/>
        <v>23.221011074035015</v>
      </c>
      <c r="AD53" s="112">
        <f t="shared" si="32"/>
        <v>77.138529078527483</v>
      </c>
      <c r="AE53" s="113">
        <v>1.1830000000000001</v>
      </c>
      <c r="AF53" s="110">
        <v>4.2190000000000003</v>
      </c>
      <c r="AG53" s="110">
        <v>0.45710000000000001</v>
      </c>
      <c r="AH53" s="112">
        <f t="shared" si="33"/>
        <v>0.58592322955194021</v>
      </c>
      <c r="AI53" s="112">
        <f t="shared" si="34"/>
        <v>1.9463948376957276</v>
      </c>
      <c r="AJ53" s="110">
        <v>7.4520000000000003E-2</v>
      </c>
      <c r="AK53" s="110">
        <v>0.15390000000000001</v>
      </c>
      <c r="AL53" s="110">
        <v>0.53039999999999998</v>
      </c>
      <c r="AM53" s="112">
        <f t="shared" si="35"/>
        <v>9.3014919559842362</v>
      </c>
      <c r="AN53" s="112">
        <f t="shared" si="36"/>
        <v>30.898887452952842</v>
      </c>
      <c r="AO53" s="114">
        <v>9.5119999999999996E-3</v>
      </c>
      <c r="AP53" s="112">
        <v>9.6719999999999998E-4</v>
      </c>
      <c r="AQ53" s="110">
        <v>1.333</v>
      </c>
      <c r="AR53" s="112">
        <f t="shared" si="37"/>
        <v>72.870813767866409</v>
      </c>
      <c r="AS53" s="112">
        <f t="shared" si="38"/>
        <v>242.07160355278026</v>
      </c>
      <c r="AT53" s="115">
        <f t="shared" si="39"/>
        <v>1.5634240000000001</v>
      </c>
    </row>
    <row r="54" spans="1:46" x14ac:dyDescent="0.25">
      <c r="A54" s="71" t="str">
        <f t="shared" si="13"/>
        <v/>
      </c>
      <c r="B54" s="72" t="str">
        <f t="shared" si="25"/>
        <v/>
      </c>
      <c r="C54" s="73" t="str">
        <f t="shared" si="14"/>
        <v/>
      </c>
      <c r="D54" s="73" t="str">
        <f t="shared" si="15"/>
        <v/>
      </c>
      <c r="E54" s="72" t="str">
        <f t="shared" si="26"/>
        <v/>
      </c>
      <c r="F54" s="73" t="str">
        <f t="shared" si="16"/>
        <v/>
      </c>
      <c r="G54" s="74" t="str">
        <f t="shared" si="17"/>
        <v/>
      </c>
      <c r="H54" s="75" t="str">
        <f t="shared" si="18"/>
        <v/>
      </c>
      <c r="I54" s="75" t="str">
        <f t="shared" si="19"/>
        <v/>
      </c>
      <c r="J54" s="75" t="str">
        <f t="shared" si="20"/>
        <v/>
      </c>
      <c r="K54" s="72" t="str">
        <f t="shared" si="21"/>
        <v/>
      </c>
      <c r="L54" s="73" t="str">
        <f t="shared" si="22"/>
        <v/>
      </c>
      <c r="M54" s="73" t="str">
        <f t="shared" si="23"/>
        <v/>
      </c>
      <c r="N54" s="76" t="str">
        <f t="shared" si="24"/>
        <v/>
      </c>
      <c r="O54" s="87">
        <v>65</v>
      </c>
      <c r="P54" s="110">
        <v>6.13</v>
      </c>
      <c r="Q54" s="111">
        <v>24.09</v>
      </c>
      <c r="R54" s="110">
        <v>0.50190000000000001</v>
      </c>
      <c r="S54" s="112">
        <f t="shared" si="27"/>
        <v>0.1130745808417529</v>
      </c>
      <c r="T54" s="112">
        <f t="shared" si="28"/>
        <v>0.37562562691583129</v>
      </c>
      <c r="U54" s="110">
        <v>5.5280000000000003E-2</v>
      </c>
      <c r="V54" s="110">
        <v>0.1696</v>
      </c>
      <c r="W54" s="110">
        <v>0.32169999999999999</v>
      </c>
      <c r="X54" s="112">
        <f t="shared" si="29"/>
        <v>12.53884190593244</v>
      </c>
      <c r="Y54" s="112">
        <f t="shared" si="30"/>
        <v>41.653131204667979</v>
      </c>
      <c r="Z54" s="110">
        <v>2.6089999999999999E-2</v>
      </c>
      <c r="AA54" s="110">
        <v>7.5969999999999996E-2</v>
      </c>
      <c r="AB54" s="110">
        <v>0.67559999999999998</v>
      </c>
      <c r="AC54" s="112">
        <f t="shared" si="31"/>
        <v>26.56754237485417</v>
      </c>
      <c r="AD54" s="112">
        <f t="shared" si="32"/>
        <v>88.255465427138589</v>
      </c>
      <c r="AE54" s="113">
        <v>0.91720000000000002</v>
      </c>
      <c r="AF54" s="110">
        <v>3.9820000000000002</v>
      </c>
      <c r="AG54" s="110">
        <v>0.49220000000000003</v>
      </c>
      <c r="AH54" s="112">
        <f t="shared" si="33"/>
        <v>0.75572086846919462</v>
      </c>
      <c r="AI54" s="112">
        <f t="shared" si="34"/>
        <v>2.5104503848604947</v>
      </c>
      <c r="AJ54" s="110">
        <v>6.5140000000000003E-2</v>
      </c>
      <c r="AK54" s="110">
        <v>0.14430000000000001</v>
      </c>
      <c r="AL54" s="110">
        <v>0.55820000000000003</v>
      </c>
      <c r="AM54" s="112">
        <f t="shared" si="35"/>
        <v>10.640883950874198</v>
      </c>
      <c r="AN54" s="112">
        <f t="shared" si="36"/>
        <v>35.348251350845032</v>
      </c>
      <c r="AO54" s="114">
        <v>8.9899999999999997E-3</v>
      </c>
      <c r="AP54" s="112">
        <v>6.4700000000000001E-4</v>
      </c>
      <c r="AQ54" s="110">
        <v>1.353</v>
      </c>
      <c r="AR54" s="112">
        <f t="shared" si="37"/>
        <v>77.102022309226399</v>
      </c>
      <c r="AS54" s="112">
        <f t="shared" si="38"/>
        <v>256.1273740816514</v>
      </c>
      <c r="AT54" s="115">
        <f t="shared" si="39"/>
        <v>1.863251</v>
      </c>
    </row>
    <row r="55" spans="1:46" x14ac:dyDescent="0.25">
      <c r="A55" s="71" t="str">
        <f t="shared" si="13"/>
        <v/>
      </c>
      <c r="B55" s="72" t="str">
        <f t="shared" si="25"/>
        <v/>
      </c>
      <c r="C55" s="73" t="str">
        <f t="shared" si="14"/>
        <v/>
      </c>
      <c r="D55" s="73" t="str">
        <f t="shared" si="15"/>
        <v/>
      </c>
      <c r="E55" s="72" t="str">
        <f t="shared" si="26"/>
        <v/>
      </c>
      <c r="F55" s="73" t="str">
        <f t="shared" si="16"/>
        <v/>
      </c>
      <c r="G55" s="74" t="str">
        <f t="shared" si="17"/>
        <v/>
      </c>
      <c r="H55" s="75" t="str">
        <f t="shared" si="18"/>
        <v/>
      </c>
      <c r="I55" s="75" t="str">
        <f t="shared" si="19"/>
        <v/>
      </c>
      <c r="J55" s="75" t="str">
        <f t="shared" si="20"/>
        <v/>
      </c>
      <c r="K55" s="72" t="str">
        <f t="shared" si="21"/>
        <v/>
      </c>
      <c r="L55" s="73" t="str">
        <f t="shared" si="22"/>
        <v/>
      </c>
      <c r="M55" s="73" t="str">
        <f t="shared" si="23"/>
        <v/>
      </c>
      <c r="N55" s="76" t="str">
        <f t="shared" si="24"/>
        <v/>
      </c>
      <c r="O55" s="87">
        <v>70</v>
      </c>
      <c r="P55" s="110">
        <v>5.3689999999999998</v>
      </c>
      <c r="Q55" s="111">
        <v>23.49</v>
      </c>
      <c r="R55" s="110">
        <v>0.58809999999999996</v>
      </c>
      <c r="S55" s="112">
        <f t="shared" si="27"/>
        <v>0.12910172854534277</v>
      </c>
      <c r="T55" s="112">
        <f t="shared" si="28"/>
        <v>0.42886665915329597</v>
      </c>
      <c r="U55" s="110">
        <v>5.0869999999999999E-2</v>
      </c>
      <c r="V55" s="110">
        <v>0.1696</v>
      </c>
      <c r="W55" s="110">
        <v>0.38469999999999999</v>
      </c>
      <c r="X55" s="112">
        <f t="shared" si="29"/>
        <v>13.625853755847166</v>
      </c>
      <c r="Y55" s="112">
        <f t="shared" si="30"/>
        <v>45.264106408375191</v>
      </c>
      <c r="Z55" s="110">
        <v>2.3019999999999999E-2</v>
      </c>
      <c r="AA55" s="110">
        <v>7.1629999999999999E-2</v>
      </c>
      <c r="AB55" s="110">
        <v>0.72989999999999999</v>
      </c>
      <c r="AC55" s="112">
        <f t="shared" si="31"/>
        <v>30.110650762812568</v>
      </c>
      <c r="AD55" s="112">
        <f t="shared" si="32"/>
        <v>100.02541672432866</v>
      </c>
      <c r="AE55" s="113">
        <v>0.71489999999999998</v>
      </c>
      <c r="AF55" s="110">
        <v>3.798</v>
      </c>
      <c r="AG55" s="110">
        <v>0.53779999999999994</v>
      </c>
      <c r="AH55" s="112">
        <f t="shared" si="33"/>
        <v>0.96957222067414361</v>
      </c>
      <c r="AI55" s="112">
        <f t="shared" si="34"/>
        <v>3.2208491998797673</v>
      </c>
      <c r="AJ55" s="110">
        <v>5.7910000000000003E-2</v>
      </c>
      <c r="AK55" s="110">
        <v>0.13569999999999999</v>
      </c>
      <c r="AL55" s="110">
        <v>0.59670000000000001</v>
      </c>
      <c r="AM55" s="112">
        <f t="shared" si="35"/>
        <v>11.969386644101974</v>
      </c>
      <c r="AN55" s="112">
        <f t="shared" si="36"/>
        <v>39.761441771611914</v>
      </c>
      <c r="AO55" s="114">
        <v>8.5500000000000003E-3</v>
      </c>
      <c r="AP55" s="112">
        <v>5.3899999999999998E-4</v>
      </c>
      <c r="AQ55" s="110">
        <v>1.194</v>
      </c>
      <c r="AR55" s="112">
        <f t="shared" si="37"/>
        <v>81.069845679525756</v>
      </c>
      <c r="AS55" s="112">
        <f t="shared" si="38"/>
        <v>269.30819801099949</v>
      </c>
      <c r="AT55" s="115">
        <f t="shared" si="39"/>
        <v>2.1938519999999997</v>
      </c>
    </row>
    <row r="56" spans="1:46" x14ac:dyDescent="0.25">
      <c r="A56" s="71" t="str">
        <f t="shared" si="13"/>
        <v/>
      </c>
      <c r="B56" s="72" t="str">
        <f t="shared" si="25"/>
        <v/>
      </c>
      <c r="C56" s="73" t="str">
        <f t="shared" si="14"/>
        <v/>
      </c>
      <c r="D56" s="73" t="str">
        <f t="shared" si="15"/>
        <v/>
      </c>
      <c r="E56" s="72" t="str">
        <f t="shared" si="26"/>
        <v/>
      </c>
      <c r="F56" s="73" t="str">
        <f t="shared" si="16"/>
        <v/>
      </c>
      <c r="G56" s="74" t="str">
        <f t="shared" si="17"/>
        <v/>
      </c>
      <c r="H56" s="75" t="str">
        <f t="shared" si="18"/>
        <v/>
      </c>
      <c r="I56" s="75" t="str">
        <f t="shared" si="19"/>
        <v/>
      </c>
      <c r="J56" s="75" t="str">
        <f t="shared" si="20"/>
        <v/>
      </c>
      <c r="K56" s="72" t="str">
        <f t="shared" si="21"/>
        <v/>
      </c>
      <c r="L56" s="73" t="str">
        <f t="shared" si="22"/>
        <v/>
      </c>
      <c r="M56" s="73" t="str">
        <f t="shared" si="23"/>
        <v/>
      </c>
      <c r="N56" s="76" t="str">
        <f t="shared" si="24"/>
        <v/>
      </c>
      <c r="O56" s="87">
        <v>75</v>
      </c>
      <c r="P56" s="110">
        <v>4.6660000000000004</v>
      </c>
      <c r="Q56" s="111">
        <v>22.69</v>
      </c>
      <c r="R56" s="110">
        <v>0.66180000000000005</v>
      </c>
      <c r="S56" s="112">
        <f t="shared" si="27"/>
        <v>0.14855276051434746</v>
      </c>
      <c r="T56" s="112">
        <f t="shared" si="28"/>
        <v>0.49348158872568487</v>
      </c>
      <c r="U56" s="110">
        <v>4.7969999999999999E-2</v>
      </c>
      <c r="V56" s="110">
        <v>0.1663</v>
      </c>
      <c r="W56" s="110">
        <v>0.44919999999999999</v>
      </c>
      <c r="X56" s="112">
        <f t="shared" si="29"/>
        <v>14.449597259952998</v>
      </c>
      <c r="Y56" s="112">
        <f t="shared" si="30"/>
        <v>48.000523097645321</v>
      </c>
      <c r="Z56" s="110">
        <v>2.0660000000000001E-2</v>
      </c>
      <c r="AA56" s="110">
        <v>6.6489999999999994E-2</v>
      </c>
      <c r="AB56" s="110">
        <v>0.77500000000000002</v>
      </c>
      <c r="AC56" s="112">
        <f t="shared" si="31"/>
        <v>33.550202350432976</v>
      </c>
      <c r="AD56" s="112">
        <f t="shared" si="32"/>
        <v>111.45135977705932</v>
      </c>
      <c r="AE56" s="113">
        <v>0.57930000000000004</v>
      </c>
      <c r="AF56" s="110">
        <v>3.629</v>
      </c>
      <c r="AG56" s="110">
        <v>0.59079999999999999</v>
      </c>
      <c r="AH56" s="112">
        <f t="shared" si="33"/>
        <v>1.1965254282063615</v>
      </c>
      <c r="AI56" s="112">
        <f t="shared" si="34"/>
        <v>3.9747714362058444</v>
      </c>
      <c r="AJ56" s="110">
        <v>5.2909999999999999E-2</v>
      </c>
      <c r="AK56" s="110">
        <v>0.128</v>
      </c>
      <c r="AL56" s="110">
        <v>0.64780000000000004</v>
      </c>
      <c r="AM56" s="112">
        <f t="shared" si="35"/>
        <v>13.100494813077779</v>
      </c>
      <c r="AN56" s="112">
        <f t="shared" si="36"/>
        <v>43.518901776489244</v>
      </c>
      <c r="AO56" s="114">
        <v>5.2030000000000002E-3</v>
      </c>
      <c r="AP56" s="112">
        <v>6.4210000000000005E-4</v>
      </c>
      <c r="AQ56" s="110">
        <v>1.0620000000000001</v>
      </c>
      <c r="AR56" s="112">
        <f t="shared" si="37"/>
        <v>133.22067664038926</v>
      </c>
      <c r="AS56" s="112">
        <f t="shared" si="38"/>
        <v>442.54950855161366</v>
      </c>
      <c r="AT56" s="115">
        <f t="shared" si="39"/>
        <v>2.5528750000000002</v>
      </c>
    </row>
    <row r="57" spans="1:46" x14ac:dyDescent="0.25">
      <c r="A57" s="71" t="str">
        <f t="shared" si="13"/>
        <v/>
      </c>
      <c r="B57" s="72" t="str">
        <f t="shared" si="25"/>
        <v/>
      </c>
      <c r="C57" s="73" t="str">
        <f t="shared" si="14"/>
        <v/>
      </c>
      <c r="D57" s="73" t="str">
        <f t="shared" si="15"/>
        <v/>
      </c>
      <c r="E57" s="72" t="str">
        <f t="shared" si="26"/>
        <v/>
      </c>
      <c r="F57" s="73" t="str">
        <f t="shared" si="16"/>
        <v/>
      </c>
      <c r="G57" s="74" t="str">
        <f t="shared" si="17"/>
        <v/>
      </c>
      <c r="H57" s="75" t="str">
        <f t="shared" si="18"/>
        <v/>
      </c>
      <c r="I57" s="75" t="str">
        <f t="shared" si="19"/>
        <v/>
      </c>
      <c r="J57" s="75" t="str">
        <f t="shared" si="20"/>
        <v/>
      </c>
      <c r="K57" s="72" t="str">
        <f t="shared" si="21"/>
        <v/>
      </c>
      <c r="L57" s="73" t="str">
        <f t="shared" si="22"/>
        <v/>
      </c>
      <c r="M57" s="73" t="str">
        <f t="shared" si="23"/>
        <v/>
      </c>
      <c r="N57" s="76" t="str">
        <f t="shared" si="24"/>
        <v/>
      </c>
      <c r="O57" s="87">
        <v>80</v>
      </c>
      <c r="P57" s="110">
        <v>4.04</v>
      </c>
      <c r="Q57" s="111">
        <v>21.69</v>
      </c>
      <c r="R57" s="110">
        <v>0.71870000000000001</v>
      </c>
      <c r="S57" s="112">
        <f t="shared" si="27"/>
        <v>0.17157108429701615</v>
      </c>
      <c r="T57" s="112">
        <f t="shared" si="28"/>
        <v>0.56994680519654595</v>
      </c>
      <c r="U57" s="110">
        <v>4.5830000000000003E-2</v>
      </c>
      <c r="V57" s="110">
        <v>0.15490000000000001</v>
      </c>
      <c r="W57" s="110">
        <v>0.49259999999999998</v>
      </c>
      <c r="X57" s="112">
        <f t="shared" si="29"/>
        <v>15.124311162119687</v>
      </c>
      <c r="Y57" s="112">
        <f t="shared" si="30"/>
        <v>50.241874165263923</v>
      </c>
      <c r="Z57" s="110">
        <v>1.8859999999999998E-2</v>
      </c>
      <c r="AA57" s="110">
        <v>6.0929999999999998E-2</v>
      </c>
      <c r="AB57" s="110">
        <v>0.81030000000000002</v>
      </c>
      <c r="AC57" s="112">
        <f t="shared" si="31"/>
        <v>36.752236509010885</v>
      </c>
      <c r="AD57" s="112">
        <f t="shared" si="32"/>
        <v>122.08828700922831</v>
      </c>
      <c r="AE57" s="113">
        <v>0.49209999999999998</v>
      </c>
      <c r="AF57" s="110">
        <v>3.4279999999999999</v>
      </c>
      <c r="AG57" s="110">
        <v>0.64270000000000005</v>
      </c>
      <c r="AH57" s="112">
        <f t="shared" si="33"/>
        <v>1.4085494423083627</v>
      </c>
      <c r="AI57" s="112">
        <f t="shared" si="34"/>
        <v>4.6790999654420764</v>
      </c>
      <c r="AJ57" s="110">
        <v>4.9549999999999997E-2</v>
      </c>
      <c r="AK57" s="110">
        <v>0.1208</v>
      </c>
      <c r="AL57" s="110">
        <v>0.7097</v>
      </c>
      <c r="AM57" s="112">
        <f t="shared" si="35"/>
        <v>13.988843199998897</v>
      </c>
      <c r="AN57" s="112">
        <f t="shared" si="36"/>
        <v>46.469931241050375</v>
      </c>
      <c r="AO57" s="114">
        <v>7.9030000000000003E-3</v>
      </c>
      <c r="AP57" s="112">
        <v>8.6399999999999997E-4</v>
      </c>
      <c r="AQ57" s="110">
        <v>0.97030000000000005</v>
      </c>
      <c r="AR57" s="112">
        <f t="shared" si="37"/>
        <v>87.706843041875899</v>
      </c>
      <c r="AS57" s="112">
        <f t="shared" si="38"/>
        <v>291.35582601468377</v>
      </c>
      <c r="AT57" s="115">
        <f t="shared" si="39"/>
        <v>2.9379679999999997</v>
      </c>
    </row>
    <row r="58" spans="1:46" x14ac:dyDescent="0.25">
      <c r="A58" s="71" t="str">
        <f t="shared" si="13"/>
        <v/>
      </c>
      <c r="B58" s="72" t="str">
        <f t="shared" si="25"/>
        <v/>
      </c>
      <c r="C58" s="73" t="str">
        <f t="shared" si="14"/>
        <v/>
      </c>
      <c r="D58" s="73" t="str">
        <f t="shared" si="15"/>
        <v/>
      </c>
      <c r="E58" s="72" t="str">
        <f t="shared" si="26"/>
        <v/>
      </c>
      <c r="F58" s="73" t="str">
        <f t="shared" si="16"/>
        <v/>
      </c>
      <c r="G58" s="74" t="str">
        <f t="shared" si="17"/>
        <v/>
      </c>
      <c r="H58" s="75" t="str">
        <f t="shared" si="18"/>
        <v/>
      </c>
      <c r="I58" s="75" t="str">
        <f t="shared" si="19"/>
        <v/>
      </c>
      <c r="J58" s="75" t="str">
        <f t="shared" si="20"/>
        <v/>
      </c>
      <c r="K58" s="72" t="str">
        <f t="shared" si="21"/>
        <v/>
      </c>
      <c r="L58" s="73" t="str">
        <f t="shared" si="22"/>
        <v/>
      </c>
      <c r="M58" s="73" t="str">
        <f t="shared" si="23"/>
        <v/>
      </c>
      <c r="N58" s="76" t="str">
        <f t="shared" si="24"/>
        <v/>
      </c>
      <c r="O58" s="87">
        <v>85</v>
      </c>
      <c r="P58" s="110">
        <v>3.504</v>
      </c>
      <c r="Q58" s="111">
        <v>20.37</v>
      </c>
      <c r="R58" s="110">
        <v>0.755</v>
      </c>
      <c r="S58" s="112">
        <f t="shared" si="27"/>
        <v>0.19781597618719901</v>
      </c>
      <c r="T58" s="112">
        <f t="shared" si="28"/>
        <v>0.65713044891382588</v>
      </c>
      <c r="U58" s="110">
        <v>4.3979999999999998E-2</v>
      </c>
      <c r="V58" s="110">
        <v>0.1348</v>
      </c>
      <c r="W58" s="110">
        <v>0.49430000000000002</v>
      </c>
      <c r="X58" s="112">
        <f t="shared" si="29"/>
        <v>15.760508880398939</v>
      </c>
      <c r="Y58" s="112">
        <f t="shared" si="30"/>
        <v>52.355277239519012</v>
      </c>
      <c r="Z58" s="110">
        <v>1.746E-2</v>
      </c>
      <c r="AA58" s="110">
        <v>5.5579999999999997E-2</v>
      </c>
      <c r="AB58" s="110">
        <v>0.83919999999999995</v>
      </c>
      <c r="AC58" s="112">
        <f t="shared" si="31"/>
        <v>39.699151234819318</v>
      </c>
      <c r="AD58" s="112">
        <f t="shared" si="32"/>
        <v>131.87772583012864</v>
      </c>
      <c r="AE58" s="113">
        <v>0.4355</v>
      </c>
      <c r="AF58" s="110">
        <v>3.1779999999999999</v>
      </c>
      <c r="AG58" s="110">
        <v>0.68610000000000004</v>
      </c>
      <c r="AH58" s="112">
        <f t="shared" si="33"/>
        <v>1.5916123549022854</v>
      </c>
      <c r="AI58" s="112">
        <f t="shared" si="34"/>
        <v>5.287221797919738</v>
      </c>
      <c r="AJ58" s="110">
        <v>4.7210000000000002E-2</v>
      </c>
      <c r="AK58" s="110">
        <v>0.114</v>
      </c>
      <c r="AL58" s="110">
        <v>0.77859999999999996</v>
      </c>
      <c r="AM58" s="112">
        <f t="shared" si="35"/>
        <v>14.682210984112375</v>
      </c>
      <c r="AN58" s="112">
        <f t="shared" si="36"/>
        <v>48.773249163186733</v>
      </c>
      <c r="AO58" s="114">
        <v>7.6860000000000001E-3</v>
      </c>
      <c r="AP58" s="112">
        <v>1.0560000000000001E-3</v>
      </c>
      <c r="AQ58" s="110">
        <v>1.0149999999999999</v>
      </c>
      <c r="AR58" s="112">
        <f t="shared" si="37"/>
        <v>90.183083601345984</v>
      </c>
      <c r="AS58" s="112">
        <f t="shared" si="38"/>
        <v>299.58171909888699</v>
      </c>
      <c r="AT58" s="115">
        <f t="shared" si="39"/>
        <v>3.3467790000000015</v>
      </c>
    </row>
    <row r="59" spans="1:46" x14ac:dyDescent="0.25"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O59" s="87">
        <v>90</v>
      </c>
      <c r="P59" s="110">
        <v>3.0670000000000002</v>
      </c>
      <c r="Q59" s="111">
        <v>18.829999999999998</v>
      </c>
      <c r="R59" s="110">
        <v>0.77259999999999995</v>
      </c>
      <c r="S59" s="112">
        <f t="shared" si="27"/>
        <v>0.22600168912942459</v>
      </c>
      <c r="T59" s="112">
        <f t="shared" si="28"/>
        <v>0.75076136061103538</v>
      </c>
      <c r="U59" s="110">
        <v>4.2279999999999998E-2</v>
      </c>
      <c r="V59" s="110">
        <v>0.1137</v>
      </c>
      <c r="W59" s="110">
        <v>0.46899999999999997</v>
      </c>
      <c r="X59" s="112">
        <f t="shared" si="29"/>
        <v>16.394209568589055</v>
      </c>
      <c r="Y59" s="112">
        <f t="shared" si="30"/>
        <v>54.460385359367208</v>
      </c>
      <c r="Z59" s="110">
        <v>1.6629999999999999E-2</v>
      </c>
      <c r="AA59" s="110">
        <v>5.0389999999999997E-2</v>
      </c>
      <c r="AB59" s="110">
        <v>0.85850000000000004</v>
      </c>
      <c r="AC59" s="112">
        <f t="shared" si="31"/>
        <v>41.680527995186132</v>
      </c>
      <c r="AD59" s="112">
        <f t="shared" si="32"/>
        <v>138.45971695694806</v>
      </c>
      <c r="AE59" s="113">
        <v>0.39710000000000001</v>
      </c>
      <c r="AF59" s="110">
        <v>2.9129999999999998</v>
      </c>
      <c r="AG59" s="110">
        <v>0.72040000000000004</v>
      </c>
      <c r="AH59" s="112">
        <f t="shared" si="33"/>
        <v>1.7455229930998371</v>
      </c>
      <c r="AI59" s="112">
        <f t="shared" si="34"/>
        <v>5.7985018710502283</v>
      </c>
      <c r="AJ59" s="110">
        <v>4.5499999999999999E-2</v>
      </c>
      <c r="AK59" s="110">
        <v>0.1077</v>
      </c>
      <c r="AL59" s="110">
        <v>0.85219999999999996</v>
      </c>
      <c r="AM59" s="112">
        <f t="shared" si="35"/>
        <v>15.234003968350446</v>
      </c>
      <c r="AN59" s="112">
        <f t="shared" si="36"/>
        <v>50.606265780088918</v>
      </c>
      <c r="AO59" s="114">
        <v>7.5110000000000003E-3</v>
      </c>
      <c r="AP59" s="112">
        <v>1.1590000000000001E-3</v>
      </c>
      <c r="AQ59" s="110">
        <v>1.081</v>
      </c>
      <c r="AR59" s="112">
        <f t="shared" si="37"/>
        <v>92.284273806409971</v>
      </c>
      <c r="AS59" s="112">
        <f t="shared" si="38"/>
        <v>306.56172187379121</v>
      </c>
      <c r="AT59" s="115">
        <f t="shared" si="39"/>
        <v>3.7769560000000002</v>
      </c>
    </row>
    <row r="60" spans="1:46" x14ac:dyDescent="0.25"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O60" s="87">
        <v>95</v>
      </c>
      <c r="P60" s="110">
        <v>2.7309999999999999</v>
      </c>
      <c r="Q60" s="111">
        <v>17.07</v>
      </c>
      <c r="R60" s="110">
        <v>0.77139999999999997</v>
      </c>
      <c r="S60" s="112">
        <f t="shared" si="27"/>
        <v>0.25380709650675404</v>
      </c>
      <c r="T60" s="112">
        <f t="shared" si="28"/>
        <v>0.84312892456757438</v>
      </c>
      <c r="U60" s="110">
        <v>4.0680000000000001E-2</v>
      </c>
      <c r="V60" s="110">
        <v>9.7049999999999997E-2</v>
      </c>
      <c r="W60" s="110">
        <v>0.44059999999999999</v>
      </c>
      <c r="X60" s="112">
        <f t="shared" si="29"/>
        <v>17.039016237953422</v>
      </c>
      <c r="Y60" s="112">
        <f t="shared" si="30"/>
        <v>56.602386750099448</v>
      </c>
      <c r="Z60" s="110">
        <v>1.5429999999999999E-2</v>
      </c>
      <c r="AA60" s="110">
        <v>4.5710000000000001E-2</v>
      </c>
      <c r="AB60" s="110">
        <v>0.87629999999999997</v>
      </c>
      <c r="AC60" s="112">
        <f t="shared" si="31"/>
        <v>44.922046698635469</v>
      </c>
      <c r="AD60" s="112">
        <f t="shared" si="32"/>
        <v>149.22780900803926</v>
      </c>
      <c r="AE60" s="113">
        <v>0.36809999999999998</v>
      </c>
      <c r="AF60" s="110">
        <v>2.6539999999999999</v>
      </c>
      <c r="AG60" s="110">
        <v>0.74609999999999999</v>
      </c>
      <c r="AH60" s="112">
        <f t="shared" si="33"/>
        <v>1.8830404253190582</v>
      </c>
      <c r="AI60" s="112">
        <f t="shared" si="34"/>
        <v>6.2553248926760281</v>
      </c>
      <c r="AJ60" s="110">
        <v>4.41E-2</v>
      </c>
      <c r="AK60" s="110">
        <v>0.1013</v>
      </c>
      <c r="AL60" s="110">
        <v>0.92220000000000002</v>
      </c>
      <c r="AM60" s="112">
        <f t="shared" si="35"/>
        <v>15.717623141948872</v>
      </c>
      <c r="AN60" s="112">
        <f t="shared" si="36"/>
        <v>52.212813900091739</v>
      </c>
      <c r="AO60" s="114">
        <v>7.345E-3</v>
      </c>
      <c r="AP60" s="112">
        <v>1.1329999999999999E-3</v>
      </c>
      <c r="AQ60" s="110">
        <v>1.1160000000000001</v>
      </c>
      <c r="AR60" s="112">
        <f t="shared" si="37"/>
        <v>94.369936087126661</v>
      </c>
      <c r="AS60" s="112">
        <f t="shared" si="38"/>
        <v>313.49014200055086</v>
      </c>
      <c r="AT60" s="115">
        <f t="shared" si="39"/>
        <v>4.2261469999999983</v>
      </c>
    </row>
    <row r="61" spans="1:46" x14ac:dyDescent="0.25">
      <c r="A61" s="21"/>
      <c r="B61" s="77" t="s">
        <v>59</v>
      </c>
      <c r="C61" s="78"/>
      <c r="D61" s="78"/>
      <c r="E61" s="77" t="s">
        <v>61</v>
      </c>
      <c r="F61" s="78"/>
      <c r="G61" s="78"/>
      <c r="H61" s="77" t="s">
        <v>90</v>
      </c>
      <c r="I61" s="78"/>
      <c r="J61" s="78"/>
      <c r="K61" s="79" t="s">
        <v>91</v>
      </c>
      <c r="L61" s="23"/>
      <c r="M61" s="23"/>
      <c r="O61" s="87">
        <v>100</v>
      </c>
      <c r="P61" s="110">
        <v>2.5</v>
      </c>
      <c r="Q61" s="111">
        <v>15.28</v>
      </c>
      <c r="R61" s="110">
        <v>0.75570000000000004</v>
      </c>
      <c r="S61" s="112">
        <f t="shared" si="27"/>
        <v>0.2772588722239781</v>
      </c>
      <c r="T61" s="112">
        <f t="shared" si="28"/>
        <v>0.92103403719761834</v>
      </c>
      <c r="U61" s="110">
        <v>3.925E-2</v>
      </c>
      <c r="V61" s="110">
        <v>8.5669999999999996E-2</v>
      </c>
      <c r="W61" s="110">
        <v>0.42730000000000001</v>
      </c>
      <c r="X61" s="112">
        <f t="shared" si="29"/>
        <v>17.659800778597333</v>
      </c>
      <c r="Y61" s="112">
        <f t="shared" si="30"/>
        <v>58.6645883565362</v>
      </c>
      <c r="Z61" s="110">
        <v>1.4659999999999999E-2</v>
      </c>
      <c r="AA61" s="110">
        <v>4.1709999999999997E-2</v>
      </c>
      <c r="AB61" s="110">
        <v>0.89390000000000003</v>
      </c>
      <c r="AC61" s="112">
        <f t="shared" si="31"/>
        <v>47.281526641196812</v>
      </c>
      <c r="AD61" s="112">
        <f t="shared" si="32"/>
        <v>157.06583171855701</v>
      </c>
      <c r="AE61" s="113">
        <v>0.34150000000000003</v>
      </c>
      <c r="AF61" s="110">
        <v>2.42</v>
      </c>
      <c r="AG61" s="110">
        <v>0.76449999999999996</v>
      </c>
      <c r="AH61" s="112">
        <f t="shared" si="33"/>
        <v>2.0297135594727531</v>
      </c>
      <c r="AI61" s="112">
        <f t="shared" si="34"/>
        <v>6.7425624977863707</v>
      </c>
      <c r="AJ61" s="110">
        <v>4.2779999999999999E-2</v>
      </c>
      <c r="AK61" s="110">
        <v>9.4659999999999994E-2</v>
      </c>
      <c r="AL61" s="110">
        <v>0.97909999999999997</v>
      </c>
      <c r="AM61" s="112">
        <f t="shared" si="35"/>
        <v>16.202598891069314</v>
      </c>
      <c r="AN61" s="112">
        <f t="shared" si="36"/>
        <v>53.823868466433979</v>
      </c>
      <c r="AO61" s="114">
        <v>7.2300000000000003E-3</v>
      </c>
      <c r="AP61" s="112">
        <v>9.343E-4</v>
      </c>
      <c r="AQ61" s="110">
        <v>1.3089999999999999</v>
      </c>
      <c r="AR61" s="112">
        <f t="shared" si="37"/>
        <v>95.870979330559507</v>
      </c>
      <c r="AS61" s="112">
        <f t="shared" si="38"/>
        <v>318.47649972255124</v>
      </c>
      <c r="AT61" s="115">
        <f t="shared" si="39"/>
        <v>4.6919999999999993</v>
      </c>
    </row>
    <row r="62" spans="1:46" x14ac:dyDescent="0.25">
      <c r="A62" s="53" t="s">
        <v>67</v>
      </c>
      <c r="B62" s="80" t="str">
        <f>$A$20</f>
        <v>Steel</v>
      </c>
      <c r="C62" s="81" t="str">
        <f>$A$21</f>
        <v>Glass</v>
      </c>
      <c r="D62" s="81" t="str">
        <f>$A$22</f>
        <v>Wood</v>
      </c>
      <c r="E62" s="80" t="str">
        <f>B62</f>
        <v>Steel</v>
      </c>
      <c r="F62" s="81" t="str">
        <f>C62</f>
        <v>Glass</v>
      </c>
      <c r="G62" s="81" t="str">
        <f>$A$22</f>
        <v>Wood</v>
      </c>
      <c r="H62" s="80" t="str">
        <f>B62</f>
        <v>Steel</v>
      </c>
      <c r="I62" s="81" t="str">
        <f>C62</f>
        <v>Glass</v>
      </c>
      <c r="J62" s="81" t="str">
        <f>$A$22</f>
        <v>Wood</v>
      </c>
      <c r="K62" s="80" t="str">
        <f>H62</f>
        <v>Steel</v>
      </c>
      <c r="L62" s="81" t="str">
        <f>I62</f>
        <v>Glass</v>
      </c>
      <c r="M62" s="81" t="str">
        <f>$A$22</f>
        <v>Wood</v>
      </c>
      <c r="O62" s="87">
        <v>105</v>
      </c>
      <c r="P62" s="110">
        <v>2.3639999999999999</v>
      </c>
      <c r="Q62" s="111">
        <v>13.41</v>
      </c>
      <c r="R62" s="110">
        <v>0.72389999999999999</v>
      </c>
      <c r="S62" s="112">
        <f t="shared" si="27"/>
        <v>0.29320946724193964</v>
      </c>
      <c r="T62" s="112">
        <f t="shared" si="28"/>
        <v>0.97402076691795514</v>
      </c>
      <c r="U62" s="110">
        <v>3.8080000000000003E-2</v>
      </c>
      <c r="V62" s="110">
        <v>7.8619999999999995E-2</v>
      </c>
      <c r="W62" s="110">
        <v>0.43940000000000001</v>
      </c>
      <c r="X62" s="112">
        <f t="shared" si="29"/>
        <v>18.202394447477552</v>
      </c>
      <c r="Y62" s="112">
        <f t="shared" si="30"/>
        <v>60.467045509297414</v>
      </c>
      <c r="Z62" s="110">
        <v>1.397E-2</v>
      </c>
      <c r="AA62" s="110">
        <v>3.8150000000000003E-2</v>
      </c>
      <c r="AB62" s="110">
        <v>0.90800000000000003</v>
      </c>
      <c r="AC62" s="112">
        <f t="shared" si="31"/>
        <v>49.616834685751272</v>
      </c>
      <c r="AD62" s="112">
        <f t="shared" si="32"/>
        <v>164.82355712197892</v>
      </c>
      <c r="AE62" s="113">
        <v>0.3135</v>
      </c>
      <c r="AF62" s="110">
        <v>2.2269999999999999</v>
      </c>
      <c r="AG62" s="110">
        <v>0.77880000000000005</v>
      </c>
      <c r="AH62" s="112">
        <f t="shared" si="33"/>
        <v>2.2109957912597937</v>
      </c>
      <c r="AI62" s="112">
        <f t="shared" si="34"/>
        <v>7.3447690366636236</v>
      </c>
      <c r="AJ62" s="110">
        <v>4.1430000000000002E-2</v>
      </c>
      <c r="AK62" s="110">
        <v>8.7510000000000004E-2</v>
      </c>
      <c r="AL62" s="110">
        <v>1.014</v>
      </c>
      <c r="AM62" s="112">
        <f t="shared" si="35"/>
        <v>16.730561925173674</v>
      </c>
      <c r="AN62" s="112">
        <f t="shared" si="36"/>
        <v>55.577723702487233</v>
      </c>
      <c r="AO62" s="114">
        <v>7.0499999999999998E-3</v>
      </c>
      <c r="AP62" s="112">
        <v>6.1990000000000005E-4</v>
      </c>
      <c r="AQ62" s="110">
        <v>1.365</v>
      </c>
      <c r="AR62" s="112">
        <f t="shared" si="37"/>
        <v>98.318749015595074</v>
      </c>
      <c r="AS62" s="112">
        <f t="shared" si="38"/>
        <v>326.60781460908453</v>
      </c>
      <c r="AT62" s="115">
        <f t="shared" si="39"/>
        <v>5.1721629999999994</v>
      </c>
    </row>
    <row r="63" spans="1:46" x14ac:dyDescent="0.25">
      <c r="A63" s="71" t="str">
        <f t="shared" ref="A63:A76" si="40">IF($A45="","",$A45)</f>
        <v/>
      </c>
      <c r="B63" s="72" t="str">
        <f t="shared" ref="B63:B76" si="41">IF(OR($B26=0,$F26=""),"",(1/($B$20*$D$20))*LN((((L26/$E$20)^-$D$20)+($C$20/$B$20))/(1+($C$20/$B$20))))</f>
        <v/>
      </c>
      <c r="C63" s="73" t="str">
        <f t="shared" ref="C63:C76" si="42">IF(OR($B26=0,$F26=""),"",(1/($B$21*$D$21))*LN(((($L26/$E$21)^-$D$21)+($C$21/$B$21))/(1+($C$21/$B$21))))</f>
        <v/>
      </c>
      <c r="D63" s="60" t="str">
        <f t="shared" ref="D63:D76" si="43">IF(OR($B26=0,$F26=""),"",(1/($B$22*$D$22))*LN(((($L26/$E$22)^-$D$22)+($C$22/$B$22))/(1+($C$22/$B$22))))</f>
        <v/>
      </c>
      <c r="E63" s="72" t="str">
        <f t="shared" ref="E63:E76" si="44">IF($C26="","",IF((1/($B$20*$D$20))*LN(((($M26/$E$20)^-$D$20)+($C$20/$B$20))/(1+($C$20/$B$20)))&lt;0,0,(1/($B$20*$D$20))*LN(((($M26/$E$20)^-$D$20)+($C$20/$B$20))/(1+($C$20/$B$20)))))</f>
        <v/>
      </c>
      <c r="F63" s="73" t="str">
        <f t="shared" ref="F63:F76" si="45">IF($C26="","",IF((1/($B$21*$D$21))*LN(((($M26/$E$21)^-$D$21)+($C$21/$B$21))/(1+($C$21/$B$21)))&lt;0,0,(1/($B$21*$D$21))*LN(((($M26/$E$21)^-$D$21)+($C$21/$B$21))/(1+($C$21/$B$21)))))</f>
        <v/>
      </c>
      <c r="G63" s="74" t="str">
        <f t="shared" ref="G63:G76" si="46">IF($C26="","",IF((1/($B$22*$D$22))*LN(((($M26/$E$22)^-$D$22)+($C$22/$B$22))/(1+($C$22/$B$22)))&lt;0,0,(1/($B$22*$D$22))*LN(((($M26/$E$22)^-$D$22)+($C$22/$B$22))/(1+($C$22/$B$22)))))</f>
        <v/>
      </c>
      <c r="H63" s="75" t="str">
        <f t="shared" ref="H63:H76" si="47">IF($N26="","",IF(-LN($N26)*$F$20/LN(2)&lt;0,0,-LN($N26)*$F$20/LN(2)))</f>
        <v/>
      </c>
      <c r="I63" s="75" t="str">
        <f t="shared" ref="I63:I76" si="48">IF($N26="","",IF(-LN($N26)*$F$21/LN(2)&lt;0,0,-LN($N26)*$F$21/LN(2)))</f>
        <v/>
      </c>
      <c r="J63" s="75" t="str">
        <f t="shared" ref="J63:J76" si="49">IF($N26="","",IF(-LN($N26)*$F$22/LN(2)&lt;0,0,-LN($N26)*$F$22/LN(2)))</f>
        <v/>
      </c>
      <c r="K63" s="72" t="str">
        <f t="shared" ref="K63:K76" si="50">IF($E63="","",IF(AND($E63=0,$H63=0),0,IF(OR($E63=0,$H63=0),MAX($E63,$H63),IF(ABS($E63-$H63)&gt;$G$20,MAX($E63,$H63),(MAX($E63,$H63)+$F$20)))))</f>
        <v/>
      </c>
      <c r="L63" s="73" t="str">
        <f t="shared" ref="L63:L76" si="51">IF($F63="","",IF(AND($F63=0,$I63=0),0,IF(OR($F63=0,$I63=0),MAX($F63,$I63),IF(ABS($F63-$I63)&gt;$G$21,MAX($F63,$I63),(MAX($F63,$I63)+$F$21)))))</f>
        <v/>
      </c>
      <c r="M63" s="73" t="str">
        <f t="shared" ref="M63:M76" si="52">IF($G63="","",IF(AND($G63=0,$J63=0),0,IF(OR($G63=0,$J63=0),MAX($G63,$J63),IF(ABS($G63-$J63)&gt;$G$22,MAX($G63,$J63),(MAX($G63,$J63)+$F$22)))))</f>
        <v/>
      </c>
      <c r="O63" s="87">
        <v>110</v>
      </c>
      <c r="P63" s="110">
        <v>2.2959999999999998</v>
      </c>
      <c r="Q63" s="111">
        <v>11.7</v>
      </c>
      <c r="R63" s="110">
        <v>0.68269999999999997</v>
      </c>
      <c r="S63" s="112">
        <f t="shared" si="27"/>
        <v>0.301893371324018</v>
      </c>
      <c r="T63" s="112">
        <f t="shared" si="28"/>
        <v>1.0028680718615182</v>
      </c>
      <c r="U63" s="110">
        <v>3.7150000000000002E-2</v>
      </c>
      <c r="V63" s="110">
        <v>7.4359999999999996E-2</v>
      </c>
      <c r="W63" s="110">
        <v>0.47520000000000001</v>
      </c>
      <c r="X63" s="112">
        <f t="shared" si="29"/>
        <v>18.658066771465553</v>
      </c>
      <c r="Y63" s="112">
        <f t="shared" si="30"/>
        <v>61.980756204415769</v>
      </c>
      <c r="Z63" s="110">
        <v>1.336E-2</v>
      </c>
      <c r="AA63" s="110">
        <v>3.5209999999999998E-2</v>
      </c>
      <c r="AB63" s="110">
        <v>0.9244</v>
      </c>
      <c r="AC63" s="112">
        <f t="shared" si="31"/>
        <v>51.882273994007882</v>
      </c>
      <c r="AD63" s="112">
        <f t="shared" si="32"/>
        <v>172.34918360733877</v>
      </c>
      <c r="AE63" s="113">
        <v>0.28489999999999999</v>
      </c>
      <c r="AF63" s="110">
        <v>2.0609999999999999</v>
      </c>
      <c r="AG63" s="110">
        <v>0.78969999999999996</v>
      </c>
      <c r="AH63" s="112">
        <f t="shared" si="33"/>
        <v>2.4329490367144446</v>
      </c>
      <c r="AI63" s="112">
        <f t="shared" si="34"/>
        <v>8.08208175849086</v>
      </c>
      <c r="AJ63" s="110">
        <v>4.0079999999999998E-2</v>
      </c>
      <c r="AK63" s="110">
        <v>8.047E-2</v>
      </c>
      <c r="AL63" s="110">
        <v>1.03</v>
      </c>
      <c r="AM63" s="112">
        <f t="shared" si="35"/>
        <v>17.294091331335963</v>
      </c>
      <c r="AN63" s="112">
        <f t="shared" si="36"/>
        <v>57.449727869112927</v>
      </c>
      <c r="AO63" s="114">
        <v>6.9210000000000001E-3</v>
      </c>
      <c r="AP63" s="112">
        <v>1.9760000000000001E-4</v>
      </c>
      <c r="AQ63" s="110">
        <v>3.3090000000000002</v>
      </c>
      <c r="AR63" s="112">
        <f t="shared" si="37"/>
        <v>100.15130480565601</v>
      </c>
      <c r="AS63" s="112">
        <f t="shared" si="38"/>
        <v>332.69543317353646</v>
      </c>
      <c r="AT63" s="115">
        <f t="shared" si="39"/>
        <v>5.6642840000000003</v>
      </c>
    </row>
    <row r="64" spans="1:46" x14ac:dyDescent="0.25">
      <c r="A64" s="71" t="str">
        <f t="shared" si="40"/>
        <v/>
      </c>
      <c r="B64" s="72" t="str">
        <f t="shared" si="41"/>
        <v/>
      </c>
      <c r="C64" s="73" t="str">
        <f t="shared" si="42"/>
        <v/>
      </c>
      <c r="D64" s="60" t="str">
        <f t="shared" si="43"/>
        <v/>
      </c>
      <c r="E64" s="72" t="str">
        <f t="shared" si="44"/>
        <v/>
      </c>
      <c r="F64" s="73" t="str">
        <f t="shared" si="45"/>
        <v/>
      </c>
      <c r="G64" s="74" t="str">
        <f t="shared" si="46"/>
        <v/>
      </c>
      <c r="H64" s="75" t="str">
        <f t="shared" si="47"/>
        <v/>
      </c>
      <c r="I64" s="75" t="str">
        <f t="shared" si="48"/>
        <v/>
      </c>
      <c r="J64" s="75" t="str">
        <f t="shared" si="49"/>
        <v/>
      </c>
      <c r="K64" s="72" t="str">
        <f t="shared" si="50"/>
        <v/>
      </c>
      <c r="L64" s="73" t="str">
        <f t="shared" si="51"/>
        <v/>
      </c>
      <c r="M64" s="73" t="str">
        <f t="shared" si="52"/>
        <v/>
      </c>
      <c r="O64" s="87">
        <v>115</v>
      </c>
      <c r="P64" s="110">
        <v>2.2650000000000001</v>
      </c>
      <c r="Q64" s="111">
        <v>10.210000000000001</v>
      </c>
      <c r="R64" s="110">
        <v>0.63629999999999998</v>
      </c>
      <c r="S64" s="112">
        <f t="shared" si="27"/>
        <v>0.30602524528032904</v>
      </c>
      <c r="T64" s="112">
        <f t="shared" si="28"/>
        <v>1.0165938600415214</v>
      </c>
      <c r="U64" s="110">
        <v>3.6360000000000003E-2</v>
      </c>
      <c r="V64" s="110">
        <v>7.2010000000000005E-2</v>
      </c>
      <c r="W64" s="110">
        <v>0.53190000000000004</v>
      </c>
      <c r="X64" s="112">
        <f t="shared" si="29"/>
        <v>19.063453810779571</v>
      </c>
      <c r="Y64" s="112">
        <f t="shared" si="30"/>
        <v>63.327422799616215</v>
      </c>
      <c r="Z64" s="110">
        <v>1.2829999999999999E-2</v>
      </c>
      <c r="AA64" s="110">
        <v>6.2710000000000002E-2</v>
      </c>
      <c r="AB64" s="110">
        <v>0.94230000000000003</v>
      </c>
      <c r="AC64" s="112">
        <f t="shared" si="31"/>
        <v>54.025501212778281</v>
      </c>
      <c r="AD64" s="112">
        <f t="shared" si="32"/>
        <v>179.46883031909945</v>
      </c>
      <c r="AE64" s="113">
        <v>0.25790000000000002</v>
      </c>
      <c r="AF64" s="110">
        <v>1.9219999999999999</v>
      </c>
      <c r="AG64" s="110">
        <v>0.80079999999999996</v>
      </c>
      <c r="AH64" s="112">
        <f t="shared" si="33"/>
        <v>2.6876587070955611</v>
      </c>
      <c r="AI64" s="112">
        <f t="shared" si="34"/>
        <v>8.9282089685693897</v>
      </c>
      <c r="AJ64" s="110">
        <v>3.8780000000000002E-2</v>
      </c>
      <c r="AK64" s="110">
        <v>7.3940000000000006E-2</v>
      </c>
      <c r="AL64" s="110">
        <v>1.0329999999999999</v>
      </c>
      <c r="AM64" s="112">
        <f t="shared" si="35"/>
        <v>17.873831370808283</v>
      </c>
      <c r="AN64" s="112">
        <f t="shared" si="36"/>
        <v>59.375582593967138</v>
      </c>
      <c r="AO64" s="114">
        <v>6.8640000000000003E-3</v>
      </c>
      <c r="AP64" s="112">
        <v>-3.9080000000000001E-4</v>
      </c>
      <c r="AQ64" s="110">
        <v>0.64690000000000003</v>
      </c>
      <c r="AR64" s="112">
        <f t="shared" si="37"/>
        <v>100.98298085080788</v>
      </c>
      <c r="AS64" s="112">
        <f t="shared" si="38"/>
        <v>335.45820119377123</v>
      </c>
      <c r="AT64" s="115">
        <f t="shared" si="39"/>
        <v>6.1660109999999984</v>
      </c>
    </row>
    <row r="65" spans="1:46" x14ac:dyDescent="0.25">
      <c r="A65" s="71" t="str">
        <f t="shared" si="40"/>
        <v/>
      </c>
      <c r="B65" s="72" t="str">
        <f t="shared" si="41"/>
        <v/>
      </c>
      <c r="C65" s="73" t="str">
        <f t="shared" si="42"/>
        <v/>
      </c>
      <c r="D65" s="60" t="str">
        <f t="shared" si="43"/>
        <v/>
      </c>
      <c r="E65" s="72" t="str">
        <f t="shared" si="44"/>
        <v/>
      </c>
      <c r="F65" s="73" t="str">
        <f t="shared" si="45"/>
        <v/>
      </c>
      <c r="G65" s="74" t="str">
        <f t="shared" si="46"/>
        <v/>
      </c>
      <c r="H65" s="75" t="str">
        <f t="shared" si="47"/>
        <v/>
      </c>
      <c r="I65" s="75" t="str">
        <f t="shared" si="48"/>
        <v/>
      </c>
      <c r="J65" s="75" t="str">
        <f t="shared" si="49"/>
        <v/>
      </c>
      <c r="K65" s="72" t="str">
        <f t="shared" si="50"/>
        <v/>
      </c>
      <c r="L65" s="73" t="str">
        <f t="shared" si="51"/>
        <v/>
      </c>
      <c r="M65" s="73" t="str">
        <f t="shared" si="52"/>
        <v/>
      </c>
      <c r="O65" s="87">
        <v>120</v>
      </c>
      <c r="P65" s="110">
        <v>2.246</v>
      </c>
      <c r="Q65" s="111">
        <v>8.9499999999999993</v>
      </c>
      <c r="R65" s="110">
        <v>0.58730000000000004</v>
      </c>
      <c r="S65" s="112">
        <f t="shared" si="27"/>
        <v>0.30861406080140041</v>
      </c>
      <c r="T65" s="112">
        <f t="shared" si="28"/>
        <v>1.0251937190534488</v>
      </c>
      <c r="U65" s="110">
        <v>3.5659999999999997E-2</v>
      </c>
      <c r="V65" s="110">
        <v>7.109E-2</v>
      </c>
      <c r="W65" s="110">
        <v>0.60729999999999995</v>
      </c>
      <c r="X65" s="112">
        <f t="shared" si="29"/>
        <v>19.437666308467339</v>
      </c>
      <c r="Y65" s="112">
        <f t="shared" si="30"/>
        <v>64.570529809143181</v>
      </c>
      <c r="Z65" s="110">
        <v>1.235E-2</v>
      </c>
      <c r="AA65" s="110">
        <v>3.0470000000000001E-2</v>
      </c>
      <c r="AB65" s="110">
        <v>0.95660000000000001</v>
      </c>
      <c r="AC65" s="112">
        <f t="shared" si="31"/>
        <v>56.125277778133224</v>
      </c>
      <c r="AD65" s="112">
        <f t="shared" si="32"/>
        <v>186.44413708453814</v>
      </c>
      <c r="AE65" s="113">
        <v>0.2336</v>
      </c>
      <c r="AF65" s="110">
        <v>1.7969999999999999</v>
      </c>
      <c r="AG65" s="110">
        <v>0.81159999999999999</v>
      </c>
      <c r="AH65" s="112">
        <f t="shared" si="33"/>
        <v>2.9672396428079848</v>
      </c>
      <c r="AI65" s="112">
        <f t="shared" si="34"/>
        <v>9.8569567337073867</v>
      </c>
      <c r="AJ65" s="110">
        <v>3.7580000000000002E-2</v>
      </c>
      <c r="AK65" s="110">
        <v>6.8080000000000002E-2</v>
      </c>
      <c r="AL65" s="110">
        <v>1.0309999999999999</v>
      </c>
      <c r="AM65" s="112">
        <f t="shared" si="35"/>
        <v>18.44457638530988</v>
      </c>
      <c r="AN65" s="112">
        <f t="shared" si="36"/>
        <v>61.271556492656885</v>
      </c>
      <c r="AO65" s="114">
        <v>6.7260000000000002E-3</v>
      </c>
      <c r="AP65" s="112">
        <v>-8.3080000000000003E-4</v>
      </c>
      <c r="AQ65" s="110">
        <v>1.006</v>
      </c>
      <c r="AR65" s="112">
        <f t="shared" si="37"/>
        <v>103.05488857566834</v>
      </c>
      <c r="AS65" s="112">
        <f t="shared" si="38"/>
        <v>342.34092967499936</v>
      </c>
      <c r="AT65" s="115">
        <f t="shared" si="39"/>
        <v>6.6749920000000014</v>
      </c>
    </row>
    <row r="66" spans="1:46" x14ac:dyDescent="0.25">
      <c r="A66" s="71" t="str">
        <f t="shared" si="40"/>
        <v/>
      </c>
      <c r="B66" s="72" t="str">
        <f t="shared" si="41"/>
        <v/>
      </c>
      <c r="C66" s="73" t="str">
        <f t="shared" si="42"/>
        <v/>
      </c>
      <c r="D66" s="60" t="str">
        <f t="shared" si="43"/>
        <v/>
      </c>
      <c r="E66" s="72" t="str">
        <f t="shared" si="44"/>
        <v/>
      </c>
      <c r="F66" s="73" t="str">
        <f t="shared" si="45"/>
        <v/>
      </c>
      <c r="G66" s="74" t="str">
        <f t="shared" si="46"/>
        <v/>
      </c>
      <c r="H66" s="75" t="str">
        <f t="shared" si="47"/>
        <v/>
      </c>
      <c r="I66" s="75" t="str">
        <f t="shared" si="48"/>
        <v/>
      </c>
      <c r="J66" s="75" t="str">
        <f t="shared" si="49"/>
        <v/>
      </c>
      <c r="K66" s="72" t="str">
        <f t="shared" si="50"/>
        <v/>
      </c>
      <c r="L66" s="73" t="str">
        <f t="shared" si="51"/>
        <v/>
      </c>
      <c r="M66" s="73" t="str">
        <f t="shared" si="52"/>
        <v/>
      </c>
      <c r="O66" s="87">
        <v>125</v>
      </c>
      <c r="P66" s="110">
        <v>2.2189999999999999</v>
      </c>
      <c r="Q66" s="111">
        <v>7.923</v>
      </c>
      <c r="R66" s="110">
        <v>0.53859999999999997</v>
      </c>
      <c r="S66" s="112">
        <f t="shared" si="27"/>
        <v>0.31236916654346342</v>
      </c>
      <c r="T66" s="112">
        <f t="shared" si="28"/>
        <v>1.0376679103172808</v>
      </c>
      <c r="U66" s="110">
        <v>3.5020000000000003E-2</v>
      </c>
      <c r="V66" s="110">
        <v>7.1129999999999999E-2</v>
      </c>
      <c r="W66" s="110">
        <v>0.69740000000000002</v>
      </c>
      <c r="X66" s="112">
        <f t="shared" si="29"/>
        <v>19.792894933179475</v>
      </c>
      <c r="Y66" s="112">
        <f t="shared" si="30"/>
        <v>65.750573757682631</v>
      </c>
      <c r="Z66" s="110">
        <v>1.192E-2</v>
      </c>
      <c r="AA66" s="110">
        <v>2.8629999999999999E-2</v>
      </c>
      <c r="AB66" s="110">
        <v>0.96840000000000004</v>
      </c>
      <c r="AC66" s="112">
        <f t="shared" si="31"/>
        <v>58.149931255028967</v>
      </c>
      <c r="AD66" s="112">
        <f t="shared" si="32"/>
        <v>193.16989035184949</v>
      </c>
      <c r="AE66" s="113">
        <v>0.21299999999999999</v>
      </c>
      <c r="AF66" s="110">
        <v>1.677</v>
      </c>
      <c r="AG66" s="110">
        <v>0.82169999999999999</v>
      </c>
      <c r="AH66" s="112">
        <f t="shared" si="33"/>
        <v>3.2542121153049077</v>
      </c>
      <c r="AI66" s="112">
        <f t="shared" si="34"/>
        <v>10.810258652554207</v>
      </c>
      <c r="AJ66" s="110">
        <v>3.6519999999999997E-2</v>
      </c>
      <c r="AK66" s="110">
        <v>6.3039999999999999E-2</v>
      </c>
      <c r="AL66" s="110">
        <v>1.0309999999999999</v>
      </c>
      <c r="AM66" s="112">
        <f t="shared" si="35"/>
        <v>18.979933750272327</v>
      </c>
      <c r="AN66" s="112">
        <f t="shared" si="36"/>
        <v>63.049975164130508</v>
      </c>
      <c r="AO66" s="114">
        <v>6.5839999999999996E-3</v>
      </c>
      <c r="AP66" s="112">
        <v>-1.214E-3</v>
      </c>
      <c r="AQ66" s="110">
        <v>1.1919999999999999</v>
      </c>
      <c r="AR66" s="112">
        <f t="shared" si="37"/>
        <v>105.27751831104881</v>
      </c>
      <c r="AS66" s="112">
        <f t="shared" si="38"/>
        <v>349.7243458374918</v>
      </c>
      <c r="AT66" s="115">
        <f t="shared" si="39"/>
        <v>7.1888749999999995</v>
      </c>
    </row>
    <row r="67" spans="1:46" x14ac:dyDescent="0.25">
      <c r="A67" s="71" t="str">
        <f t="shared" si="40"/>
        <v/>
      </c>
      <c r="B67" s="72" t="str">
        <f t="shared" si="41"/>
        <v/>
      </c>
      <c r="C67" s="73" t="str">
        <f t="shared" si="42"/>
        <v/>
      </c>
      <c r="D67" s="60" t="str">
        <f t="shared" si="43"/>
        <v/>
      </c>
      <c r="E67" s="72" t="str">
        <f t="shared" si="44"/>
        <v/>
      </c>
      <c r="F67" s="73" t="str">
        <f t="shared" si="45"/>
        <v/>
      </c>
      <c r="G67" s="74" t="str">
        <f t="shared" si="46"/>
        <v/>
      </c>
      <c r="H67" s="75" t="str">
        <f t="shared" si="47"/>
        <v/>
      </c>
      <c r="I67" s="75" t="str">
        <f t="shared" si="48"/>
        <v/>
      </c>
      <c r="J67" s="75" t="str">
        <f t="shared" si="49"/>
        <v/>
      </c>
      <c r="K67" s="72" t="str">
        <f t="shared" si="50"/>
        <v/>
      </c>
      <c r="L67" s="73" t="str">
        <f t="shared" si="51"/>
        <v/>
      </c>
      <c r="M67" s="73" t="str">
        <f t="shared" si="52"/>
        <v/>
      </c>
      <c r="O67" s="87">
        <v>130</v>
      </c>
      <c r="P67" s="110">
        <v>2.17</v>
      </c>
      <c r="Q67" s="111">
        <v>7.0940000000000003</v>
      </c>
      <c r="R67" s="110">
        <v>0.4909</v>
      </c>
      <c r="S67" s="112">
        <f t="shared" si="27"/>
        <v>0.31942266385250934</v>
      </c>
      <c r="T67" s="112">
        <f t="shared" si="28"/>
        <v>1.0610991211954128</v>
      </c>
      <c r="U67" s="110">
        <v>3.4450000000000001E-2</v>
      </c>
      <c r="V67" s="110">
        <v>7.1599999999999997E-2</v>
      </c>
      <c r="W67" s="110">
        <v>0.79690000000000005</v>
      </c>
      <c r="X67" s="112">
        <f t="shared" si="29"/>
        <v>20.120382599708137</v>
      </c>
      <c r="Y67" s="112">
        <f t="shared" si="30"/>
        <v>66.838464237853287</v>
      </c>
      <c r="Z67" s="110">
        <v>1.155E-2</v>
      </c>
      <c r="AA67" s="110">
        <v>2.7019999999999999E-2</v>
      </c>
      <c r="AB67" s="110">
        <v>0.98019999999999996</v>
      </c>
      <c r="AC67" s="112">
        <f t="shared" si="31"/>
        <v>60.012742905622972</v>
      </c>
      <c r="AD67" s="112">
        <f t="shared" si="32"/>
        <v>199.35801670944122</v>
      </c>
      <c r="AE67" s="113">
        <v>0.19689999999999999</v>
      </c>
      <c r="AF67" s="110">
        <v>1.5569999999999999</v>
      </c>
      <c r="AG67" s="110">
        <v>0.83089999999999997</v>
      </c>
      <c r="AH67" s="112">
        <f t="shared" si="33"/>
        <v>3.5203005615030234</v>
      </c>
      <c r="AI67" s="112">
        <f t="shared" si="34"/>
        <v>11.694185337704651</v>
      </c>
      <c r="AJ67" s="110">
        <v>3.5610000000000003E-2</v>
      </c>
      <c r="AK67" s="110">
        <v>5.8740000000000001E-2</v>
      </c>
      <c r="AL67" s="110">
        <v>1.0369999999999999</v>
      </c>
      <c r="AM67" s="112">
        <f t="shared" si="35"/>
        <v>19.464958735185206</v>
      </c>
      <c r="AN67" s="112">
        <f t="shared" si="36"/>
        <v>64.661193288234927</v>
      </c>
      <c r="AO67" s="114">
        <v>6.4720000000000003E-3</v>
      </c>
      <c r="AP67" s="112">
        <v>-1.539E-3</v>
      </c>
      <c r="AQ67" s="110">
        <v>1.2849999999999999</v>
      </c>
      <c r="AR67" s="112">
        <f t="shared" si="37"/>
        <v>107.09937894931169</v>
      </c>
      <c r="AS67" s="112">
        <f t="shared" si="38"/>
        <v>355.77643587670667</v>
      </c>
      <c r="AT67" s="115">
        <f t="shared" si="39"/>
        <v>7.7053080000000005</v>
      </c>
    </row>
    <row r="68" spans="1:46" x14ac:dyDescent="0.25">
      <c r="A68" s="71" t="str">
        <f t="shared" si="40"/>
        <v/>
      </c>
      <c r="B68" s="72" t="str">
        <f t="shared" si="41"/>
        <v/>
      </c>
      <c r="C68" s="73" t="str">
        <f t="shared" si="42"/>
        <v/>
      </c>
      <c r="D68" s="60" t="str">
        <f t="shared" si="43"/>
        <v/>
      </c>
      <c r="E68" s="72" t="str">
        <f t="shared" si="44"/>
        <v/>
      </c>
      <c r="F68" s="73" t="str">
        <f t="shared" si="45"/>
        <v/>
      </c>
      <c r="G68" s="74" t="str">
        <f t="shared" si="46"/>
        <v/>
      </c>
      <c r="H68" s="75" t="str">
        <f t="shared" si="47"/>
        <v/>
      </c>
      <c r="I68" s="75" t="str">
        <f t="shared" si="48"/>
        <v/>
      </c>
      <c r="J68" s="75" t="str">
        <f t="shared" si="49"/>
        <v/>
      </c>
      <c r="K68" s="72" t="str">
        <f t="shared" si="50"/>
        <v/>
      </c>
      <c r="L68" s="73" t="str">
        <f t="shared" si="51"/>
        <v/>
      </c>
      <c r="M68" s="73" t="str">
        <f t="shared" si="52"/>
        <v/>
      </c>
      <c r="O68" s="87">
        <v>135</v>
      </c>
      <c r="P68" s="110">
        <v>2.1019999999999999</v>
      </c>
      <c r="Q68" s="111">
        <v>6.45</v>
      </c>
      <c r="R68" s="110">
        <v>0.44690000000000002</v>
      </c>
      <c r="S68" s="112">
        <f t="shared" si="27"/>
        <v>0.32975603261652964</v>
      </c>
      <c r="T68" s="112">
        <f t="shared" si="28"/>
        <v>1.0954258292074432</v>
      </c>
      <c r="U68" s="110">
        <v>3.3939999999999998E-2</v>
      </c>
      <c r="V68" s="110">
        <v>7.263E-2</v>
      </c>
      <c r="W68" s="110">
        <v>0.90990000000000004</v>
      </c>
      <c r="X68" s="112">
        <f t="shared" si="29"/>
        <v>20.4227218786077</v>
      </c>
      <c r="Y68" s="112">
        <f t="shared" si="30"/>
        <v>67.842813582617737</v>
      </c>
      <c r="Z68" s="110">
        <v>1.1220000000000001E-2</v>
      </c>
      <c r="AA68" s="110">
        <v>2.5610000000000001E-2</v>
      </c>
      <c r="AB68" s="110">
        <v>0.99009999999999998</v>
      </c>
      <c r="AC68" s="112">
        <f t="shared" si="31"/>
        <v>61.777823579317754</v>
      </c>
      <c r="AD68" s="112">
        <f t="shared" si="32"/>
        <v>205.22148778913061</v>
      </c>
      <c r="AE68" s="113">
        <v>0.18379999999999999</v>
      </c>
      <c r="AF68" s="110">
        <v>1.44</v>
      </c>
      <c r="AG68" s="110">
        <v>0.83909999999999996</v>
      </c>
      <c r="AH68" s="112">
        <f t="shared" si="33"/>
        <v>3.7712033762782662</v>
      </c>
      <c r="AI68" s="112">
        <f t="shared" si="34"/>
        <v>12.52766644719285</v>
      </c>
      <c r="AJ68" s="110">
        <v>3.4810000000000001E-2</v>
      </c>
      <c r="AK68" s="110">
        <v>5.5190000000000003E-2</v>
      </c>
      <c r="AL68" s="110">
        <v>1.0489999999999999</v>
      </c>
      <c r="AM68" s="112">
        <f t="shared" si="35"/>
        <v>19.912300504451171</v>
      </c>
      <c r="AN68" s="112">
        <f t="shared" si="36"/>
        <v>66.147230479576152</v>
      </c>
      <c r="AO68" s="114">
        <v>6.306E-3</v>
      </c>
      <c r="AP68" s="112">
        <v>-1.7309999999999999E-3</v>
      </c>
      <c r="AQ68" s="110">
        <v>1.4650000000000001</v>
      </c>
      <c r="AR68" s="112">
        <f t="shared" si="37"/>
        <v>109.91867753884321</v>
      </c>
      <c r="AS68" s="112">
        <f t="shared" si="38"/>
        <v>365.14194306914777</v>
      </c>
      <c r="AT68" s="115">
        <f t="shared" si="39"/>
        <v>8.221938999999999</v>
      </c>
    </row>
    <row r="69" spans="1:46" x14ac:dyDescent="0.25">
      <c r="A69" s="71" t="str">
        <f t="shared" si="40"/>
        <v/>
      </c>
      <c r="B69" s="72" t="str">
        <f t="shared" si="41"/>
        <v/>
      </c>
      <c r="C69" s="73" t="str">
        <f t="shared" si="42"/>
        <v/>
      </c>
      <c r="D69" s="60" t="str">
        <f t="shared" si="43"/>
        <v/>
      </c>
      <c r="E69" s="72" t="str">
        <f t="shared" si="44"/>
        <v/>
      </c>
      <c r="F69" s="73" t="str">
        <f t="shared" si="45"/>
        <v/>
      </c>
      <c r="G69" s="74" t="str">
        <f t="shared" si="46"/>
        <v/>
      </c>
      <c r="H69" s="75" t="str">
        <f t="shared" si="47"/>
        <v/>
      </c>
      <c r="I69" s="75" t="str">
        <f t="shared" si="48"/>
        <v/>
      </c>
      <c r="J69" s="75" t="str">
        <f t="shared" si="49"/>
        <v/>
      </c>
      <c r="K69" s="72" t="str">
        <f t="shared" si="50"/>
        <v/>
      </c>
      <c r="L69" s="73" t="str">
        <f t="shared" si="51"/>
        <v/>
      </c>
      <c r="M69" s="73" t="str">
        <f t="shared" si="52"/>
        <v/>
      </c>
      <c r="O69" s="87">
        <v>140</v>
      </c>
      <c r="P69" s="110">
        <v>2.0089999999999999</v>
      </c>
      <c r="Q69" s="111">
        <v>5.9160000000000004</v>
      </c>
      <c r="R69" s="110">
        <v>0.40179999999999999</v>
      </c>
      <c r="S69" s="112">
        <f t="shared" si="27"/>
        <v>0.34502099579887774</v>
      </c>
      <c r="T69" s="112">
        <f t="shared" si="28"/>
        <v>1.1461349392703066</v>
      </c>
      <c r="U69" s="110">
        <v>3.3450000000000001E-2</v>
      </c>
      <c r="V69" s="110">
        <v>7.4759999999999993E-2</v>
      </c>
      <c r="W69" s="110">
        <v>1.0469999999999999</v>
      </c>
      <c r="X69" s="112">
        <f t="shared" si="29"/>
        <v>20.721888805977436</v>
      </c>
      <c r="Y69" s="112">
        <f t="shared" si="30"/>
        <v>68.836624603708387</v>
      </c>
      <c r="Z69" s="110">
        <v>1.0880000000000001E-2</v>
      </c>
      <c r="AA69" s="110">
        <v>2.436E-2</v>
      </c>
      <c r="AB69" s="110">
        <v>0.99639999999999995</v>
      </c>
      <c r="AC69" s="112">
        <f t="shared" si="31"/>
        <v>63.708380566171435</v>
      </c>
      <c r="AD69" s="112">
        <f t="shared" si="32"/>
        <v>211.63465928254095</v>
      </c>
      <c r="AE69" s="113">
        <v>0.1724</v>
      </c>
      <c r="AF69" s="110">
        <v>1.3280000000000001</v>
      </c>
      <c r="AG69" s="110">
        <v>0.8458</v>
      </c>
      <c r="AH69" s="112">
        <f t="shared" si="33"/>
        <v>4.0205752932711443</v>
      </c>
      <c r="AI69" s="112">
        <f t="shared" si="34"/>
        <v>13.356062024327411</v>
      </c>
      <c r="AJ69" s="110">
        <v>3.4070000000000003E-2</v>
      </c>
      <c r="AK69" s="110">
        <v>5.1450000000000003E-2</v>
      </c>
      <c r="AL69" s="110">
        <v>1.0569999999999999</v>
      </c>
      <c r="AM69" s="112">
        <f t="shared" si="35"/>
        <v>20.344795437626804</v>
      </c>
      <c r="AN69" s="112">
        <f t="shared" si="36"/>
        <v>67.583947548988718</v>
      </c>
      <c r="AO69" s="114">
        <v>6.1910000000000003E-3</v>
      </c>
      <c r="AP69" s="112">
        <v>-1.8489999999999999E-3</v>
      </c>
      <c r="AQ69" s="110">
        <v>1.53</v>
      </c>
      <c r="AR69" s="112">
        <f t="shared" si="37"/>
        <v>111.96045559036428</v>
      </c>
      <c r="AS69" s="112">
        <f t="shared" si="38"/>
        <v>371.92458294201998</v>
      </c>
      <c r="AT69" s="115">
        <f t="shared" si="39"/>
        <v>8.7364160000000002</v>
      </c>
    </row>
    <row r="70" spans="1:46" x14ac:dyDescent="0.25">
      <c r="A70" s="71" t="str">
        <f t="shared" si="40"/>
        <v/>
      </c>
      <c r="B70" s="72" t="str">
        <f t="shared" si="41"/>
        <v/>
      </c>
      <c r="C70" s="73" t="str">
        <f t="shared" si="42"/>
        <v/>
      </c>
      <c r="D70" s="60" t="str">
        <f t="shared" si="43"/>
        <v/>
      </c>
      <c r="E70" s="72" t="str">
        <f t="shared" si="44"/>
        <v/>
      </c>
      <c r="F70" s="73" t="str">
        <f t="shared" si="45"/>
        <v/>
      </c>
      <c r="G70" s="74" t="str">
        <f t="shared" si="46"/>
        <v/>
      </c>
      <c r="H70" s="75" t="str">
        <f t="shared" si="47"/>
        <v/>
      </c>
      <c r="I70" s="75" t="str">
        <f t="shared" si="48"/>
        <v/>
      </c>
      <c r="J70" s="75" t="str">
        <f t="shared" si="49"/>
        <v/>
      </c>
      <c r="K70" s="72" t="str">
        <f t="shared" si="50"/>
        <v/>
      </c>
      <c r="L70" s="73" t="str">
        <f t="shared" si="51"/>
        <v/>
      </c>
      <c r="M70" s="73" t="str">
        <f t="shared" si="52"/>
        <v/>
      </c>
      <c r="O70" s="87">
        <v>145</v>
      </c>
      <c r="P70" s="110">
        <v>1.895</v>
      </c>
      <c r="Q70" s="111">
        <v>5.4980000000000002</v>
      </c>
      <c r="R70" s="110">
        <v>0.35799999999999998</v>
      </c>
      <c r="S70" s="112">
        <f t="shared" si="27"/>
        <v>0.36577687628493155</v>
      </c>
      <c r="T70" s="112">
        <f t="shared" si="28"/>
        <v>1.2150844817910531</v>
      </c>
      <c r="U70" s="110">
        <v>3.2960000000000003E-2</v>
      </c>
      <c r="V70" s="110">
        <v>7.8750000000000001E-2</v>
      </c>
      <c r="W70" s="110">
        <v>1.224</v>
      </c>
      <c r="X70" s="112">
        <f t="shared" si="29"/>
        <v>21.029950866503192</v>
      </c>
      <c r="Y70" s="112">
        <f t="shared" si="30"/>
        <v>69.859984617537791</v>
      </c>
      <c r="Z70" s="110">
        <v>1.056E-2</v>
      </c>
      <c r="AA70" s="110">
        <v>2.3130000000000001E-2</v>
      </c>
      <c r="AB70" s="110">
        <v>0.99870000000000003</v>
      </c>
      <c r="AC70" s="112">
        <f t="shared" si="31"/>
        <v>65.638937553025116</v>
      </c>
      <c r="AD70" s="112">
        <f t="shared" si="32"/>
        <v>218.0478307759513</v>
      </c>
      <c r="AE70" s="113">
        <v>0.16159999999999999</v>
      </c>
      <c r="AF70" s="110">
        <v>1.2250000000000001</v>
      </c>
      <c r="AG70" s="110">
        <v>0.85189999999999999</v>
      </c>
      <c r="AH70" s="112">
        <f t="shared" si="33"/>
        <v>4.2892771074254039</v>
      </c>
      <c r="AI70" s="112">
        <f t="shared" si="34"/>
        <v>14.24867012991365</v>
      </c>
      <c r="AJ70" s="110">
        <v>3.3360000000000001E-2</v>
      </c>
      <c r="AK70" s="110">
        <v>4.795E-2</v>
      </c>
      <c r="AL70" s="110">
        <v>1.0629999999999999</v>
      </c>
      <c r="AM70" s="112">
        <f t="shared" si="35"/>
        <v>20.777793182252555</v>
      </c>
      <c r="AN70" s="112">
        <f t="shared" si="36"/>
        <v>69.022334921883868</v>
      </c>
      <c r="AO70" s="114">
        <v>6.1149999999999998E-3</v>
      </c>
      <c r="AP70" s="112">
        <v>-1.869E-3</v>
      </c>
      <c r="AQ70" s="110">
        <v>1.498</v>
      </c>
      <c r="AR70" s="112">
        <f t="shared" si="37"/>
        <v>113.35195103187985</v>
      </c>
      <c r="AS70" s="112">
        <f t="shared" si="38"/>
        <v>376.54703074309822</v>
      </c>
      <c r="AT70" s="115">
        <f t="shared" si="39"/>
        <v>9.2463870000000004</v>
      </c>
    </row>
    <row r="71" spans="1:46" x14ac:dyDescent="0.25">
      <c r="A71" s="71" t="str">
        <f t="shared" si="40"/>
        <v/>
      </c>
      <c r="B71" s="72" t="str">
        <f t="shared" si="41"/>
        <v/>
      </c>
      <c r="C71" s="73" t="str">
        <f t="shared" si="42"/>
        <v/>
      </c>
      <c r="D71" s="60" t="str">
        <f t="shared" si="43"/>
        <v/>
      </c>
      <c r="E71" s="72" t="str">
        <f t="shared" si="44"/>
        <v/>
      </c>
      <c r="F71" s="73" t="str">
        <f t="shared" si="45"/>
        <v/>
      </c>
      <c r="G71" s="74" t="str">
        <f t="shared" si="46"/>
        <v/>
      </c>
      <c r="H71" s="75" t="str">
        <f t="shared" si="47"/>
        <v/>
      </c>
      <c r="I71" s="75" t="str">
        <f t="shared" si="48"/>
        <v/>
      </c>
      <c r="J71" s="75" t="str">
        <f t="shared" si="49"/>
        <v/>
      </c>
      <c r="K71" s="72" t="str">
        <f t="shared" si="50"/>
        <v/>
      </c>
      <c r="L71" s="73" t="str">
        <f t="shared" si="51"/>
        <v/>
      </c>
      <c r="M71" s="73" t="str">
        <f t="shared" si="52"/>
        <v/>
      </c>
      <c r="O71" s="87">
        <v>150</v>
      </c>
      <c r="P71" s="110">
        <v>1.7569999999999999</v>
      </c>
      <c r="Q71" s="111">
        <v>5.1769999999999996</v>
      </c>
      <c r="R71" s="110">
        <v>0.31559999999999999</v>
      </c>
      <c r="S71" s="112">
        <f t="shared" si="27"/>
        <v>0.39450607886166494</v>
      </c>
      <c r="T71" s="112">
        <f t="shared" si="28"/>
        <v>1.3105208269744142</v>
      </c>
      <c r="U71" s="110">
        <v>3.243E-2</v>
      </c>
      <c r="V71" s="110">
        <v>8.5989999999999997E-2</v>
      </c>
      <c r="W71" s="110">
        <v>1.4670000000000001</v>
      </c>
      <c r="X71" s="112">
        <f t="shared" si="29"/>
        <v>21.373641090346755</v>
      </c>
      <c r="Y71" s="112">
        <f t="shared" si="30"/>
        <v>71.001698828061848</v>
      </c>
      <c r="Z71" s="110">
        <v>1.03E-2</v>
      </c>
      <c r="AA71" s="110">
        <v>2.198E-2</v>
      </c>
      <c r="AB71" s="110">
        <v>1.0129999999999999</v>
      </c>
      <c r="AC71" s="112">
        <f t="shared" si="31"/>
        <v>67.295842772810218</v>
      </c>
      <c r="AD71" s="112">
        <f t="shared" si="32"/>
        <v>223.55195077612095</v>
      </c>
      <c r="AE71" s="113">
        <v>0.15010000000000001</v>
      </c>
      <c r="AF71" s="110">
        <v>1.1319999999999999</v>
      </c>
      <c r="AG71" s="110">
        <v>0.85660000000000003</v>
      </c>
      <c r="AH71" s="112">
        <f t="shared" si="33"/>
        <v>4.6179026019983027</v>
      </c>
      <c r="AI71" s="112">
        <f t="shared" si="34"/>
        <v>15.340340393031617</v>
      </c>
      <c r="AJ71" s="110">
        <v>3.2660000000000002E-2</v>
      </c>
      <c r="AK71" s="110">
        <v>4.4909999999999999E-2</v>
      </c>
      <c r="AL71" s="110">
        <v>1.073</v>
      </c>
      <c r="AM71" s="112">
        <f t="shared" si="35"/>
        <v>21.223122491118961</v>
      </c>
      <c r="AN71" s="112">
        <f t="shared" si="36"/>
        <v>70.501686864483943</v>
      </c>
      <c r="AO71" s="114">
        <v>6.0200000000000002E-3</v>
      </c>
      <c r="AP71" s="112">
        <v>-1.7520000000000001E-3</v>
      </c>
      <c r="AQ71" s="110">
        <v>1.4830000000000001</v>
      </c>
      <c r="AR71" s="112">
        <f t="shared" si="37"/>
        <v>115.14072766776499</v>
      </c>
      <c r="AS71" s="112">
        <f t="shared" si="38"/>
        <v>382.48921810532318</v>
      </c>
      <c r="AT71" s="115">
        <f t="shared" si="39"/>
        <v>9.7495000000000012</v>
      </c>
    </row>
    <row r="72" spans="1:46" ht="13.8" thickBot="1" x14ac:dyDescent="0.3">
      <c r="A72" s="71" t="str">
        <f t="shared" si="40"/>
        <v/>
      </c>
      <c r="B72" s="72" t="str">
        <f t="shared" si="41"/>
        <v/>
      </c>
      <c r="C72" s="73" t="str">
        <f t="shared" si="42"/>
        <v/>
      </c>
      <c r="D72" s="60" t="str">
        <f t="shared" si="43"/>
        <v/>
      </c>
      <c r="E72" s="72" t="str">
        <f t="shared" si="44"/>
        <v/>
      </c>
      <c r="F72" s="73" t="str">
        <f t="shared" si="45"/>
        <v/>
      </c>
      <c r="G72" s="74" t="str">
        <f t="shared" si="46"/>
        <v/>
      </c>
      <c r="H72" s="75" t="str">
        <f t="shared" si="47"/>
        <v/>
      </c>
      <c r="I72" s="75" t="str">
        <f t="shared" si="48"/>
        <v/>
      </c>
      <c r="J72" s="75" t="str">
        <f t="shared" si="49"/>
        <v/>
      </c>
      <c r="K72" s="72" t="str">
        <f t="shared" si="50"/>
        <v/>
      </c>
      <c r="L72" s="73" t="str">
        <f t="shared" si="51"/>
        <v/>
      </c>
      <c r="M72" s="73" t="str">
        <f t="shared" si="52"/>
        <v/>
      </c>
      <c r="O72" s="101"/>
      <c r="P72" s="116"/>
      <c r="Q72" s="116"/>
      <c r="R72" s="116"/>
      <c r="S72" s="116"/>
      <c r="T72" s="116"/>
      <c r="U72" s="116"/>
      <c r="V72" s="116"/>
      <c r="W72" s="116"/>
      <c r="X72" s="116"/>
      <c r="Y72" s="116"/>
      <c r="Z72" s="116"/>
      <c r="AA72" s="116"/>
      <c r="AB72" s="116"/>
      <c r="AC72" s="116"/>
      <c r="AD72" s="116"/>
      <c r="AE72" s="101"/>
      <c r="AF72" s="116"/>
      <c r="AG72" s="116"/>
      <c r="AH72" s="116"/>
      <c r="AI72" s="116"/>
      <c r="AJ72" s="116"/>
      <c r="AK72" s="116"/>
      <c r="AL72" s="116"/>
      <c r="AM72" s="116"/>
      <c r="AN72" s="116"/>
      <c r="AO72" s="116"/>
      <c r="AP72" s="116"/>
      <c r="AQ72" s="116"/>
      <c r="AR72" s="116"/>
      <c r="AS72" s="116"/>
      <c r="AT72" s="117"/>
    </row>
    <row r="73" spans="1:46" ht="13.8" thickTop="1" x14ac:dyDescent="0.25">
      <c r="A73" s="71" t="str">
        <f t="shared" si="40"/>
        <v/>
      </c>
      <c r="B73" s="72" t="str">
        <f t="shared" si="41"/>
        <v/>
      </c>
      <c r="C73" s="73" t="str">
        <f t="shared" si="42"/>
        <v/>
      </c>
      <c r="D73" s="60" t="str">
        <f t="shared" si="43"/>
        <v/>
      </c>
      <c r="E73" s="72" t="str">
        <f t="shared" si="44"/>
        <v/>
      </c>
      <c r="F73" s="73" t="str">
        <f t="shared" si="45"/>
        <v/>
      </c>
      <c r="G73" s="74" t="str">
        <f t="shared" si="46"/>
        <v/>
      </c>
      <c r="H73" s="75" t="str">
        <f t="shared" si="47"/>
        <v/>
      </c>
      <c r="I73" s="75" t="str">
        <f t="shared" si="48"/>
        <v/>
      </c>
      <c r="J73" s="75" t="str">
        <f t="shared" si="49"/>
        <v/>
      </c>
      <c r="K73" s="72" t="str">
        <f t="shared" si="50"/>
        <v/>
      </c>
      <c r="L73" s="73" t="str">
        <f t="shared" si="51"/>
        <v/>
      </c>
      <c r="M73" s="73" t="str">
        <f t="shared" si="52"/>
        <v/>
      </c>
      <c r="O73" s="9" t="s">
        <v>98</v>
      </c>
      <c r="P73"/>
      <c r="Q73"/>
      <c r="R73"/>
      <c r="S73"/>
      <c r="T73"/>
      <c r="U73"/>
      <c r="V73"/>
      <c r="W73"/>
      <c r="AA73"/>
      <c r="AB73"/>
      <c r="AC73"/>
      <c r="AM73" s="10"/>
      <c r="AN73" s="10"/>
      <c r="AO73" s="10"/>
    </row>
    <row r="74" spans="1:46" x14ac:dyDescent="0.25">
      <c r="A74" s="71" t="str">
        <f t="shared" si="40"/>
        <v/>
      </c>
      <c r="B74" s="72" t="str">
        <f t="shared" si="41"/>
        <v/>
      </c>
      <c r="C74" s="73" t="str">
        <f t="shared" si="42"/>
        <v/>
      </c>
      <c r="D74" s="60" t="str">
        <f t="shared" si="43"/>
        <v/>
      </c>
      <c r="E74" s="72" t="str">
        <f t="shared" si="44"/>
        <v/>
      </c>
      <c r="F74" s="73" t="str">
        <f t="shared" si="45"/>
        <v/>
      </c>
      <c r="G74" s="74" t="str">
        <f t="shared" si="46"/>
        <v/>
      </c>
      <c r="H74" s="75" t="str">
        <f t="shared" si="47"/>
        <v/>
      </c>
      <c r="I74" s="75" t="str">
        <f t="shared" si="48"/>
        <v/>
      </c>
      <c r="J74" s="75" t="str">
        <f t="shared" si="49"/>
        <v/>
      </c>
      <c r="K74" s="72" t="str">
        <f t="shared" si="50"/>
        <v/>
      </c>
      <c r="L74" s="73" t="str">
        <f t="shared" si="51"/>
        <v/>
      </c>
      <c r="M74" s="73" t="str">
        <f t="shared" si="52"/>
        <v/>
      </c>
      <c r="O74" s="9" t="s">
        <v>99</v>
      </c>
      <c r="P74"/>
      <c r="Q74"/>
      <c r="R74"/>
      <c r="S74"/>
      <c r="T74"/>
      <c r="U74"/>
      <c r="V74"/>
      <c r="W74"/>
      <c r="AA74"/>
      <c r="AB74"/>
      <c r="AC74"/>
      <c r="AK74" s="10"/>
      <c r="AL74" s="10"/>
    </row>
    <row r="75" spans="1:46" x14ac:dyDescent="0.25">
      <c r="A75" s="71" t="str">
        <f t="shared" si="40"/>
        <v/>
      </c>
      <c r="B75" s="72" t="str">
        <f t="shared" si="41"/>
        <v/>
      </c>
      <c r="C75" s="73" t="str">
        <f t="shared" si="42"/>
        <v/>
      </c>
      <c r="D75" s="60" t="str">
        <f t="shared" si="43"/>
        <v/>
      </c>
      <c r="E75" s="72" t="str">
        <f t="shared" si="44"/>
        <v/>
      </c>
      <c r="F75" s="73" t="str">
        <f t="shared" si="45"/>
        <v/>
      </c>
      <c r="G75" s="74" t="str">
        <f t="shared" si="46"/>
        <v/>
      </c>
      <c r="H75" s="75" t="str">
        <f t="shared" si="47"/>
        <v/>
      </c>
      <c r="I75" s="75" t="str">
        <f t="shared" si="48"/>
        <v/>
      </c>
      <c r="J75" s="75" t="str">
        <f t="shared" si="49"/>
        <v/>
      </c>
      <c r="K75" s="72" t="str">
        <f t="shared" si="50"/>
        <v/>
      </c>
      <c r="L75" s="73" t="str">
        <f t="shared" si="51"/>
        <v/>
      </c>
      <c r="M75" s="73" t="str">
        <f t="shared" si="52"/>
        <v/>
      </c>
      <c r="P75" s="22" t="s">
        <v>100</v>
      </c>
    </row>
    <row r="76" spans="1:46" x14ac:dyDescent="0.25">
      <c r="A76" s="71" t="str">
        <f t="shared" si="40"/>
        <v/>
      </c>
      <c r="B76" s="72" t="str">
        <f t="shared" si="41"/>
        <v/>
      </c>
      <c r="C76" s="73" t="str">
        <f t="shared" si="42"/>
        <v/>
      </c>
      <c r="D76" s="60" t="str">
        <f t="shared" si="43"/>
        <v/>
      </c>
      <c r="E76" s="72" t="str">
        <f t="shared" si="44"/>
        <v/>
      </c>
      <c r="F76" s="73" t="str">
        <f t="shared" si="45"/>
        <v/>
      </c>
      <c r="G76" s="74" t="str">
        <f t="shared" si="46"/>
        <v/>
      </c>
      <c r="H76" s="75" t="str">
        <f t="shared" si="47"/>
        <v/>
      </c>
      <c r="I76" s="75" t="str">
        <f t="shared" si="48"/>
        <v/>
      </c>
      <c r="J76" s="75" t="str">
        <f t="shared" si="49"/>
        <v/>
      </c>
      <c r="K76" s="72" t="str">
        <f t="shared" si="50"/>
        <v/>
      </c>
      <c r="L76" s="73" t="str">
        <f t="shared" si="51"/>
        <v/>
      </c>
      <c r="M76" s="73" t="str">
        <f t="shared" si="52"/>
        <v/>
      </c>
    </row>
    <row r="77" spans="1:46" x14ac:dyDescent="0.25">
      <c r="A77" s="9" t="str">
        <f>A41</f>
        <v/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46" x14ac:dyDescent="0.25">
      <c r="A78" s="21" t="s">
        <v>101</v>
      </c>
      <c r="B78" s="23"/>
      <c r="C78" s="23"/>
      <c r="D78" s="21" t="str">
        <f>IF($B$3="","",$B$3)</f>
        <v/>
      </c>
      <c r="E78" s="6"/>
      <c r="F78" s="6"/>
      <c r="G78" s="6"/>
      <c r="H78" s="6"/>
      <c r="I78" s="6"/>
      <c r="J78" s="6"/>
      <c r="K78" s="6"/>
      <c r="L78" s="6"/>
      <c r="M78" s="63" t="str">
        <f>IF($B$5="","",$B$5)</f>
        <v/>
      </c>
      <c r="N78" s="64" t="s">
        <v>88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46" x14ac:dyDescent="0.25">
      <c r="A79" s="21"/>
      <c r="B79" s="77" t="s">
        <v>59</v>
      </c>
      <c r="C79" s="78"/>
      <c r="D79" s="78"/>
      <c r="E79" s="77" t="s">
        <v>61</v>
      </c>
      <c r="F79" s="78"/>
      <c r="G79" s="78"/>
      <c r="H79" s="77" t="s">
        <v>90</v>
      </c>
      <c r="I79" s="78"/>
      <c r="J79" s="78"/>
      <c r="K79" s="79" t="s">
        <v>91</v>
      </c>
      <c r="L79" s="23"/>
      <c r="M79" s="23"/>
      <c r="N79" s="64" t="s">
        <v>92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46" x14ac:dyDescent="0.25">
      <c r="A80" s="53" t="s">
        <v>67</v>
      </c>
      <c r="B80" s="80" t="str">
        <f t="shared" ref="B80:M80" si="53">B44</f>
        <v>Lead</v>
      </c>
      <c r="C80" s="81" t="str">
        <f t="shared" si="53"/>
        <v>Concrete</v>
      </c>
      <c r="D80" s="81" t="str">
        <f t="shared" si="53"/>
        <v>Gypsum</v>
      </c>
      <c r="E80" s="80" t="str">
        <f t="shared" si="53"/>
        <v>Lead</v>
      </c>
      <c r="F80" s="81" t="str">
        <f t="shared" si="53"/>
        <v>Concrete</v>
      </c>
      <c r="G80" s="81" t="str">
        <f t="shared" si="53"/>
        <v>Gypsum</v>
      </c>
      <c r="H80" s="80" t="str">
        <f t="shared" si="53"/>
        <v>Lead</v>
      </c>
      <c r="I80" s="81" t="str">
        <f t="shared" si="53"/>
        <v>Concrete</v>
      </c>
      <c r="J80" s="81" t="str">
        <f t="shared" si="53"/>
        <v>Gypsum</v>
      </c>
      <c r="K80" s="80" t="str">
        <f t="shared" si="53"/>
        <v>Lead</v>
      </c>
      <c r="L80" s="81" t="str">
        <f t="shared" si="53"/>
        <v>Concrete</v>
      </c>
      <c r="M80" s="81" t="str">
        <f t="shared" si="53"/>
        <v>Gypsum</v>
      </c>
      <c r="N80" s="68" t="s">
        <v>93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x14ac:dyDescent="0.25">
      <c r="A81" s="71" t="str">
        <f t="shared" ref="A81:A94" si="54">IF(A45="","",A45)</f>
        <v/>
      </c>
      <c r="B81" s="72" t="str">
        <f t="shared" ref="B81:M81" si="55">IF(B45="","",B45/25.4)</f>
        <v/>
      </c>
      <c r="C81" s="73" t="str">
        <f t="shared" si="55"/>
        <v/>
      </c>
      <c r="D81" s="73" t="str">
        <f t="shared" si="55"/>
        <v/>
      </c>
      <c r="E81" s="72" t="str">
        <f t="shared" si="55"/>
        <v/>
      </c>
      <c r="F81" s="73" t="str">
        <f t="shared" si="55"/>
        <v/>
      </c>
      <c r="G81" s="73" t="str">
        <f t="shared" si="55"/>
        <v/>
      </c>
      <c r="H81" s="72" t="str">
        <f t="shared" si="55"/>
        <v/>
      </c>
      <c r="I81" s="73" t="str">
        <f t="shared" si="55"/>
        <v/>
      </c>
      <c r="J81" s="73" t="str">
        <f t="shared" si="55"/>
        <v/>
      </c>
      <c r="K81" s="72" t="str">
        <f t="shared" si="55"/>
        <v/>
      </c>
      <c r="L81" s="73" t="str">
        <f t="shared" si="55"/>
        <v/>
      </c>
      <c r="M81" s="73" t="str">
        <f t="shared" si="55"/>
        <v/>
      </c>
      <c r="N81" s="76" t="str">
        <f t="shared" ref="N81:N94" si="56">IF(N45="","",N45)</f>
        <v/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x14ac:dyDescent="0.25">
      <c r="A82" s="71" t="str">
        <f t="shared" si="54"/>
        <v/>
      </c>
      <c r="B82" s="72" t="str">
        <f t="shared" ref="B82:M82" si="57">IF(B46="","",B46/25.4)</f>
        <v/>
      </c>
      <c r="C82" s="73" t="str">
        <f t="shared" si="57"/>
        <v/>
      </c>
      <c r="D82" s="73" t="str">
        <f t="shared" si="57"/>
        <v/>
      </c>
      <c r="E82" s="72" t="str">
        <f t="shared" si="57"/>
        <v/>
      </c>
      <c r="F82" s="73" t="str">
        <f t="shared" si="57"/>
        <v/>
      </c>
      <c r="G82" s="73" t="str">
        <f t="shared" si="57"/>
        <v/>
      </c>
      <c r="H82" s="72" t="str">
        <f t="shared" si="57"/>
        <v/>
      </c>
      <c r="I82" s="73" t="str">
        <f t="shared" si="57"/>
        <v/>
      </c>
      <c r="J82" s="73" t="str">
        <f t="shared" si="57"/>
        <v/>
      </c>
      <c r="K82" s="72" t="str">
        <f t="shared" si="57"/>
        <v/>
      </c>
      <c r="L82" s="73" t="str">
        <f t="shared" si="57"/>
        <v/>
      </c>
      <c r="M82" s="73" t="str">
        <f t="shared" si="57"/>
        <v/>
      </c>
      <c r="N82" s="76" t="str">
        <f t="shared" si="56"/>
        <v/>
      </c>
    </row>
    <row r="83" spans="1:29" x14ac:dyDescent="0.25">
      <c r="A83" s="71" t="str">
        <f t="shared" si="54"/>
        <v/>
      </c>
      <c r="B83" s="72" t="str">
        <f t="shared" ref="B83:M83" si="58">IF(B47="","",B47/25.4)</f>
        <v/>
      </c>
      <c r="C83" s="73" t="str">
        <f t="shared" si="58"/>
        <v/>
      </c>
      <c r="D83" s="73" t="str">
        <f t="shared" si="58"/>
        <v/>
      </c>
      <c r="E83" s="72" t="str">
        <f t="shared" si="58"/>
        <v/>
      </c>
      <c r="F83" s="73" t="str">
        <f t="shared" si="58"/>
        <v/>
      </c>
      <c r="G83" s="73" t="str">
        <f t="shared" si="58"/>
        <v/>
      </c>
      <c r="H83" s="72" t="str">
        <f t="shared" si="58"/>
        <v/>
      </c>
      <c r="I83" s="73" t="str">
        <f t="shared" si="58"/>
        <v/>
      </c>
      <c r="J83" s="73" t="str">
        <f t="shared" si="58"/>
        <v/>
      </c>
      <c r="K83" s="72" t="str">
        <f t="shared" si="58"/>
        <v/>
      </c>
      <c r="L83" s="73" t="str">
        <f t="shared" si="58"/>
        <v/>
      </c>
      <c r="M83" s="73" t="str">
        <f t="shared" si="58"/>
        <v/>
      </c>
      <c r="N83" s="76" t="str">
        <f t="shared" si="56"/>
        <v/>
      </c>
    </row>
    <row r="84" spans="1:29" x14ac:dyDescent="0.25">
      <c r="A84" s="71" t="str">
        <f t="shared" si="54"/>
        <v/>
      </c>
      <c r="B84" s="72" t="str">
        <f t="shared" ref="B84:M84" si="59">IF(B48="","",B48/25.4)</f>
        <v/>
      </c>
      <c r="C84" s="73" t="str">
        <f t="shared" si="59"/>
        <v/>
      </c>
      <c r="D84" s="73" t="str">
        <f t="shared" si="59"/>
        <v/>
      </c>
      <c r="E84" s="72" t="str">
        <f t="shared" si="59"/>
        <v/>
      </c>
      <c r="F84" s="73" t="str">
        <f t="shared" si="59"/>
        <v/>
      </c>
      <c r="G84" s="73" t="str">
        <f t="shared" si="59"/>
        <v/>
      </c>
      <c r="H84" s="72" t="str">
        <f t="shared" si="59"/>
        <v/>
      </c>
      <c r="I84" s="73" t="str">
        <f t="shared" si="59"/>
        <v/>
      </c>
      <c r="J84" s="73" t="str">
        <f t="shared" si="59"/>
        <v/>
      </c>
      <c r="K84" s="72" t="str">
        <f t="shared" si="59"/>
        <v/>
      </c>
      <c r="L84" s="73" t="str">
        <f t="shared" si="59"/>
        <v/>
      </c>
      <c r="M84" s="73" t="str">
        <f t="shared" si="59"/>
        <v/>
      </c>
      <c r="N84" s="76" t="str">
        <f t="shared" si="56"/>
        <v/>
      </c>
      <c r="O84" s="28"/>
    </row>
    <row r="85" spans="1:29" x14ac:dyDescent="0.25">
      <c r="A85" s="71" t="str">
        <f t="shared" si="54"/>
        <v/>
      </c>
      <c r="B85" s="72" t="str">
        <f t="shared" ref="B85:M85" si="60">IF(B49="","",B49/25.4)</f>
        <v/>
      </c>
      <c r="C85" s="73" t="str">
        <f t="shared" si="60"/>
        <v/>
      </c>
      <c r="D85" s="73" t="str">
        <f t="shared" si="60"/>
        <v/>
      </c>
      <c r="E85" s="72" t="str">
        <f t="shared" si="60"/>
        <v/>
      </c>
      <c r="F85" s="73" t="str">
        <f t="shared" si="60"/>
        <v/>
      </c>
      <c r="G85" s="73" t="str">
        <f t="shared" si="60"/>
        <v/>
      </c>
      <c r="H85" s="72" t="str">
        <f t="shared" si="60"/>
        <v/>
      </c>
      <c r="I85" s="73" t="str">
        <f t="shared" si="60"/>
        <v/>
      </c>
      <c r="J85" s="73" t="str">
        <f t="shared" si="60"/>
        <v/>
      </c>
      <c r="K85" s="72" t="str">
        <f t="shared" si="60"/>
        <v/>
      </c>
      <c r="L85" s="73" t="str">
        <f t="shared" si="60"/>
        <v/>
      </c>
      <c r="M85" s="73" t="str">
        <f t="shared" si="60"/>
        <v/>
      </c>
      <c r="N85" s="76" t="str">
        <f t="shared" si="56"/>
        <v/>
      </c>
    </row>
    <row r="86" spans="1:29" x14ac:dyDescent="0.25">
      <c r="A86" s="71" t="str">
        <f t="shared" si="54"/>
        <v/>
      </c>
      <c r="B86" s="72" t="str">
        <f t="shared" ref="B86:M86" si="61">IF(B50="","",B50/25.4)</f>
        <v/>
      </c>
      <c r="C86" s="73" t="str">
        <f t="shared" si="61"/>
        <v/>
      </c>
      <c r="D86" s="73" t="str">
        <f t="shared" si="61"/>
        <v/>
      </c>
      <c r="E86" s="72" t="str">
        <f t="shared" si="61"/>
        <v/>
      </c>
      <c r="F86" s="73" t="str">
        <f t="shared" si="61"/>
        <v/>
      </c>
      <c r="G86" s="73" t="str">
        <f t="shared" si="61"/>
        <v/>
      </c>
      <c r="H86" s="72" t="str">
        <f t="shared" si="61"/>
        <v/>
      </c>
      <c r="I86" s="73" t="str">
        <f t="shared" si="61"/>
        <v/>
      </c>
      <c r="J86" s="73" t="str">
        <f t="shared" si="61"/>
        <v/>
      </c>
      <c r="K86" s="72" t="str">
        <f t="shared" si="61"/>
        <v/>
      </c>
      <c r="L86" s="73" t="str">
        <f t="shared" si="61"/>
        <v/>
      </c>
      <c r="M86" s="73" t="str">
        <f t="shared" si="61"/>
        <v/>
      </c>
      <c r="N86" s="76" t="str">
        <f t="shared" si="56"/>
        <v/>
      </c>
    </row>
    <row r="87" spans="1:29" x14ac:dyDescent="0.25">
      <c r="A87" s="71" t="str">
        <f t="shared" si="54"/>
        <v/>
      </c>
      <c r="B87" s="72" t="str">
        <f t="shared" ref="B87:M87" si="62">IF(B51="","",B51/25.4)</f>
        <v/>
      </c>
      <c r="C87" s="73" t="str">
        <f t="shared" si="62"/>
        <v/>
      </c>
      <c r="D87" s="73" t="str">
        <f t="shared" si="62"/>
        <v/>
      </c>
      <c r="E87" s="72" t="str">
        <f t="shared" si="62"/>
        <v/>
      </c>
      <c r="F87" s="73" t="str">
        <f t="shared" si="62"/>
        <v/>
      </c>
      <c r="G87" s="73" t="str">
        <f t="shared" si="62"/>
        <v/>
      </c>
      <c r="H87" s="72" t="str">
        <f t="shared" si="62"/>
        <v/>
      </c>
      <c r="I87" s="73" t="str">
        <f t="shared" si="62"/>
        <v/>
      </c>
      <c r="J87" s="73" t="str">
        <f t="shared" si="62"/>
        <v/>
      </c>
      <c r="K87" s="72" t="str">
        <f t="shared" si="62"/>
        <v/>
      </c>
      <c r="L87" s="73" t="str">
        <f t="shared" si="62"/>
        <v/>
      </c>
      <c r="M87" s="73" t="str">
        <f t="shared" si="62"/>
        <v/>
      </c>
      <c r="N87" s="76" t="str">
        <f t="shared" si="56"/>
        <v/>
      </c>
    </row>
    <row r="88" spans="1:29" x14ac:dyDescent="0.25">
      <c r="A88" s="71" t="str">
        <f t="shared" si="54"/>
        <v/>
      </c>
      <c r="B88" s="72" t="str">
        <f t="shared" ref="B88:M88" si="63">IF(B52="","",B52/25.4)</f>
        <v/>
      </c>
      <c r="C88" s="73" t="str">
        <f t="shared" si="63"/>
        <v/>
      </c>
      <c r="D88" s="73" t="str">
        <f t="shared" si="63"/>
        <v/>
      </c>
      <c r="E88" s="72" t="str">
        <f t="shared" si="63"/>
        <v/>
      </c>
      <c r="F88" s="73" t="str">
        <f t="shared" si="63"/>
        <v/>
      </c>
      <c r="G88" s="73" t="str">
        <f t="shared" si="63"/>
        <v/>
      </c>
      <c r="H88" s="72" t="str">
        <f t="shared" si="63"/>
        <v/>
      </c>
      <c r="I88" s="73" t="str">
        <f t="shared" si="63"/>
        <v/>
      </c>
      <c r="J88" s="73" t="str">
        <f t="shared" si="63"/>
        <v/>
      </c>
      <c r="K88" s="72" t="str">
        <f t="shared" si="63"/>
        <v/>
      </c>
      <c r="L88" s="73" t="str">
        <f t="shared" si="63"/>
        <v/>
      </c>
      <c r="M88" s="73" t="str">
        <f t="shared" si="63"/>
        <v/>
      </c>
      <c r="N88" s="76" t="str">
        <f t="shared" si="56"/>
        <v/>
      </c>
    </row>
    <row r="89" spans="1:29" x14ac:dyDescent="0.25">
      <c r="A89" s="71" t="str">
        <f t="shared" si="54"/>
        <v/>
      </c>
      <c r="B89" s="72" t="str">
        <f t="shared" ref="B89:M89" si="64">IF(B53="","",B53/25.4)</f>
        <v/>
      </c>
      <c r="C89" s="73" t="str">
        <f t="shared" si="64"/>
        <v/>
      </c>
      <c r="D89" s="73" t="str">
        <f t="shared" si="64"/>
        <v/>
      </c>
      <c r="E89" s="72" t="str">
        <f t="shared" si="64"/>
        <v/>
      </c>
      <c r="F89" s="73" t="str">
        <f t="shared" si="64"/>
        <v/>
      </c>
      <c r="G89" s="73" t="str">
        <f t="shared" si="64"/>
        <v/>
      </c>
      <c r="H89" s="72" t="str">
        <f t="shared" si="64"/>
        <v/>
      </c>
      <c r="I89" s="73" t="str">
        <f t="shared" si="64"/>
        <v/>
      </c>
      <c r="J89" s="73" t="str">
        <f t="shared" si="64"/>
        <v/>
      </c>
      <c r="K89" s="72" t="str">
        <f t="shared" si="64"/>
        <v/>
      </c>
      <c r="L89" s="73" t="str">
        <f t="shared" si="64"/>
        <v/>
      </c>
      <c r="M89" s="73" t="str">
        <f t="shared" si="64"/>
        <v/>
      </c>
      <c r="N89" s="76" t="str">
        <f t="shared" si="56"/>
        <v/>
      </c>
    </row>
    <row r="90" spans="1:29" x14ac:dyDescent="0.25">
      <c r="A90" s="71" t="str">
        <f t="shared" si="54"/>
        <v/>
      </c>
      <c r="B90" s="72" t="str">
        <f t="shared" ref="B90:M90" si="65">IF(B54="","",B54/25.4)</f>
        <v/>
      </c>
      <c r="C90" s="73" t="str">
        <f t="shared" si="65"/>
        <v/>
      </c>
      <c r="D90" s="73" t="str">
        <f t="shared" si="65"/>
        <v/>
      </c>
      <c r="E90" s="72" t="str">
        <f t="shared" si="65"/>
        <v/>
      </c>
      <c r="F90" s="73" t="str">
        <f t="shared" si="65"/>
        <v/>
      </c>
      <c r="G90" s="73" t="str">
        <f t="shared" si="65"/>
        <v/>
      </c>
      <c r="H90" s="72" t="str">
        <f t="shared" si="65"/>
        <v/>
      </c>
      <c r="I90" s="73" t="str">
        <f t="shared" si="65"/>
        <v/>
      </c>
      <c r="J90" s="73" t="str">
        <f t="shared" si="65"/>
        <v/>
      </c>
      <c r="K90" s="72" t="str">
        <f t="shared" si="65"/>
        <v/>
      </c>
      <c r="L90" s="73" t="str">
        <f t="shared" si="65"/>
        <v/>
      </c>
      <c r="M90" s="73" t="str">
        <f t="shared" si="65"/>
        <v/>
      </c>
      <c r="N90" s="76" t="str">
        <f t="shared" si="56"/>
        <v/>
      </c>
    </row>
    <row r="91" spans="1:29" x14ac:dyDescent="0.25">
      <c r="A91" s="71" t="str">
        <f t="shared" si="54"/>
        <v/>
      </c>
      <c r="B91" s="72" t="str">
        <f t="shared" ref="B91:M91" si="66">IF(B55="","",B55/25.4)</f>
        <v/>
      </c>
      <c r="C91" s="73" t="str">
        <f t="shared" si="66"/>
        <v/>
      </c>
      <c r="D91" s="73" t="str">
        <f t="shared" si="66"/>
        <v/>
      </c>
      <c r="E91" s="72" t="str">
        <f t="shared" si="66"/>
        <v/>
      </c>
      <c r="F91" s="73" t="str">
        <f t="shared" si="66"/>
        <v/>
      </c>
      <c r="G91" s="73" t="str">
        <f t="shared" si="66"/>
        <v/>
      </c>
      <c r="H91" s="72" t="str">
        <f t="shared" si="66"/>
        <v/>
      </c>
      <c r="I91" s="73" t="str">
        <f t="shared" si="66"/>
        <v/>
      </c>
      <c r="J91" s="73" t="str">
        <f t="shared" si="66"/>
        <v/>
      </c>
      <c r="K91" s="72" t="str">
        <f t="shared" si="66"/>
        <v/>
      </c>
      <c r="L91" s="73" t="str">
        <f t="shared" si="66"/>
        <v/>
      </c>
      <c r="M91" s="73" t="str">
        <f t="shared" si="66"/>
        <v/>
      </c>
      <c r="N91" s="76" t="str">
        <f t="shared" si="56"/>
        <v/>
      </c>
    </row>
    <row r="92" spans="1:29" x14ac:dyDescent="0.25">
      <c r="A92" s="71" t="str">
        <f t="shared" si="54"/>
        <v/>
      </c>
      <c r="B92" s="72" t="str">
        <f t="shared" ref="B92:M92" si="67">IF(B56="","",B56/25.4)</f>
        <v/>
      </c>
      <c r="C92" s="73" t="str">
        <f t="shared" si="67"/>
        <v/>
      </c>
      <c r="D92" s="73" t="str">
        <f t="shared" si="67"/>
        <v/>
      </c>
      <c r="E92" s="72" t="str">
        <f t="shared" si="67"/>
        <v/>
      </c>
      <c r="F92" s="73" t="str">
        <f t="shared" si="67"/>
        <v/>
      </c>
      <c r="G92" s="73" t="str">
        <f t="shared" si="67"/>
        <v/>
      </c>
      <c r="H92" s="72" t="str">
        <f t="shared" si="67"/>
        <v/>
      </c>
      <c r="I92" s="73" t="str">
        <f t="shared" si="67"/>
        <v/>
      </c>
      <c r="J92" s="73" t="str">
        <f t="shared" si="67"/>
        <v/>
      </c>
      <c r="K92" s="72" t="str">
        <f t="shared" si="67"/>
        <v/>
      </c>
      <c r="L92" s="73" t="str">
        <f t="shared" si="67"/>
        <v/>
      </c>
      <c r="M92" s="73" t="str">
        <f t="shared" si="67"/>
        <v/>
      </c>
      <c r="N92" s="76" t="str">
        <f t="shared" si="56"/>
        <v/>
      </c>
    </row>
    <row r="93" spans="1:29" x14ac:dyDescent="0.25">
      <c r="A93" s="71" t="str">
        <f t="shared" si="54"/>
        <v/>
      </c>
      <c r="B93" s="72" t="str">
        <f t="shared" ref="B93:M93" si="68">IF(B57="","",B57/25.4)</f>
        <v/>
      </c>
      <c r="C93" s="73" t="str">
        <f t="shared" si="68"/>
        <v/>
      </c>
      <c r="D93" s="73" t="str">
        <f t="shared" si="68"/>
        <v/>
      </c>
      <c r="E93" s="72" t="str">
        <f t="shared" si="68"/>
        <v/>
      </c>
      <c r="F93" s="73" t="str">
        <f t="shared" si="68"/>
        <v/>
      </c>
      <c r="G93" s="73" t="str">
        <f t="shared" si="68"/>
        <v/>
      </c>
      <c r="H93" s="72" t="str">
        <f t="shared" si="68"/>
        <v/>
      </c>
      <c r="I93" s="73" t="str">
        <f t="shared" si="68"/>
        <v/>
      </c>
      <c r="J93" s="73" t="str">
        <f t="shared" si="68"/>
        <v/>
      </c>
      <c r="K93" s="72" t="str">
        <f t="shared" si="68"/>
        <v/>
      </c>
      <c r="L93" s="73" t="str">
        <f t="shared" si="68"/>
        <v/>
      </c>
      <c r="M93" s="73" t="str">
        <f t="shared" si="68"/>
        <v/>
      </c>
      <c r="N93" s="76" t="str">
        <f t="shared" si="56"/>
        <v/>
      </c>
    </row>
    <row r="94" spans="1:29" x14ac:dyDescent="0.25">
      <c r="A94" s="71" t="str">
        <f t="shared" si="54"/>
        <v/>
      </c>
      <c r="B94" s="72" t="str">
        <f t="shared" ref="B94:M94" si="69">IF(B58="","",B58/25.4)</f>
        <v/>
      </c>
      <c r="C94" s="73" t="str">
        <f t="shared" si="69"/>
        <v/>
      </c>
      <c r="D94" s="73" t="str">
        <f t="shared" si="69"/>
        <v/>
      </c>
      <c r="E94" s="72" t="str">
        <f t="shared" si="69"/>
        <v/>
      </c>
      <c r="F94" s="73" t="str">
        <f t="shared" si="69"/>
        <v/>
      </c>
      <c r="G94" s="73" t="str">
        <f t="shared" si="69"/>
        <v/>
      </c>
      <c r="H94" s="72" t="str">
        <f t="shared" si="69"/>
        <v/>
      </c>
      <c r="I94" s="73" t="str">
        <f t="shared" si="69"/>
        <v/>
      </c>
      <c r="J94" s="73" t="str">
        <f t="shared" si="69"/>
        <v/>
      </c>
      <c r="K94" s="72" t="str">
        <f t="shared" si="69"/>
        <v/>
      </c>
      <c r="L94" s="73" t="str">
        <f t="shared" si="69"/>
        <v/>
      </c>
      <c r="M94" s="73" t="str">
        <f t="shared" si="69"/>
        <v/>
      </c>
      <c r="N94" s="76" t="str">
        <f t="shared" si="56"/>
        <v/>
      </c>
    </row>
    <row r="95" spans="1:29" x14ac:dyDescent="0.25">
      <c r="A95" s="6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6"/>
    </row>
    <row r="96" spans="1:29" x14ac:dyDescent="0.25">
      <c r="A96" s="21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6"/>
    </row>
    <row r="97" spans="1:14" x14ac:dyDescent="0.25">
      <c r="A97" s="21"/>
      <c r="B97" s="77" t="s">
        <v>59</v>
      </c>
      <c r="C97" s="78"/>
      <c r="D97" s="78"/>
      <c r="E97" s="77" t="s">
        <v>61</v>
      </c>
      <c r="F97" s="78"/>
      <c r="G97" s="78"/>
      <c r="H97" s="77" t="s">
        <v>90</v>
      </c>
      <c r="I97" s="78"/>
      <c r="J97" s="78"/>
      <c r="K97" s="79" t="s">
        <v>91</v>
      </c>
      <c r="L97" s="23"/>
      <c r="M97" s="23"/>
      <c r="N97" s="6"/>
    </row>
    <row r="98" spans="1:14" x14ac:dyDescent="0.25">
      <c r="A98" s="53" t="s">
        <v>67</v>
      </c>
      <c r="B98" s="80" t="str">
        <f t="shared" ref="B98:M98" si="70">B62</f>
        <v>Steel</v>
      </c>
      <c r="C98" s="81" t="str">
        <f t="shared" si="70"/>
        <v>Glass</v>
      </c>
      <c r="D98" s="81" t="str">
        <f t="shared" si="70"/>
        <v>Wood</v>
      </c>
      <c r="E98" s="80" t="str">
        <f t="shared" si="70"/>
        <v>Steel</v>
      </c>
      <c r="F98" s="81" t="str">
        <f t="shared" si="70"/>
        <v>Glass</v>
      </c>
      <c r="G98" s="81" t="str">
        <f t="shared" si="70"/>
        <v>Wood</v>
      </c>
      <c r="H98" s="80" t="str">
        <f t="shared" si="70"/>
        <v>Steel</v>
      </c>
      <c r="I98" s="81" t="str">
        <f t="shared" si="70"/>
        <v>Glass</v>
      </c>
      <c r="J98" s="81" t="str">
        <f t="shared" si="70"/>
        <v>Wood</v>
      </c>
      <c r="K98" s="80" t="str">
        <f t="shared" si="70"/>
        <v>Steel</v>
      </c>
      <c r="L98" s="81" t="str">
        <f t="shared" si="70"/>
        <v>Glass</v>
      </c>
      <c r="M98" s="81" t="str">
        <f t="shared" si="70"/>
        <v>Wood</v>
      </c>
      <c r="N98" s="6"/>
    </row>
    <row r="99" spans="1:14" x14ac:dyDescent="0.25">
      <c r="A99" s="71" t="str">
        <f t="shared" ref="A99:A112" si="71">A81</f>
        <v/>
      </c>
      <c r="B99" s="72" t="str">
        <f t="shared" ref="B99:M99" si="72">IF(B63="","",B63/25.4)</f>
        <v/>
      </c>
      <c r="C99" s="73" t="str">
        <f t="shared" si="72"/>
        <v/>
      </c>
      <c r="D99" s="73" t="str">
        <f t="shared" si="72"/>
        <v/>
      </c>
      <c r="E99" s="72" t="str">
        <f t="shared" si="72"/>
        <v/>
      </c>
      <c r="F99" s="73" t="str">
        <f t="shared" si="72"/>
        <v/>
      </c>
      <c r="G99" s="73" t="str">
        <f t="shared" si="72"/>
        <v/>
      </c>
      <c r="H99" s="72" t="str">
        <f t="shared" si="72"/>
        <v/>
      </c>
      <c r="I99" s="73" t="str">
        <f t="shared" si="72"/>
        <v/>
      </c>
      <c r="J99" s="73" t="str">
        <f t="shared" si="72"/>
        <v/>
      </c>
      <c r="K99" s="72" t="str">
        <f t="shared" si="72"/>
        <v/>
      </c>
      <c r="L99" s="73" t="str">
        <f t="shared" si="72"/>
        <v/>
      </c>
      <c r="M99" s="73" t="str">
        <f t="shared" si="72"/>
        <v/>
      </c>
      <c r="N99" s="6"/>
    </row>
    <row r="100" spans="1:14" x14ac:dyDescent="0.25">
      <c r="A100" s="71" t="str">
        <f t="shared" si="71"/>
        <v/>
      </c>
      <c r="B100" s="72" t="str">
        <f t="shared" ref="B100:M100" si="73">IF(B64="","",B64/25.4)</f>
        <v/>
      </c>
      <c r="C100" s="73" t="str">
        <f t="shared" si="73"/>
        <v/>
      </c>
      <c r="D100" s="73" t="str">
        <f t="shared" si="73"/>
        <v/>
      </c>
      <c r="E100" s="72" t="str">
        <f t="shared" si="73"/>
        <v/>
      </c>
      <c r="F100" s="73" t="str">
        <f t="shared" si="73"/>
        <v/>
      </c>
      <c r="G100" s="73" t="str">
        <f t="shared" si="73"/>
        <v/>
      </c>
      <c r="H100" s="72" t="str">
        <f t="shared" si="73"/>
        <v/>
      </c>
      <c r="I100" s="73" t="str">
        <f t="shared" si="73"/>
        <v/>
      </c>
      <c r="J100" s="73" t="str">
        <f t="shared" si="73"/>
        <v/>
      </c>
      <c r="K100" s="72" t="str">
        <f t="shared" si="73"/>
        <v/>
      </c>
      <c r="L100" s="73" t="str">
        <f t="shared" si="73"/>
        <v/>
      </c>
      <c r="M100" s="73" t="str">
        <f t="shared" si="73"/>
        <v/>
      </c>
      <c r="N100" s="6"/>
    </row>
    <row r="101" spans="1:14" x14ac:dyDescent="0.25">
      <c r="A101" s="71" t="str">
        <f t="shared" si="71"/>
        <v/>
      </c>
      <c r="B101" s="72" t="str">
        <f t="shared" ref="B101:M101" si="74">IF(B65="","",B65/25.4)</f>
        <v/>
      </c>
      <c r="C101" s="73" t="str">
        <f t="shared" si="74"/>
        <v/>
      </c>
      <c r="D101" s="73" t="str">
        <f t="shared" si="74"/>
        <v/>
      </c>
      <c r="E101" s="72" t="str">
        <f t="shared" si="74"/>
        <v/>
      </c>
      <c r="F101" s="73" t="str">
        <f t="shared" si="74"/>
        <v/>
      </c>
      <c r="G101" s="73" t="str">
        <f t="shared" si="74"/>
        <v/>
      </c>
      <c r="H101" s="72" t="str">
        <f t="shared" si="74"/>
        <v/>
      </c>
      <c r="I101" s="73" t="str">
        <f t="shared" si="74"/>
        <v/>
      </c>
      <c r="J101" s="73" t="str">
        <f t="shared" si="74"/>
        <v/>
      </c>
      <c r="K101" s="72" t="str">
        <f t="shared" si="74"/>
        <v/>
      </c>
      <c r="L101" s="73" t="str">
        <f t="shared" si="74"/>
        <v/>
      </c>
      <c r="M101" s="73" t="str">
        <f t="shared" si="74"/>
        <v/>
      </c>
      <c r="N101" s="6"/>
    </row>
    <row r="102" spans="1:14" x14ac:dyDescent="0.25">
      <c r="A102" s="71" t="str">
        <f t="shared" si="71"/>
        <v/>
      </c>
      <c r="B102" s="72" t="str">
        <f t="shared" ref="B102:M102" si="75">IF(B66="","",B66/25.4)</f>
        <v/>
      </c>
      <c r="C102" s="73" t="str">
        <f t="shared" si="75"/>
        <v/>
      </c>
      <c r="D102" s="73" t="str">
        <f t="shared" si="75"/>
        <v/>
      </c>
      <c r="E102" s="72" t="str">
        <f t="shared" si="75"/>
        <v/>
      </c>
      <c r="F102" s="73" t="str">
        <f t="shared" si="75"/>
        <v/>
      </c>
      <c r="G102" s="73" t="str">
        <f t="shared" si="75"/>
        <v/>
      </c>
      <c r="H102" s="72" t="str">
        <f t="shared" si="75"/>
        <v/>
      </c>
      <c r="I102" s="73" t="str">
        <f t="shared" si="75"/>
        <v/>
      </c>
      <c r="J102" s="73" t="str">
        <f t="shared" si="75"/>
        <v/>
      </c>
      <c r="K102" s="72" t="str">
        <f t="shared" si="75"/>
        <v/>
      </c>
      <c r="L102" s="73" t="str">
        <f t="shared" si="75"/>
        <v/>
      </c>
      <c r="M102" s="73" t="str">
        <f t="shared" si="75"/>
        <v/>
      </c>
      <c r="N102" s="6"/>
    </row>
    <row r="103" spans="1:14" x14ac:dyDescent="0.25">
      <c r="A103" s="71" t="str">
        <f t="shared" si="71"/>
        <v/>
      </c>
      <c r="B103" s="72" t="str">
        <f t="shared" ref="B103:M103" si="76">IF(B67="","",B67/25.4)</f>
        <v/>
      </c>
      <c r="C103" s="73" t="str">
        <f t="shared" si="76"/>
        <v/>
      </c>
      <c r="D103" s="73" t="str">
        <f t="shared" si="76"/>
        <v/>
      </c>
      <c r="E103" s="72" t="str">
        <f t="shared" si="76"/>
        <v/>
      </c>
      <c r="F103" s="73" t="str">
        <f t="shared" si="76"/>
        <v/>
      </c>
      <c r="G103" s="73" t="str">
        <f t="shared" si="76"/>
        <v/>
      </c>
      <c r="H103" s="72" t="str">
        <f t="shared" si="76"/>
        <v/>
      </c>
      <c r="I103" s="73" t="str">
        <f t="shared" si="76"/>
        <v/>
      </c>
      <c r="J103" s="73" t="str">
        <f t="shared" si="76"/>
        <v/>
      </c>
      <c r="K103" s="72" t="str">
        <f t="shared" si="76"/>
        <v/>
      </c>
      <c r="L103" s="73" t="str">
        <f t="shared" si="76"/>
        <v/>
      </c>
      <c r="M103" s="73" t="str">
        <f t="shared" si="76"/>
        <v/>
      </c>
      <c r="N103" s="6"/>
    </row>
    <row r="104" spans="1:14" x14ac:dyDescent="0.25">
      <c r="A104" s="71" t="str">
        <f t="shared" si="71"/>
        <v/>
      </c>
      <c r="B104" s="72" t="str">
        <f t="shared" ref="B104:M104" si="77">IF(B68="","",B68/25.4)</f>
        <v/>
      </c>
      <c r="C104" s="73" t="str">
        <f t="shared" si="77"/>
        <v/>
      </c>
      <c r="D104" s="73" t="str">
        <f t="shared" si="77"/>
        <v/>
      </c>
      <c r="E104" s="72" t="str">
        <f t="shared" si="77"/>
        <v/>
      </c>
      <c r="F104" s="73" t="str">
        <f t="shared" si="77"/>
        <v/>
      </c>
      <c r="G104" s="73" t="str">
        <f t="shared" si="77"/>
        <v/>
      </c>
      <c r="H104" s="72" t="str">
        <f t="shared" si="77"/>
        <v/>
      </c>
      <c r="I104" s="73" t="str">
        <f t="shared" si="77"/>
        <v/>
      </c>
      <c r="J104" s="73" t="str">
        <f t="shared" si="77"/>
        <v/>
      </c>
      <c r="K104" s="72" t="str">
        <f t="shared" si="77"/>
        <v/>
      </c>
      <c r="L104" s="73" t="str">
        <f t="shared" si="77"/>
        <v/>
      </c>
      <c r="M104" s="73" t="str">
        <f t="shared" si="77"/>
        <v/>
      </c>
      <c r="N104" s="6"/>
    </row>
    <row r="105" spans="1:14" x14ac:dyDescent="0.25">
      <c r="A105" s="71" t="str">
        <f t="shared" si="71"/>
        <v/>
      </c>
      <c r="B105" s="72" t="str">
        <f t="shared" ref="B105:M105" si="78">IF(B69="","",B69/25.4)</f>
        <v/>
      </c>
      <c r="C105" s="73" t="str">
        <f t="shared" si="78"/>
        <v/>
      </c>
      <c r="D105" s="73" t="str">
        <f t="shared" si="78"/>
        <v/>
      </c>
      <c r="E105" s="72" t="str">
        <f t="shared" si="78"/>
        <v/>
      </c>
      <c r="F105" s="73" t="str">
        <f t="shared" si="78"/>
        <v/>
      </c>
      <c r="G105" s="73" t="str">
        <f t="shared" si="78"/>
        <v/>
      </c>
      <c r="H105" s="72" t="str">
        <f t="shared" si="78"/>
        <v/>
      </c>
      <c r="I105" s="73" t="str">
        <f t="shared" si="78"/>
        <v/>
      </c>
      <c r="J105" s="73" t="str">
        <f t="shared" si="78"/>
        <v/>
      </c>
      <c r="K105" s="72" t="str">
        <f t="shared" si="78"/>
        <v/>
      </c>
      <c r="L105" s="73" t="str">
        <f t="shared" si="78"/>
        <v/>
      </c>
      <c r="M105" s="73" t="str">
        <f t="shared" si="78"/>
        <v/>
      </c>
      <c r="N105" s="6"/>
    </row>
    <row r="106" spans="1:14" x14ac:dyDescent="0.25">
      <c r="A106" s="71" t="str">
        <f t="shared" si="71"/>
        <v/>
      </c>
      <c r="B106" s="72" t="str">
        <f t="shared" ref="B106:M106" si="79">IF(B70="","",B70/25.4)</f>
        <v/>
      </c>
      <c r="C106" s="73" t="str">
        <f t="shared" si="79"/>
        <v/>
      </c>
      <c r="D106" s="73" t="str">
        <f t="shared" si="79"/>
        <v/>
      </c>
      <c r="E106" s="72" t="str">
        <f t="shared" si="79"/>
        <v/>
      </c>
      <c r="F106" s="73" t="str">
        <f t="shared" si="79"/>
        <v/>
      </c>
      <c r="G106" s="73" t="str">
        <f t="shared" si="79"/>
        <v/>
      </c>
      <c r="H106" s="72" t="str">
        <f t="shared" si="79"/>
        <v/>
      </c>
      <c r="I106" s="73" t="str">
        <f t="shared" si="79"/>
        <v/>
      </c>
      <c r="J106" s="73" t="str">
        <f t="shared" si="79"/>
        <v/>
      </c>
      <c r="K106" s="72" t="str">
        <f t="shared" si="79"/>
        <v/>
      </c>
      <c r="L106" s="73" t="str">
        <f t="shared" si="79"/>
        <v/>
      </c>
      <c r="M106" s="73" t="str">
        <f t="shared" si="79"/>
        <v/>
      </c>
      <c r="N106" s="6"/>
    </row>
    <row r="107" spans="1:14" x14ac:dyDescent="0.25">
      <c r="A107" s="71" t="str">
        <f t="shared" si="71"/>
        <v/>
      </c>
      <c r="B107" s="72" t="str">
        <f t="shared" ref="B107:M107" si="80">IF(B71="","",B71/25.4)</f>
        <v/>
      </c>
      <c r="C107" s="73" t="str">
        <f t="shared" si="80"/>
        <v/>
      </c>
      <c r="D107" s="73" t="str">
        <f t="shared" si="80"/>
        <v/>
      </c>
      <c r="E107" s="72" t="str">
        <f t="shared" si="80"/>
        <v/>
      </c>
      <c r="F107" s="73" t="str">
        <f t="shared" si="80"/>
        <v/>
      </c>
      <c r="G107" s="73" t="str">
        <f t="shared" si="80"/>
        <v/>
      </c>
      <c r="H107" s="72" t="str">
        <f t="shared" si="80"/>
        <v/>
      </c>
      <c r="I107" s="73" t="str">
        <f t="shared" si="80"/>
        <v/>
      </c>
      <c r="J107" s="73" t="str">
        <f t="shared" si="80"/>
        <v/>
      </c>
      <c r="K107" s="72" t="str">
        <f t="shared" si="80"/>
        <v/>
      </c>
      <c r="L107" s="73" t="str">
        <f t="shared" si="80"/>
        <v/>
      </c>
      <c r="M107" s="73" t="str">
        <f t="shared" si="80"/>
        <v/>
      </c>
      <c r="N107" s="6"/>
    </row>
    <row r="108" spans="1:14" x14ac:dyDescent="0.25">
      <c r="A108" s="71" t="str">
        <f t="shared" si="71"/>
        <v/>
      </c>
      <c r="B108" s="72" t="str">
        <f t="shared" ref="B108:M108" si="81">IF(B72="","",B72/25.4)</f>
        <v/>
      </c>
      <c r="C108" s="73" t="str">
        <f t="shared" si="81"/>
        <v/>
      </c>
      <c r="D108" s="73" t="str">
        <f t="shared" si="81"/>
        <v/>
      </c>
      <c r="E108" s="72" t="str">
        <f t="shared" si="81"/>
        <v/>
      </c>
      <c r="F108" s="73" t="str">
        <f t="shared" si="81"/>
        <v/>
      </c>
      <c r="G108" s="73" t="str">
        <f t="shared" si="81"/>
        <v/>
      </c>
      <c r="H108" s="72" t="str">
        <f t="shared" si="81"/>
        <v/>
      </c>
      <c r="I108" s="73" t="str">
        <f t="shared" si="81"/>
        <v/>
      </c>
      <c r="J108" s="73" t="str">
        <f t="shared" si="81"/>
        <v/>
      </c>
      <c r="K108" s="72" t="str">
        <f t="shared" si="81"/>
        <v/>
      </c>
      <c r="L108" s="73" t="str">
        <f t="shared" si="81"/>
        <v/>
      </c>
      <c r="M108" s="73" t="str">
        <f t="shared" si="81"/>
        <v/>
      </c>
      <c r="N108" s="6"/>
    </row>
    <row r="109" spans="1:14" x14ac:dyDescent="0.25">
      <c r="A109" s="71" t="str">
        <f t="shared" si="71"/>
        <v/>
      </c>
      <c r="B109" s="72" t="str">
        <f t="shared" ref="B109:M109" si="82">IF(B73="","",B73/25.4)</f>
        <v/>
      </c>
      <c r="C109" s="73" t="str">
        <f t="shared" si="82"/>
        <v/>
      </c>
      <c r="D109" s="73" t="str">
        <f t="shared" si="82"/>
        <v/>
      </c>
      <c r="E109" s="72" t="str">
        <f t="shared" si="82"/>
        <v/>
      </c>
      <c r="F109" s="73" t="str">
        <f t="shared" si="82"/>
        <v/>
      </c>
      <c r="G109" s="73" t="str">
        <f t="shared" si="82"/>
        <v/>
      </c>
      <c r="H109" s="72" t="str">
        <f t="shared" si="82"/>
        <v/>
      </c>
      <c r="I109" s="73" t="str">
        <f t="shared" si="82"/>
        <v/>
      </c>
      <c r="J109" s="73" t="str">
        <f t="shared" si="82"/>
        <v/>
      </c>
      <c r="K109" s="72" t="str">
        <f t="shared" si="82"/>
        <v/>
      </c>
      <c r="L109" s="73" t="str">
        <f t="shared" si="82"/>
        <v/>
      </c>
      <c r="M109" s="73" t="str">
        <f t="shared" si="82"/>
        <v/>
      </c>
      <c r="N109" s="6"/>
    </row>
    <row r="110" spans="1:14" x14ac:dyDescent="0.25">
      <c r="A110" s="71" t="str">
        <f t="shared" si="71"/>
        <v/>
      </c>
      <c r="B110" s="72" t="str">
        <f t="shared" ref="B110:M110" si="83">IF(B74="","",B74/25.4)</f>
        <v/>
      </c>
      <c r="C110" s="73" t="str">
        <f t="shared" si="83"/>
        <v/>
      </c>
      <c r="D110" s="73" t="str">
        <f t="shared" si="83"/>
        <v/>
      </c>
      <c r="E110" s="72" t="str">
        <f t="shared" si="83"/>
        <v/>
      </c>
      <c r="F110" s="73" t="str">
        <f t="shared" si="83"/>
        <v/>
      </c>
      <c r="G110" s="73" t="str">
        <f t="shared" si="83"/>
        <v/>
      </c>
      <c r="H110" s="72" t="str">
        <f t="shared" si="83"/>
        <v/>
      </c>
      <c r="I110" s="73" t="str">
        <f t="shared" si="83"/>
        <v/>
      </c>
      <c r="J110" s="73" t="str">
        <f t="shared" si="83"/>
        <v/>
      </c>
      <c r="K110" s="72" t="str">
        <f t="shared" si="83"/>
        <v/>
      </c>
      <c r="L110" s="73" t="str">
        <f t="shared" si="83"/>
        <v/>
      </c>
      <c r="M110" s="73" t="str">
        <f t="shared" si="83"/>
        <v/>
      </c>
      <c r="N110" s="6"/>
    </row>
    <row r="111" spans="1:14" x14ac:dyDescent="0.25">
      <c r="A111" s="71" t="str">
        <f t="shared" si="71"/>
        <v/>
      </c>
      <c r="B111" s="72" t="str">
        <f t="shared" ref="B111:M111" si="84">IF(B75="","",B75/25.4)</f>
        <v/>
      </c>
      <c r="C111" s="73" t="str">
        <f t="shared" si="84"/>
        <v/>
      </c>
      <c r="D111" s="73" t="str">
        <f t="shared" si="84"/>
        <v/>
      </c>
      <c r="E111" s="72" t="str">
        <f t="shared" si="84"/>
        <v/>
      </c>
      <c r="F111" s="73" t="str">
        <f t="shared" si="84"/>
        <v/>
      </c>
      <c r="G111" s="73" t="str">
        <f t="shared" si="84"/>
        <v/>
      </c>
      <c r="H111" s="72" t="str">
        <f t="shared" si="84"/>
        <v/>
      </c>
      <c r="I111" s="73" t="str">
        <f t="shared" si="84"/>
        <v/>
      </c>
      <c r="J111" s="73" t="str">
        <f t="shared" si="84"/>
        <v/>
      </c>
      <c r="K111" s="72" t="str">
        <f t="shared" si="84"/>
        <v/>
      </c>
      <c r="L111" s="73" t="str">
        <f t="shared" si="84"/>
        <v/>
      </c>
      <c r="M111" s="73" t="str">
        <f t="shared" si="84"/>
        <v/>
      </c>
      <c r="N111" s="6"/>
    </row>
    <row r="112" spans="1:14" x14ac:dyDescent="0.25">
      <c r="A112" s="71" t="str">
        <f t="shared" si="71"/>
        <v/>
      </c>
      <c r="B112" s="72" t="str">
        <f t="shared" ref="B112:M112" si="85">IF(B76="","",B76/25.4)</f>
        <v/>
      </c>
      <c r="C112" s="73" t="str">
        <f t="shared" si="85"/>
        <v/>
      </c>
      <c r="D112" s="73" t="str">
        <f t="shared" si="85"/>
        <v/>
      </c>
      <c r="E112" s="72" t="str">
        <f t="shared" si="85"/>
        <v/>
      </c>
      <c r="F112" s="73" t="str">
        <f t="shared" si="85"/>
        <v/>
      </c>
      <c r="G112" s="73" t="str">
        <f t="shared" si="85"/>
        <v/>
      </c>
      <c r="H112" s="72" t="str">
        <f t="shared" si="85"/>
        <v/>
      </c>
      <c r="I112" s="73" t="str">
        <f t="shared" si="85"/>
        <v/>
      </c>
      <c r="J112" s="73" t="str">
        <f t="shared" si="85"/>
        <v/>
      </c>
      <c r="K112" s="72" t="str">
        <f t="shared" si="85"/>
        <v/>
      </c>
      <c r="L112" s="73" t="str">
        <f t="shared" si="85"/>
        <v/>
      </c>
      <c r="M112" s="73" t="str">
        <f t="shared" si="85"/>
        <v/>
      </c>
      <c r="N112" s="6"/>
    </row>
  </sheetData>
  <phoneticPr fontId="4" type="noConversion"/>
  <printOptions horizontalCentered="1"/>
  <pageMargins left="0.25" right="0.25" top="0.5" bottom="0.5" header="0" footer="0.5"/>
  <pageSetup orientation="landscape" horizontalDpi="360" verticalDpi="180" r:id="rId1"/>
  <headerFooter alignWithMargins="0">
    <oddHeader>&amp;A</oddHeader>
    <oddFooter>&amp;CPage &amp;P&amp;R&amp;D</oddFooter>
  </headerFooter>
  <rowBreaks count="2" manualBreakCount="2">
    <brk id="40" max="13" man="1"/>
    <brk id="76" max="1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5"/>
  <sheetViews>
    <sheetView topLeftCell="A43" zoomScaleNormal="100" workbookViewId="0">
      <selection activeCell="M14" sqref="M14"/>
    </sheetView>
  </sheetViews>
  <sheetFormatPr defaultColWidth="9.33203125" defaultRowHeight="13.2" x14ac:dyDescent="0.25"/>
  <cols>
    <col min="1" max="1" width="13.44140625" style="243" customWidth="1"/>
    <col min="2" max="1026" width="8.6640625" style="243" customWidth="1"/>
    <col min="1027" max="16384" width="9.33203125" style="243"/>
  </cols>
  <sheetData>
    <row r="1" spans="1:13" x14ac:dyDescent="0.25">
      <c r="B1" s="273" t="s">
        <v>59</v>
      </c>
      <c r="C1" s="273"/>
      <c r="D1" s="273" t="s">
        <v>181</v>
      </c>
      <c r="E1" s="273"/>
      <c r="F1" s="273"/>
      <c r="H1" s="274" t="s">
        <v>59</v>
      </c>
      <c r="I1" s="273"/>
      <c r="J1" s="273"/>
      <c r="K1" s="273"/>
      <c r="L1" s="273"/>
      <c r="M1" s="244"/>
    </row>
    <row r="2" spans="1:13" x14ac:dyDescent="0.25">
      <c r="B2" s="243" t="s">
        <v>182</v>
      </c>
      <c r="C2" s="243" t="s">
        <v>183</v>
      </c>
      <c r="D2" s="243" t="s">
        <v>182</v>
      </c>
      <c r="E2" s="243" t="s">
        <v>184</v>
      </c>
      <c r="F2" s="243" t="s">
        <v>184</v>
      </c>
      <c r="H2" s="245" t="s">
        <v>40</v>
      </c>
      <c r="I2" s="245" t="s">
        <v>41</v>
      </c>
      <c r="J2" s="260" t="s">
        <v>42</v>
      </c>
      <c r="K2" s="260" t="s">
        <v>308</v>
      </c>
      <c r="L2" s="260" t="s">
        <v>309</v>
      </c>
      <c r="M2" s="244"/>
    </row>
    <row r="3" spans="1:13" x14ac:dyDescent="0.25">
      <c r="A3" s="243" t="s">
        <v>185</v>
      </c>
      <c r="B3" s="263"/>
      <c r="C3" s="263"/>
      <c r="D3" s="263"/>
      <c r="E3" s="263"/>
      <c r="F3" s="263"/>
      <c r="G3" s="243" t="s">
        <v>14</v>
      </c>
      <c r="H3" s="249"/>
      <c r="I3" s="249"/>
      <c r="J3" s="249"/>
      <c r="K3" s="249" t="e">
        <f>I3/H3</f>
        <v>#DIV/0!</v>
      </c>
      <c r="L3" s="249">
        <f>H3*J3</f>
        <v>0</v>
      </c>
      <c r="M3" s="244"/>
    </row>
    <row r="4" spans="1:13" x14ac:dyDescent="0.25">
      <c r="A4" s="243" t="s">
        <v>186</v>
      </c>
      <c r="B4" s="263"/>
      <c r="C4" s="263"/>
      <c r="D4" s="263"/>
      <c r="E4" s="263"/>
      <c r="F4" s="263"/>
      <c r="G4" s="243" t="s">
        <v>50</v>
      </c>
      <c r="H4" s="249"/>
      <c r="I4" s="249"/>
      <c r="J4" s="249"/>
      <c r="K4" s="249" t="e">
        <f>I4/H4</f>
        <v>#DIV/0!</v>
      </c>
      <c r="L4" s="249">
        <f>H4*J4</f>
        <v>0</v>
      </c>
      <c r="M4" s="244"/>
    </row>
    <row r="5" spans="1:13" x14ac:dyDescent="0.25">
      <c r="A5" s="243" t="s">
        <v>187</v>
      </c>
      <c r="B5" s="263"/>
      <c r="C5" s="263"/>
      <c r="D5" s="263"/>
      <c r="E5" s="263"/>
      <c r="F5" s="263"/>
      <c r="H5" s="275" t="s">
        <v>181</v>
      </c>
      <c r="I5" s="276"/>
      <c r="J5" s="276"/>
      <c r="K5" s="276"/>
      <c r="L5" s="276"/>
      <c r="M5" s="244"/>
    </row>
    <row r="6" spans="1:13" x14ac:dyDescent="0.25">
      <c r="A6" s="243" t="s">
        <v>188</v>
      </c>
      <c r="B6" s="263"/>
      <c r="C6" s="263"/>
      <c r="D6" s="263"/>
      <c r="E6" s="263"/>
      <c r="F6" s="263"/>
      <c r="H6" s="245" t="s">
        <v>40</v>
      </c>
      <c r="I6" s="245" t="s">
        <v>41</v>
      </c>
      <c r="J6" s="260" t="s">
        <v>42</v>
      </c>
      <c r="K6" s="260" t="s">
        <v>308</v>
      </c>
      <c r="L6" s="260" t="s">
        <v>309</v>
      </c>
      <c r="M6" s="244"/>
    </row>
    <row r="7" spans="1:13" x14ac:dyDescent="0.25">
      <c r="A7" s="243" t="s">
        <v>189</v>
      </c>
      <c r="B7" s="264"/>
      <c r="C7" s="263"/>
      <c r="D7" s="264"/>
      <c r="E7" s="263"/>
      <c r="F7" s="263"/>
      <c r="G7" s="243" t="s">
        <v>14</v>
      </c>
      <c r="H7" s="249"/>
      <c r="I7" s="249"/>
      <c r="J7" s="249"/>
      <c r="K7" s="249" t="e">
        <f>I7/H7</f>
        <v>#DIV/0!</v>
      </c>
      <c r="L7" s="249">
        <f>H7*J7</f>
        <v>0</v>
      </c>
      <c r="M7" s="244"/>
    </row>
    <row r="8" spans="1:13" x14ac:dyDescent="0.25">
      <c r="G8" s="243" t="s">
        <v>50</v>
      </c>
      <c r="H8" s="249"/>
      <c r="I8" s="249"/>
      <c r="J8" s="249"/>
      <c r="K8" s="249" t="e">
        <f>I8/H8</f>
        <v>#DIV/0!</v>
      </c>
      <c r="L8" s="249">
        <f>H8*J8</f>
        <v>0</v>
      </c>
      <c r="M8" s="244"/>
    </row>
    <row r="9" spans="1:13" x14ac:dyDescent="0.25">
      <c r="A9" s="243" t="s">
        <v>295</v>
      </c>
      <c r="B9" s="261">
        <v>40</v>
      </c>
      <c r="M9" s="246"/>
    </row>
    <row r="10" spans="1:13" x14ac:dyDescent="0.25">
      <c r="A10" s="243" t="s">
        <v>296</v>
      </c>
      <c r="B10" s="262">
        <v>10000</v>
      </c>
      <c r="C10" s="243" t="s">
        <v>190</v>
      </c>
    </row>
    <row r="12" spans="1:13" x14ac:dyDescent="0.25">
      <c r="B12" s="243" t="s">
        <v>191</v>
      </c>
      <c r="C12" s="243" t="s">
        <v>192</v>
      </c>
      <c r="D12" s="243" t="s">
        <v>193</v>
      </c>
      <c r="E12" s="243" t="s">
        <v>194</v>
      </c>
      <c r="F12" s="243" t="s">
        <v>62</v>
      </c>
      <c r="G12" s="243" t="s">
        <v>73</v>
      </c>
    </row>
    <row r="13" spans="1:13" x14ac:dyDescent="0.25">
      <c r="A13" s="243" t="s">
        <v>195</v>
      </c>
      <c r="B13" s="263"/>
      <c r="C13" s="263"/>
      <c r="D13" s="265"/>
      <c r="E13" s="263"/>
      <c r="F13" s="263"/>
      <c r="G13" s="263"/>
    </row>
    <row r="14" spans="1:13" x14ac:dyDescent="0.25">
      <c r="A14" s="243" t="s">
        <v>196</v>
      </c>
      <c r="B14" s="263"/>
      <c r="C14" s="263"/>
      <c r="D14" s="265"/>
      <c r="E14" s="263"/>
      <c r="F14" s="263"/>
      <c r="G14" s="263"/>
    </row>
    <row r="15" spans="1:13" x14ac:dyDescent="0.25">
      <c r="A15" s="243" t="s">
        <v>197</v>
      </c>
      <c r="B15" s="263"/>
      <c r="C15" s="263"/>
      <c r="D15" s="265"/>
      <c r="E15" s="263"/>
      <c r="F15" s="263"/>
      <c r="G15" s="263"/>
    </row>
    <row r="16" spans="1:13" x14ac:dyDescent="0.25">
      <c r="A16" s="243" t="s">
        <v>198</v>
      </c>
      <c r="B16" s="263"/>
      <c r="C16" s="263"/>
      <c r="D16" s="265"/>
      <c r="E16" s="263"/>
      <c r="F16" s="263"/>
      <c r="G16" s="263"/>
    </row>
    <row r="17" spans="1:10" x14ac:dyDescent="0.25">
      <c r="A17" s="243" t="s">
        <v>199</v>
      </c>
      <c r="B17" s="263"/>
      <c r="C17" s="263"/>
      <c r="D17" s="265"/>
      <c r="E17" s="263"/>
      <c r="F17" s="263"/>
      <c r="G17" s="263"/>
    </row>
    <row r="18" spans="1:10" x14ac:dyDescent="0.25">
      <c r="A18" s="243" t="s">
        <v>200</v>
      </c>
      <c r="B18" s="263"/>
      <c r="C18" s="263"/>
      <c r="D18" s="265"/>
      <c r="E18" s="263"/>
      <c r="F18" s="263"/>
      <c r="G18" s="263"/>
    </row>
    <row r="19" spans="1:10" x14ac:dyDescent="0.25">
      <c r="A19" s="243" t="s">
        <v>201</v>
      </c>
      <c r="B19" s="263"/>
      <c r="C19" s="263"/>
      <c r="D19" s="265"/>
      <c r="E19" s="263"/>
      <c r="F19" s="263"/>
      <c r="G19" s="263"/>
    </row>
    <row r="20" spans="1:10" x14ac:dyDescent="0.25">
      <c r="A20" s="243" t="s">
        <v>202</v>
      </c>
      <c r="B20" s="263"/>
      <c r="C20" s="263"/>
      <c r="D20" s="265"/>
      <c r="E20" s="263"/>
      <c r="F20" s="263"/>
      <c r="G20" s="263"/>
    </row>
    <row r="21" spans="1:10" x14ac:dyDescent="0.25">
      <c r="A21" s="243" t="s">
        <v>203</v>
      </c>
      <c r="B21" s="263"/>
      <c r="C21" s="263"/>
      <c r="D21" s="265"/>
      <c r="E21" s="263"/>
      <c r="F21" s="263"/>
      <c r="G21" s="263"/>
    </row>
    <row r="22" spans="1:10" x14ac:dyDescent="0.25">
      <c r="A22" s="243" t="s">
        <v>204</v>
      </c>
      <c r="B22" s="263"/>
      <c r="C22" s="263"/>
      <c r="D22" s="265"/>
      <c r="E22" s="263"/>
      <c r="F22" s="263"/>
      <c r="G22" s="263"/>
    </row>
    <row r="23" spans="1:10" x14ac:dyDescent="0.25">
      <c r="A23" s="243" t="s">
        <v>205</v>
      </c>
      <c r="B23" s="263"/>
      <c r="C23" s="263"/>
      <c r="D23" s="265"/>
      <c r="E23" s="263"/>
      <c r="F23" s="263"/>
      <c r="G23" s="263"/>
    </row>
    <row r="24" spans="1:10" x14ac:dyDescent="0.25">
      <c r="A24" s="243" t="s">
        <v>206</v>
      </c>
      <c r="B24" s="263"/>
      <c r="C24" s="263"/>
      <c r="D24" s="265"/>
      <c r="E24" s="263"/>
      <c r="F24" s="263"/>
      <c r="G24" s="263"/>
    </row>
    <row r="25" spans="1:10" x14ac:dyDescent="0.25">
      <c r="A25" s="243" t="s">
        <v>207</v>
      </c>
      <c r="B25" s="263"/>
      <c r="C25" s="263"/>
      <c r="D25" s="265"/>
      <c r="E25" s="263"/>
      <c r="F25" s="263"/>
      <c r="G25" s="263"/>
    </row>
    <row r="26" spans="1:10" x14ac:dyDescent="0.25">
      <c r="G26" s="243" t="s">
        <v>48</v>
      </c>
      <c r="H26" s="243" t="s">
        <v>50</v>
      </c>
      <c r="J26" s="246"/>
    </row>
    <row r="27" spans="1:10" x14ac:dyDescent="0.25">
      <c r="B27" s="243" t="s">
        <v>208</v>
      </c>
      <c r="C27" s="243" t="s">
        <v>209</v>
      </c>
      <c r="D27" s="243" t="s">
        <v>210</v>
      </c>
      <c r="E27" s="243" t="s">
        <v>211</v>
      </c>
      <c r="F27" s="243" t="s">
        <v>212</v>
      </c>
      <c r="G27" s="243" t="s">
        <v>213</v>
      </c>
      <c r="H27" s="243" t="s">
        <v>213</v>
      </c>
      <c r="J27" s="246"/>
    </row>
    <row r="28" spans="1:10" x14ac:dyDescent="0.25">
      <c r="A28" s="243" t="str">
        <f>IF(A13="","",A13)</f>
        <v>Wall A</v>
      </c>
      <c r="B28" s="263"/>
      <c r="C28" s="263"/>
      <c r="D28" s="251" t="e">
        <f>B28*$B$10*(C28^2/D13^2)+12/(D13^2)</f>
        <v>#DIV/0!</v>
      </c>
      <c r="E28" s="252" t="e">
        <f>D28*$B$9/1000</f>
        <v>#DIV/0!</v>
      </c>
      <c r="F28" s="252" t="e">
        <f t="shared" ref="F28:F40" si="0">F13/(G13*E28)</f>
        <v>#DIV/0!</v>
      </c>
      <c r="G28" s="251" t="e">
        <f>LN((F28^(-$J$7)+($I$7/$H$7))/(1+($I$7/$H$7)))/($H$7*$J$7)</f>
        <v>#DIV/0!</v>
      </c>
      <c r="H28" s="266"/>
      <c r="I28" s="253" t="e">
        <f t="shared" ref="I28:I38" si="1">LOOKUP(G28,mm_value,minimum_Pb)</f>
        <v>#DIV/0!</v>
      </c>
      <c r="J28" s="246"/>
    </row>
    <row r="29" spans="1:10" x14ac:dyDescent="0.25">
      <c r="A29" s="243" t="str">
        <f t="shared" ref="A29:A40" si="2">IF(A14="","",A14)</f>
        <v>Wall A (Hall)</v>
      </c>
      <c r="B29" s="263"/>
      <c r="C29" s="263"/>
      <c r="D29" s="251" t="e">
        <f t="shared" ref="D29:D40" si="3">B29*$B$10*(C29^2/D14^2)+12/(D14^2)</f>
        <v>#DIV/0!</v>
      </c>
      <c r="E29" s="252" t="e">
        <f t="shared" ref="E29:E40" si="4">D29*$B$9/1000</f>
        <v>#DIV/0!</v>
      </c>
      <c r="F29" s="252" t="e">
        <f t="shared" si="0"/>
        <v>#DIV/0!</v>
      </c>
      <c r="G29" s="251" t="e">
        <f t="shared" ref="G29:G38" si="5">LN((F29^(-$J$7)+($I$7/$H$7))/(1+($I$7/$H$7)))/($H$7*$J$7)</f>
        <v>#DIV/0!</v>
      </c>
      <c r="H29" s="266"/>
      <c r="I29" s="253" t="e">
        <f t="shared" si="1"/>
        <v>#DIV/0!</v>
      </c>
      <c r="J29" s="246"/>
    </row>
    <row r="30" spans="1:10" x14ac:dyDescent="0.25">
      <c r="A30" s="243" t="str">
        <f t="shared" si="2"/>
        <v>Wall A (Tech)</v>
      </c>
      <c r="B30" s="263"/>
      <c r="C30" s="263"/>
      <c r="D30" s="251" t="e">
        <f t="shared" si="3"/>
        <v>#DIV/0!</v>
      </c>
      <c r="E30" s="252" t="e">
        <f t="shared" si="4"/>
        <v>#DIV/0!</v>
      </c>
      <c r="F30" s="252" t="e">
        <f t="shared" si="0"/>
        <v>#DIV/0!</v>
      </c>
      <c r="G30" s="251" t="e">
        <f t="shared" si="5"/>
        <v>#DIV/0!</v>
      </c>
      <c r="H30" s="266"/>
      <c r="I30" s="253" t="e">
        <f t="shared" si="1"/>
        <v>#DIV/0!</v>
      </c>
      <c r="J30" s="246"/>
    </row>
    <row r="31" spans="1:10" x14ac:dyDescent="0.25">
      <c r="A31" s="243" t="str">
        <f t="shared" si="2"/>
        <v>Door A</v>
      </c>
      <c r="B31" s="263"/>
      <c r="C31" s="263"/>
      <c r="D31" s="251" t="e">
        <f t="shared" si="3"/>
        <v>#DIV/0!</v>
      </c>
      <c r="E31" s="252" t="e">
        <f t="shared" si="4"/>
        <v>#DIV/0!</v>
      </c>
      <c r="F31" s="252" t="e">
        <f t="shared" si="0"/>
        <v>#DIV/0!</v>
      </c>
      <c r="G31" s="251" t="e">
        <f t="shared" si="5"/>
        <v>#DIV/0!</v>
      </c>
      <c r="H31" s="266"/>
      <c r="I31" s="253" t="e">
        <f t="shared" si="1"/>
        <v>#DIV/0!</v>
      </c>
      <c r="J31" s="246"/>
    </row>
    <row r="32" spans="1:10" x14ac:dyDescent="0.25">
      <c r="A32" s="243" t="str">
        <f t="shared" si="2"/>
        <v>Wall B</v>
      </c>
      <c r="B32" s="263"/>
      <c r="C32" s="263"/>
      <c r="D32" s="251" t="e">
        <f t="shared" si="3"/>
        <v>#DIV/0!</v>
      </c>
      <c r="E32" s="252" t="e">
        <f t="shared" si="4"/>
        <v>#DIV/0!</v>
      </c>
      <c r="F32" s="252" t="e">
        <f t="shared" si="0"/>
        <v>#DIV/0!</v>
      </c>
      <c r="G32" s="251" t="e">
        <f t="shared" si="5"/>
        <v>#DIV/0!</v>
      </c>
      <c r="H32" s="266"/>
      <c r="I32" s="253" t="e">
        <f t="shared" si="1"/>
        <v>#DIV/0!</v>
      </c>
      <c r="J32" s="246"/>
    </row>
    <row r="33" spans="1:20" x14ac:dyDescent="0.25">
      <c r="A33" s="243" t="str">
        <f t="shared" si="2"/>
        <v>Wall C</v>
      </c>
      <c r="B33" s="263"/>
      <c r="C33" s="263"/>
      <c r="D33" s="251" t="e">
        <f t="shared" si="3"/>
        <v>#DIV/0!</v>
      </c>
      <c r="E33" s="252" t="e">
        <f t="shared" si="4"/>
        <v>#DIV/0!</v>
      </c>
      <c r="F33" s="252" t="e">
        <f t="shared" si="0"/>
        <v>#DIV/0!</v>
      </c>
      <c r="G33" s="251" t="e">
        <f t="shared" si="5"/>
        <v>#DIV/0!</v>
      </c>
      <c r="H33" s="266"/>
      <c r="I33" s="253" t="e">
        <f t="shared" si="1"/>
        <v>#DIV/0!</v>
      </c>
      <c r="J33" s="246"/>
    </row>
    <row r="34" spans="1:20" x14ac:dyDescent="0.25">
      <c r="A34" s="243" t="str">
        <f t="shared" si="2"/>
        <v>Wall D</v>
      </c>
      <c r="B34" s="263"/>
      <c r="C34" s="263"/>
      <c r="D34" s="251" t="e">
        <f t="shared" si="3"/>
        <v>#DIV/0!</v>
      </c>
      <c r="E34" s="252" t="e">
        <f t="shared" si="4"/>
        <v>#DIV/0!</v>
      </c>
      <c r="F34" s="252" t="e">
        <f t="shared" si="0"/>
        <v>#DIV/0!</v>
      </c>
      <c r="G34" s="251" t="e">
        <f t="shared" si="5"/>
        <v>#DIV/0!</v>
      </c>
      <c r="H34" s="266"/>
      <c r="I34" s="253" t="e">
        <f t="shared" si="1"/>
        <v>#DIV/0!</v>
      </c>
      <c r="J34" s="246"/>
    </row>
    <row r="35" spans="1:20" x14ac:dyDescent="0.25">
      <c r="A35" s="243" t="str">
        <f t="shared" si="2"/>
        <v>Door D</v>
      </c>
      <c r="B35" s="263"/>
      <c r="C35" s="263"/>
      <c r="D35" s="251" t="e">
        <f t="shared" si="3"/>
        <v>#DIV/0!</v>
      </c>
      <c r="E35" s="252" t="e">
        <f t="shared" si="4"/>
        <v>#DIV/0!</v>
      </c>
      <c r="F35" s="252" t="e">
        <f t="shared" si="0"/>
        <v>#DIV/0!</v>
      </c>
      <c r="G35" s="251" t="e">
        <f t="shared" si="5"/>
        <v>#DIV/0!</v>
      </c>
      <c r="H35" s="266"/>
      <c r="I35" s="253" t="e">
        <f t="shared" si="1"/>
        <v>#DIV/0!</v>
      </c>
      <c r="J35" s="246"/>
    </row>
    <row r="36" spans="1:20" x14ac:dyDescent="0.25">
      <c r="A36" s="243" t="str">
        <f t="shared" si="2"/>
        <v>Wall D (CT)</v>
      </c>
      <c r="B36" s="263"/>
      <c r="C36" s="263"/>
      <c r="D36" s="251" t="e">
        <f t="shared" si="3"/>
        <v>#DIV/0!</v>
      </c>
      <c r="E36" s="252" t="e">
        <f t="shared" si="4"/>
        <v>#DIV/0!</v>
      </c>
      <c r="F36" s="252" t="e">
        <f t="shared" si="0"/>
        <v>#DIV/0!</v>
      </c>
      <c r="G36" s="251" t="e">
        <f t="shared" si="5"/>
        <v>#DIV/0!</v>
      </c>
      <c r="H36" s="266"/>
      <c r="I36" s="253" t="e">
        <f t="shared" si="1"/>
        <v>#DIV/0!</v>
      </c>
      <c r="J36" s="246"/>
    </row>
    <row r="37" spans="1:20" x14ac:dyDescent="0.25">
      <c r="A37" s="243" t="str">
        <f t="shared" si="2"/>
        <v>Wall D(CT)</v>
      </c>
      <c r="B37" s="263"/>
      <c r="C37" s="263"/>
      <c r="D37" s="251" t="e">
        <f t="shared" si="3"/>
        <v>#DIV/0!</v>
      </c>
      <c r="E37" s="252" t="e">
        <f t="shared" si="4"/>
        <v>#DIV/0!</v>
      </c>
      <c r="F37" s="252" t="e">
        <f t="shared" si="0"/>
        <v>#DIV/0!</v>
      </c>
      <c r="G37" s="251" t="e">
        <f t="shared" si="5"/>
        <v>#DIV/0!</v>
      </c>
      <c r="H37" s="266"/>
      <c r="I37" s="253" t="e">
        <f t="shared" si="1"/>
        <v>#DIV/0!</v>
      </c>
      <c r="J37" s="246"/>
    </row>
    <row r="38" spans="1:20" x14ac:dyDescent="0.25">
      <c r="A38" s="243" t="str">
        <f t="shared" si="2"/>
        <v>Control</v>
      </c>
      <c r="B38" s="263"/>
      <c r="C38" s="263"/>
      <c r="D38" s="251" t="e">
        <f t="shared" si="3"/>
        <v>#DIV/0!</v>
      </c>
      <c r="E38" s="252" t="e">
        <f t="shared" si="4"/>
        <v>#DIV/0!</v>
      </c>
      <c r="F38" s="252" t="e">
        <f t="shared" si="0"/>
        <v>#DIV/0!</v>
      </c>
      <c r="G38" s="251" t="e">
        <f t="shared" si="5"/>
        <v>#DIV/0!</v>
      </c>
      <c r="H38" s="266"/>
      <c r="I38" s="253" t="e">
        <f t="shared" si="1"/>
        <v>#DIV/0!</v>
      </c>
      <c r="J38" s="246"/>
    </row>
    <row r="39" spans="1:20" x14ac:dyDescent="0.25">
      <c r="A39" s="243" t="str">
        <f t="shared" si="2"/>
        <v>Floor</v>
      </c>
      <c r="B39" s="263"/>
      <c r="C39" s="263"/>
      <c r="D39" s="251" t="e">
        <f t="shared" si="3"/>
        <v>#DIV/0!</v>
      </c>
      <c r="E39" s="252" t="e">
        <f t="shared" si="4"/>
        <v>#DIV/0!</v>
      </c>
      <c r="F39" s="252" t="e">
        <f t="shared" si="0"/>
        <v>#DIV/0!</v>
      </c>
      <c r="G39" s="266"/>
      <c r="H39" s="250" t="e">
        <f>LN((F39^-$J$8+($I$8/$H$8))/(1+($I$8/$H$8)))/($H$8*$J$8)</f>
        <v>#DIV/0!</v>
      </c>
      <c r="I39" s="266"/>
      <c r="J39" s="246"/>
    </row>
    <row r="40" spans="1:20" x14ac:dyDescent="0.25">
      <c r="A40" s="243" t="str">
        <f t="shared" si="2"/>
        <v>Ceiling</v>
      </c>
      <c r="B40" s="263"/>
      <c r="C40" s="263"/>
      <c r="D40" s="251" t="e">
        <f t="shared" si="3"/>
        <v>#DIV/0!</v>
      </c>
      <c r="E40" s="252" t="e">
        <f t="shared" si="4"/>
        <v>#DIV/0!</v>
      </c>
      <c r="F40" s="252" t="e">
        <f t="shared" si="0"/>
        <v>#DIV/0!</v>
      </c>
      <c r="G40" s="266"/>
      <c r="H40" s="250" t="e">
        <f>LN((F40^-$J$8+($I$8/$H$8))/(1+($I$8/$H$8)))/($H$8*$J$8)</f>
        <v>#DIV/0!</v>
      </c>
      <c r="I40" s="266"/>
      <c r="J40" s="246"/>
    </row>
    <row r="41" spans="1:20" x14ac:dyDescent="0.25">
      <c r="J41" s="246"/>
    </row>
    <row r="42" spans="1:20" x14ac:dyDescent="0.25">
      <c r="B42" s="243" t="s">
        <v>214</v>
      </c>
      <c r="C42" s="243" t="s">
        <v>211</v>
      </c>
      <c r="D42" s="243" t="s">
        <v>215</v>
      </c>
      <c r="E42" s="243" t="s">
        <v>212</v>
      </c>
      <c r="F42" s="243" t="s">
        <v>216</v>
      </c>
      <c r="G42" s="243" t="s">
        <v>213</v>
      </c>
      <c r="H42" s="243" t="s">
        <v>213</v>
      </c>
    </row>
    <row r="43" spans="1:20" x14ac:dyDescent="0.25">
      <c r="A43" s="243" t="str">
        <f>IF(A28="","",A28)</f>
        <v>Wall A</v>
      </c>
      <c r="B43" s="249"/>
      <c r="C43" s="252" t="e">
        <f t="shared" ref="C43:C55" si="6">$F$6*$B$9/(D13^2)</f>
        <v>#DIV/0!</v>
      </c>
      <c r="D43" s="249"/>
      <c r="E43" s="252" t="e">
        <f t="shared" ref="E43:E55" si="7">F13/(G13*C43)</f>
        <v>#DIV/0!</v>
      </c>
      <c r="F43" s="249"/>
      <c r="G43" s="251" t="e">
        <f>LN((E43^(-$J$7)+($I$7/$H$7))/(1+($I$7/$H$7)))/($H$7*$J$7)</f>
        <v>#DIV/0!</v>
      </c>
      <c r="H43" s="251"/>
      <c r="T43" s="248"/>
    </row>
    <row r="44" spans="1:20" x14ac:dyDescent="0.25">
      <c r="A44" s="243" t="str">
        <f t="shared" ref="A44:A55" si="8">IF(A29="","",A29)</f>
        <v>Wall A (Hall)</v>
      </c>
      <c r="B44" s="249"/>
      <c r="C44" s="252" t="e">
        <f t="shared" si="6"/>
        <v>#DIV/0!</v>
      </c>
      <c r="D44" s="249"/>
      <c r="E44" s="252" t="e">
        <f t="shared" si="7"/>
        <v>#DIV/0!</v>
      </c>
      <c r="F44" s="249"/>
      <c r="G44" s="251" t="e">
        <f t="shared" ref="G44:G45" si="9">LN((E44^-$J$7+($I$7/$H$7))/(1+($I$7/$H$7)))/($H$7*$J$7)</f>
        <v>#DIV/0!</v>
      </c>
      <c r="H44" s="251"/>
      <c r="T44" s="248"/>
    </row>
    <row r="45" spans="1:20" x14ac:dyDescent="0.25">
      <c r="A45" s="243" t="str">
        <f t="shared" si="8"/>
        <v>Wall A (Tech)</v>
      </c>
      <c r="B45" s="249"/>
      <c r="C45" s="252" t="e">
        <f t="shared" si="6"/>
        <v>#DIV/0!</v>
      </c>
      <c r="D45" s="249"/>
      <c r="E45" s="252" t="e">
        <f t="shared" si="7"/>
        <v>#DIV/0!</v>
      </c>
      <c r="F45" s="249"/>
      <c r="G45" s="251" t="e">
        <f t="shared" si="9"/>
        <v>#DIV/0!</v>
      </c>
      <c r="H45" s="251"/>
      <c r="T45" s="248"/>
    </row>
    <row r="46" spans="1:20" x14ac:dyDescent="0.25">
      <c r="A46" s="243" t="str">
        <f t="shared" si="8"/>
        <v>Door A</v>
      </c>
      <c r="B46" s="249"/>
      <c r="C46" s="252" t="e">
        <f t="shared" si="6"/>
        <v>#DIV/0!</v>
      </c>
      <c r="D46" s="249"/>
      <c r="E46" s="252" t="e">
        <f t="shared" si="7"/>
        <v>#DIV/0!</v>
      </c>
      <c r="F46" s="249"/>
      <c r="G46" s="251" t="e">
        <f>LN((E46^-$J$7+($I$7/$H$7))/(1+($I$7/$H$7)))/($H$7*$J$7)</f>
        <v>#DIV/0!</v>
      </c>
      <c r="H46" s="251"/>
      <c r="T46" s="248"/>
    </row>
    <row r="47" spans="1:20" x14ac:dyDescent="0.25">
      <c r="A47" s="243" t="str">
        <f t="shared" si="8"/>
        <v>Wall B</v>
      </c>
      <c r="B47" s="249"/>
      <c r="C47" s="252" t="e">
        <f t="shared" si="6"/>
        <v>#DIV/0!</v>
      </c>
      <c r="D47" s="249"/>
      <c r="E47" s="252" t="e">
        <f t="shared" si="7"/>
        <v>#DIV/0!</v>
      </c>
      <c r="F47" s="249"/>
      <c r="G47" s="251" t="e">
        <f>LN((E47^-$J$7+($I$7/$H$7))/(1+($I$7/$H$7)))/($H$7*$J$7)</f>
        <v>#DIV/0!</v>
      </c>
      <c r="H47" s="251"/>
      <c r="T47" s="248"/>
    </row>
    <row r="48" spans="1:20" x14ac:dyDescent="0.25">
      <c r="A48" s="243" t="str">
        <f t="shared" si="8"/>
        <v>Wall C</v>
      </c>
      <c r="B48" s="249"/>
      <c r="C48" s="252" t="e">
        <f t="shared" si="6"/>
        <v>#DIV/0!</v>
      </c>
      <c r="D48" s="249"/>
      <c r="E48" s="252" t="e">
        <f t="shared" si="7"/>
        <v>#DIV/0!</v>
      </c>
      <c r="F48" s="249"/>
      <c r="G48" s="251" t="e">
        <f>LN((E48^-$J$7+($I$7/$H$7))/(1+($I$7/$H$7)))/($H$7*$J$7)</f>
        <v>#DIV/0!</v>
      </c>
      <c r="H48" s="251"/>
      <c r="T48" s="248"/>
    </row>
    <row r="49" spans="1:20" x14ac:dyDescent="0.25">
      <c r="A49" s="243" t="str">
        <f t="shared" si="8"/>
        <v>Wall D</v>
      </c>
      <c r="B49" s="249"/>
      <c r="C49" s="252" t="e">
        <f t="shared" si="6"/>
        <v>#DIV/0!</v>
      </c>
      <c r="D49" s="249"/>
      <c r="E49" s="252" t="e">
        <f t="shared" si="7"/>
        <v>#DIV/0!</v>
      </c>
      <c r="F49" s="249"/>
      <c r="G49" s="251" t="e">
        <f t="shared" ref="G49:G52" si="10">LN((E49^-$J$7+($I$7/$H$7))/(1+($I$7/$H$7)))/($H$7*$J$7)</f>
        <v>#DIV/0!</v>
      </c>
      <c r="H49" s="251"/>
      <c r="T49" s="248"/>
    </row>
    <row r="50" spans="1:20" x14ac:dyDescent="0.25">
      <c r="A50" s="243" t="str">
        <f t="shared" si="8"/>
        <v>Door D</v>
      </c>
      <c r="B50" s="249"/>
      <c r="C50" s="252" t="e">
        <f t="shared" si="6"/>
        <v>#DIV/0!</v>
      </c>
      <c r="D50" s="249"/>
      <c r="E50" s="252" t="e">
        <f t="shared" si="7"/>
        <v>#DIV/0!</v>
      </c>
      <c r="F50" s="249"/>
      <c r="G50" s="251" t="e">
        <f t="shared" si="10"/>
        <v>#DIV/0!</v>
      </c>
      <c r="H50" s="251"/>
      <c r="T50" s="248"/>
    </row>
    <row r="51" spans="1:20" x14ac:dyDescent="0.25">
      <c r="A51" s="243" t="str">
        <f t="shared" si="8"/>
        <v>Wall D (CT)</v>
      </c>
      <c r="B51" s="249"/>
      <c r="C51" s="252" t="e">
        <f t="shared" si="6"/>
        <v>#DIV/0!</v>
      </c>
      <c r="D51" s="249"/>
      <c r="E51" s="252" t="e">
        <f t="shared" si="7"/>
        <v>#DIV/0!</v>
      </c>
      <c r="F51" s="249"/>
      <c r="G51" s="251" t="e">
        <f t="shared" si="10"/>
        <v>#DIV/0!</v>
      </c>
      <c r="H51" s="251"/>
      <c r="T51" s="248"/>
    </row>
    <row r="52" spans="1:20" x14ac:dyDescent="0.25">
      <c r="A52" s="243" t="str">
        <f t="shared" si="8"/>
        <v>Wall D(CT)</v>
      </c>
      <c r="B52" s="249"/>
      <c r="C52" s="252" t="e">
        <f t="shared" si="6"/>
        <v>#DIV/0!</v>
      </c>
      <c r="D52" s="249"/>
      <c r="E52" s="252" t="e">
        <f t="shared" si="7"/>
        <v>#DIV/0!</v>
      </c>
      <c r="F52" s="249"/>
      <c r="G52" s="251" t="e">
        <f t="shared" si="10"/>
        <v>#DIV/0!</v>
      </c>
      <c r="H52" s="251"/>
      <c r="T52" s="248"/>
    </row>
    <row r="53" spans="1:20" x14ac:dyDescent="0.25">
      <c r="A53" s="243" t="str">
        <f t="shared" si="8"/>
        <v>Control</v>
      </c>
      <c r="B53" s="249"/>
      <c r="C53" s="252" t="e">
        <f t="shared" si="6"/>
        <v>#DIV/0!</v>
      </c>
      <c r="D53" s="249"/>
      <c r="E53" s="252" t="e">
        <f t="shared" si="7"/>
        <v>#DIV/0!</v>
      </c>
      <c r="F53" s="249"/>
      <c r="G53" s="251" t="e">
        <f>LN((E53^-$J$7+($I$7/$H$7))/(1+($I$7/$H$7)))/($H$7*$J$7)</f>
        <v>#DIV/0!</v>
      </c>
      <c r="H53" s="251"/>
      <c r="T53" s="248"/>
    </row>
    <row r="54" spans="1:20" x14ac:dyDescent="0.25">
      <c r="A54" s="243" t="str">
        <f t="shared" si="8"/>
        <v>Floor</v>
      </c>
      <c r="B54" s="249"/>
      <c r="C54" s="252" t="e">
        <f t="shared" si="6"/>
        <v>#DIV/0!</v>
      </c>
      <c r="D54" s="249"/>
      <c r="E54" s="252" t="e">
        <f t="shared" si="7"/>
        <v>#DIV/0!</v>
      </c>
      <c r="F54" s="249"/>
      <c r="G54" s="249"/>
      <c r="H54" s="250" t="e">
        <f>LN((E54^-$J$8+($I$8/$H$8))/(1+($I$8/$H$8)))/($H$8*$J$8)</f>
        <v>#DIV/0!</v>
      </c>
      <c r="J54" s="247"/>
      <c r="T54" s="248"/>
    </row>
    <row r="55" spans="1:20" x14ac:dyDescent="0.25">
      <c r="A55" s="243" t="str">
        <f t="shared" si="8"/>
        <v>Ceiling</v>
      </c>
      <c r="B55" s="249"/>
      <c r="C55" s="252" t="e">
        <f t="shared" si="6"/>
        <v>#DIV/0!</v>
      </c>
      <c r="D55" s="249"/>
      <c r="E55" s="252" t="e">
        <f t="shared" si="7"/>
        <v>#DIV/0!</v>
      </c>
      <c r="F55" s="249"/>
      <c r="G55" s="249"/>
      <c r="H55" s="250" t="e">
        <f>LN((E55^-$J$8+($I$8/$H$8))/(1+($I$8/$H$8)))/($H$8*$J$8)</f>
        <v>#DIV/0!</v>
      </c>
      <c r="J55" s="247"/>
      <c r="T55" s="248"/>
    </row>
  </sheetData>
  <mergeCells count="4">
    <mergeCell ref="B1:C1"/>
    <mergeCell ref="D1:F1"/>
    <mergeCell ref="H1:L1"/>
    <mergeCell ref="H5:L5"/>
  </mergeCells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70"/>
  <sheetViews>
    <sheetView zoomScaleNormal="100" workbookViewId="0">
      <selection activeCell="C19" sqref="C19:C23"/>
    </sheetView>
  </sheetViews>
  <sheetFormatPr defaultColWidth="9.33203125" defaultRowHeight="13.2" x14ac:dyDescent="0.25"/>
  <cols>
    <col min="1" max="1" width="18.44140625" style="180" customWidth="1"/>
    <col min="2" max="2" width="10.6640625" style="180" customWidth="1"/>
    <col min="3" max="3" width="8.33203125" style="180" customWidth="1"/>
    <col min="4" max="4" width="13" style="180" customWidth="1"/>
    <col min="5" max="5" width="12.33203125" style="180" customWidth="1"/>
    <col min="6" max="6" width="14.109375" style="180" customWidth="1"/>
    <col min="7" max="7" width="13.77734375" style="180" customWidth="1"/>
    <col min="8" max="8" width="11.44140625" style="180" bestFit="1" customWidth="1"/>
    <col min="9" max="9" width="10.109375" style="180" bestFit="1" customWidth="1"/>
    <col min="10" max="10" width="9.33203125" style="180" customWidth="1"/>
    <col min="11" max="11" width="10.44140625" style="180" bestFit="1" customWidth="1"/>
    <col min="12" max="15" width="9.33203125" style="180" customWidth="1"/>
    <col min="16" max="16" width="11.44140625" style="180" bestFit="1" customWidth="1"/>
    <col min="17" max="16384" width="9.33203125" style="180"/>
  </cols>
  <sheetData>
    <row r="1" spans="1:25" x14ac:dyDescent="0.25">
      <c r="A1" s="179" t="s">
        <v>322</v>
      </c>
      <c r="B1" s="179"/>
      <c r="C1" s="179"/>
      <c r="D1" s="179"/>
      <c r="G1" s="272">
        <v>45301</v>
      </c>
      <c r="J1" s="223" t="s">
        <v>138</v>
      </c>
      <c r="K1" s="222"/>
      <c r="L1" s="222"/>
      <c r="M1" s="222"/>
      <c r="N1" s="222"/>
      <c r="O1" s="222"/>
      <c r="P1" s="222"/>
      <c r="Q1" s="222"/>
      <c r="R1" s="222"/>
      <c r="S1" s="221"/>
    </row>
    <row r="2" spans="1:25" x14ac:dyDescent="0.25">
      <c r="A2" s="181" t="s">
        <v>324</v>
      </c>
      <c r="B2" s="179"/>
      <c r="C2" s="179"/>
      <c r="D2" s="179"/>
      <c r="J2" s="232" t="s">
        <v>310</v>
      </c>
      <c r="S2" s="231"/>
    </row>
    <row r="3" spans="1:25" x14ac:dyDescent="0.25">
      <c r="A3" s="179" t="s">
        <v>312</v>
      </c>
      <c r="B3" s="179"/>
      <c r="C3" s="179"/>
      <c r="D3" s="179"/>
      <c r="J3" s="232" t="s">
        <v>139</v>
      </c>
      <c r="S3" s="231"/>
    </row>
    <row r="4" spans="1:25" x14ac:dyDescent="0.25">
      <c r="J4" s="232" t="s">
        <v>140</v>
      </c>
      <c r="S4" s="231"/>
    </row>
    <row r="5" spans="1:25" x14ac:dyDescent="0.25">
      <c r="J5" s="232" t="s">
        <v>175</v>
      </c>
      <c r="S5" s="231"/>
    </row>
    <row r="6" spans="1:25" x14ac:dyDescent="0.25">
      <c r="A6" s="179" t="s">
        <v>127</v>
      </c>
      <c r="B6" s="180" t="s">
        <v>322</v>
      </c>
      <c r="J6" s="232" t="s">
        <v>174</v>
      </c>
      <c r="S6" s="231"/>
    </row>
    <row r="7" spans="1:25" x14ac:dyDescent="0.25">
      <c r="J7" s="232"/>
      <c r="S7" s="231"/>
    </row>
    <row r="8" spans="1:25" ht="13.8" thickBot="1" x14ac:dyDescent="0.3">
      <c r="J8" s="230"/>
      <c r="K8" s="229"/>
      <c r="L8" s="229"/>
      <c r="M8" s="229"/>
      <c r="N8" s="229"/>
      <c r="O8" s="229"/>
      <c r="P8" s="229"/>
      <c r="Q8" s="229"/>
      <c r="R8" s="229"/>
      <c r="S8" s="226"/>
    </row>
    <row r="9" spans="1:25" ht="13.8" thickBot="1" x14ac:dyDescent="0.3">
      <c r="A9" s="179" t="s">
        <v>128</v>
      </c>
      <c r="B9" s="180" t="s">
        <v>323</v>
      </c>
    </row>
    <row r="10" spans="1:25" x14ac:dyDescent="0.25">
      <c r="J10" s="223" t="s">
        <v>141</v>
      </c>
      <c r="K10" s="222"/>
      <c r="L10" s="222"/>
      <c r="M10" s="222"/>
      <c r="N10" s="222"/>
      <c r="O10" s="222"/>
      <c r="P10" s="222"/>
      <c r="Q10" s="222"/>
      <c r="R10" s="222"/>
      <c r="S10" s="221"/>
    </row>
    <row r="11" spans="1:25" x14ac:dyDescent="0.25">
      <c r="J11" s="232" t="s">
        <v>142</v>
      </c>
      <c r="S11" s="231"/>
    </row>
    <row r="12" spans="1:25" x14ac:dyDescent="0.25">
      <c r="J12" s="232" t="s">
        <v>143</v>
      </c>
      <c r="S12" s="231"/>
    </row>
    <row r="13" spans="1:25" ht="13.8" thickBot="1" x14ac:dyDescent="0.3">
      <c r="A13" s="182" t="s">
        <v>129</v>
      </c>
      <c r="B13" s="183" t="s">
        <v>130</v>
      </c>
      <c r="C13" s="184"/>
      <c r="J13" s="232"/>
      <c r="S13" s="231"/>
    </row>
    <row r="14" spans="1:25" ht="13.8" thickTop="1" x14ac:dyDescent="0.25">
      <c r="A14" s="185"/>
      <c r="B14" s="186"/>
      <c r="C14" s="187"/>
      <c r="J14" s="232" t="s">
        <v>144</v>
      </c>
      <c r="S14" s="231"/>
    </row>
    <row r="15" spans="1:25" x14ac:dyDescent="0.25">
      <c r="A15" s="185"/>
      <c r="B15" s="186"/>
      <c r="C15" s="187"/>
      <c r="J15" s="232" t="s">
        <v>145</v>
      </c>
      <c r="S15" s="231"/>
    </row>
    <row r="16" spans="1:25" ht="13.8" thickBot="1" x14ac:dyDescent="0.3">
      <c r="A16" s="188"/>
      <c r="B16" s="190"/>
      <c r="C16" s="191"/>
      <c r="J16" s="230" t="s">
        <v>146</v>
      </c>
      <c r="K16" s="229"/>
      <c r="L16" s="229"/>
      <c r="M16" s="229"/>
      <c r="N16" s="229"/>
      <c r="O16" s="229"/>
      <c r="P16" s="229"/>
      <c r="Q16" s="229"/>
      <c r="R16" s="229"/>
      <c r="S16" s="226"/>
      <c r="X16" s="225" t="s">
        <v>317</v>
      </c>
      <c r="Y16" s="180">
        <v>1</v>
      </c>
    </row>
    <row r="17" spans="1:25" ht="13.8" thickBot="1" x14ac:dyDescent="0.3">
      <c r="X17" s="225" t="s">
        <v>318</v>
      </c>
      <c r="Y17" s="180">
        <v>0.7</v>
      </c>
    </row>
    <row r="18" spans="1:25" x14ac:dyDescent="0.25">
      <c r="A18" s="192" t="s">
        <v>131</v>
      </c>
      <c r="B18" s="193"/>
      <c r="C18" s="193"/>
      <c r="D18" s="193"/>
      <c r="E18" s="193"/>
      <c r="F18" s="193"/>
      <c r="G18" s="185"/>
      <c r="J18" s="223" t="s">
        <v>147</v>
      </c>
      <c r="K18" s="222"/>
      <c r="L18" s="222"/>
      <c r="M18" s="222"/>
      <c r="N18" s="221"/>
      <c r="P18" s="233"/>
      <c r="Q18" s="277" t="s">
        <v>170</v>
      </c>
      <c r="R18" s="277"/>
      <c r="S18" s="277"/>
      <c r="T18" s="277"/>
      <c r="U18" s="277"/>
      <c r="V18" s="278"/>
      <c r="X18" s="225" t="s">
        <v>319</v>
      </c>
      <c r="Y18" s="180">
        <f>C21</f>
        <v>0</v>
      </c>
    </row>
    <row r="19" spans="1:25" x14ac:dyDescent="0.25">
      <c r="A19" s="185"/>
      <c r="B19" s="225" t="s">
        <v>132</v>
      </c>
      <c r="C19" s="268"/>
      <c r="E19" s="225" t="s">
        <v>135</v>
      </c>
      <c r="F19" s="201">
        <f>+C19*C20*5</f>
        <v>0</v>
      </c>
      <c r="G19" s="185"/>
      <c r="J19" s="232" t="s">
        <v>148</v>
      </c>
      <c r="L19" s="203">
        <v>5</v>
      </c>
      <c r="M19" s="187" t="s">
        <v>173</v>
      </c>
      <c r="N19" s="231"/>
      <c r="P19" s="185"/>
      <c r="Q19" s="279" t="s">
        <v>169</v>
      </c>
      <c r="R19" s="279"/>
      <c r="S19" s="279"/>
      <c r="T19" s="280" t="s">
        <v>95</v>
      </c>
      <c r="U19" s="280"/>
      <c r="V19" s="281"/>
      <c r="X19" s="180" t="s">
        <v>320</v>
      </c>
      <c r="Y19" s="180" t="e">
        <f>(Y16*100)/(Y18*Y17)</f>
        <v>#DIV/0!</v>
      </c>
    </row>
    <row r="20" spans="1:25" ht="13.8" thickBot="1" x14ac:dyDescent="0.3">
      <c r="A20" s="185"/>
      <c r="B20" s="225" t="s">
        <v>133</v>
      </c>
      <c r="C20" s="268"/>
      <c r="E20" s="225" t="s">
        <v>136</v>
      </c>
      <c r="F20" s="201">
        <f>+F19*52</f>
        <v>0</v>
      </c>
      <c r="G20" s="185"/>
      <c r="J20" s="230" t="s">
        <v>149</v>
      </c>
      <c r="K20" s="229"/>
      <c r="L20" s="228">
        <v>1</v>
      </c>
      <c r="M20" s="227" t="s">
        <v>173</v>
      </c>
      <c r="N20" s="226"/>
      <c r="P20" s="26" t="s">
        <v>37</v>
      </c>
      <c r="Q20" s="13" t="s">
        <v>40</v>
      </c>
      <c r="R20" s="13" t="s">
        <v>41</v>
      </c>
      <c r="S20" s="211" t="s">
        <v>42</v>
      </c>
      <c r="T20" s="13" t="s">
        <v>40</v>
      </c>
      <c r="U20" s="13" t="s">
        <v>41</v>
      </c>
      <c r="V20" s="211" t="s">
        <v>42</v>
      </c>
    </row>
    <row r="21" spans="1:25" ht="13.8" thickBot="1" x14ac:dyDescent="0.3">
      <c r="A21" s="185"/>
      <c r="B21" s="225" t="s">
        <v>172</v>
      </c>
      <c r="C21" s="268"/>
      <c r="E21" s="225" t="s">
        <v>137</v>
      </c>
      <c r="F21" s="201">
        <f>+F20*C22</f>
        <v>0</v>
      </c>
      <c r="G21" s="185"/>
      <c r="P21" s="208">
        <v>100</v>
      </c>
      <c r="Q21" s="208">
        <v>2.5070000000000001</v>
      </c>
      <c r="R21" s="208">
        <v>15.33</v>
      </c>
      <c r="S21" s="208">
        <v>0.91239999999999999</v>
      </c>
      <c r="T21" s="208">
        <v>3.95E-2</v>
      </c>
      <c r="U21" s="208">
        <v>8.4400000000000003E-2</v>
      </c>
      <c r="V21" s="208">
        <v>0.51910000000000001</v>
      </c>
    </row>
    <row r="22" spans="1:25" x14ac:dyDescent="0.25">
      <c r="A22" s="185"/>
      <c r="B22" s="225" t="s">
        <v>134</v>
      </c>
      <c r="C22" s="268"/>
      <c r="E22" s="225" t="s">
        <v>171</v>
      </c>
      <c r="F22" s="224">
        <f>+F19*C22/60</f>
        <v>0</v>
      </c>
      <c r="G22" s="185"/>
      <c r="J22" s="223" t="s">
        <v>150</v>
      </c>
      <c r="K22" s="222"/>
      <c r="L22" s="221"/>
      <c r="P22" s="208">
        <v>125</v>
      </c>
      <c r="Q22" s="219">
        <v>2.2330000000000001</v>
      </c>
      <c r="R22" s="208">
        <v>7.8879999999999999</v>
      </c>
      <c r="S22" s="219">
        <v>0.72950000000000004</v>
      </c>
      <c r="T22" s="220">
        <v>3.5099999999999999E-2</v>
      </c>
      <c r="U22" s="208">
        <v>6.6000000000000003E-2</v>
      </c>
      <c r="V22" s="219">
        <v>0.78320000000000001</v>
      </c>
    </row>
    <row r="23" spans="1:25" x14ac:dyDescent="0.25">
      <c r="A23" s="188"/>
      <c r="B23" s="189" t="s">
        <v>115</v>
      </c>
      <c r="C23" s="268">
        <v>140</v>
      </c>
      <c r="D23" s="189"/>
      <c r="E23" s="189"/>
      <c r="F23" s="189"/>
      <c r="G23" s="185"/>
      <c r="J23" s="218" t="s">
        <v>151</v>
      </c>
      <c r="K23" s="195"/>
      <c r="L23" s="217">
        <v>0.27</v>
      </c>
      <c r="P23" s="208">
        <v>150</v>
      </c>
      <c r="Q23" s="208">
        <v>1.7909999999999999</v>
      </c>
      <c r="R23" s="208">
        <v>5.4779999999999998</v>
      </c>
      <c r="S23" s="208">
        <v>0.56779999999999997</v>
      </c>
      <c r="T23" s="208">
        <v>3.2399999999999998E-2</v>
      </c>
      <c r="U23" s="208">
        <v>7.7499999999999999E-2</v>
      </c>
      <c r="V23" s="208">
        <v>1.5660000000000001</v>
      </c>
    </row>
    <row r="24" spans="1:25" ht="13.8" thickBot="1" x14ac:dyDescent="0.3">
      <c r="J24" s="216" t="s">
        <v>152</v>
      </c>
      <c r="K24" s="215"/>
      <c r="L24" s="214">
        <v>0.79730000000000001</v>
      </c>
      <c r="P24" s="213"/>
      <c r="Q24" s="277" t="s">
        <v>170</v>
      </c>
      <c r="R24" s="277"/>
      <c r="S24" s="277"/>
      <c r="T24" s="277"/>
      <c r="U24" s="277"/>
      <c r="V24" s="278"/>
    </row>
    <row r="25" spans="1:25" x14ac:dyDescent="0.25">
      <c r="A25" s="192" t="s">
        <v>153</v>
      </c>
      <c r="B25" s="196"/>
      <c r="C25" s="196"/>
      <c r="D25" s="196"/>
      <c r="E25" s="196"/>
      <c r="F25" s="196"/>
      <c r="G25" s="196"/>
      <c r="H25" s="197"/>
      <c r="I25" s="179"/>
      <c r="P25" s="185"/>
      <c r="Q25" s="201" t="s">
        <v>169</v>
      </c>
      <c r="R25" s="201"/>
      <c r="S25" s="201"/>
      <c r="T25" t="s">
        <v>95</v>
      </c>
      <c r="U25"/>
      <c r="V25" s="212"/>
    </row>
    <row r="26" spans="1:25" x14ac:dyDescent="0.25">
      <c r="A26" s="234"/>
      <c r="B26" s="210"/>
      <c r="C26" s="210"/>
      <c r="D26" s="210"/>
      <c r="E26" s="210" t="s">
        <v>154</v>
      </c>
      <c r="F26" s="210"/>
      <c r="G26" s="210"/>
      <c r="H26" s="209" t="s">
        <v>155</v>
      </c>
      <c r="L26" s="180" t="s">
        <v>113</v>
      </c>
      <c r="P26" s="26" t="s">
        <v>37</v>
      </c>
      <c r="Q26" s="211" t="s">
        <v>40</v>
      </c>
      <c r="R26" s="211" t="s">
        <v>41</v>
      </c>
      <c r="S26" s="211" t="s">
        <v>42</v>
      </c>
      <c r="T26" s="211" t="s">
        <v>40</v>
      </c>
      <c r="U26" s="211" t="s">
        <v>41</v>
      </c>
      <c r="V26" s="211" t="s">
        <v>42</v>
      </c>
    </row>
    <row r="27" spans="1:25" ht="12.75" customHeight="1" x14ac:dyDescent="0.25">
      <c r="A27" s="234"/>
      <c r="B27" s="210" t="s">
        <v>112</v>
      </c>
      <c r="C27" s="201"/>
      <c r="D27" s="210"/>
      <c r="E27" s="210" t="s">
        <v>156</v>
      </c>
      <c r="F27" s="210" t="s">
        <v>157</v>
      </c>
      <c r="G27" s="210" t="s">
        <v>157</v>
      </c>
      <c r="H27" s="209" t="s">
        <v>48</v>
      </c>
      <c r="J27" s="282" t="s">
        <v>159</v>
      </c>
      <c r="K27" s="180" t="s">
        <v>154</v>
      </c>
      <c r="L27" s="180" t="s">
        <v>158</v>
      </c>
      <c r="P27" s="208">
        <f>C23</f>
        <v>140</v>
      </c>
      <c r="Q27" s="208">
        <f>NCRP147_C1!$B$57*(P27^2) + NCRP147_C1!$C$57*P27 + NCRP147_C1!$D$57</f>
        <v>1.9879600000000006</v>
      </c>
      <c r="R27" s="208">
        <f>NCRP147_C1!$E$57*(P27^2)+NCRP147_C1!$F$57*P27+NCRP147_C1!G57</f>
        <v>5.838160000000002</v>
      </c>
      <c r="S27" s="208">
        <f>NCRP147_C1!$H$57*P27^2+NCRP147_C1!$I$57*P27 + NCRP147_C1!$J$57</f>
        <v>0.62993599999999983</v>
      </c>
      <c r="T27" s="208">
        <f>NCRP147_C1!$B$64*P27^2 +NCRP147_C1!$C$64*P27 + NCRP147_C1!$D$64</f>
        <v>3.3275999999999986E-2</v>
      </c>
      <c r="U27" s="208">
        <f>NCRP147_C1!$E$64*P27^2+NCRP147_C1!$F$64*P27+NCRP147_C1!G64</f>
        <v>6.9311999999999874E-2</v>
      </c>
      <c r="V27" s="208">
        <f>NCRP147_C1!$H$64*P27^2+NCRP147_C1!$I$64*P27+NCRP147_C1!$J$64</f>
        <v>1.1906359999999978</v>
      </c>
    </row>
    <row r="28" spans="1:25" ht="13.8" thickBot="1" x14ac:dyDescent="0.3">
      <c r="A28" s="235" t="s">
        <v>160</v>
      </c>
      <c r="B28" s="207" t="s">
        <v>161</v>
      </c>
      <c r="C28" s="207" t="s">
        <v>74</v>
      </c>
      <c r="D28" s="207" t="s">
        <v>162</v>
      </c>
      <c r="E28" s="207" t="s">
        <v>163</v>
      </c>
      <c r="F28" s="207" t="s">
        <v>179</v>
      </c>
      <c r="G28" s="207" t="s">
        <v>164</v>
      </c>
      <c r="H28" s="206" t="s">
        <v>122</v>
      </c>
      <c r="J28" s="282"/>
      <c r="K28" s="180" t="s">
        <v>180</v>
      </c>
      <c r="L28" s="180" t="s">
        <v>163</v>
      </c>
      <c r="M28" s="180" t="s">
        <v>168</v>
      </c>
      <c r="O28" s="180" t="s">
        <v>167</v>
      </c>
      <c r="P28" s="180" t="s">
        <v>166</v>
      </c>
    </row>
    <row r="29" spans="1:25" x14ac:dyDescent="0.25">
      <c r="A29" s="236"/>
      <c r="B29" s="269"/>
      <c r="C29" s="177"/>
      <c r="D29" s="177"/>
      <c r="E29" s="201" t="str">
        <f t="shared" ref="E29:E44" si="0">IF(A29="","",IF(C29="U",$L$20,IF(OR(C29="",C29="C"),$L$19,"")))</f>
        <v/>
      </c>
      <c r="F29" s="177"/>
      <c r="G29" s="270"/>
      <c r="H29" s="204" t="e">
        <f t="shared" ref="H29:H44" si="1">O29</f>
        <v>#VALUE!</v>
      </c>
      <c r="J29" s="199" t="e">
        <f t="shared" ref="J29:J43" si="2">+(G29/B29)^2</f>
        <v>#DIV/0!</v>
      </c>
      <c r="K29" s="205" t="e">
        <f>+J29*(F29/1000)</f>
        <v>#DIV/0!</v>
      </c>
      <c r="L29" s="200" t="e">
        <f>IF(AND($F$21="",K29=""),"",$F$21*K29)</f>
        <v>#DIV/0!</v>
      </c>
      <c r="M29" s="199" t="e">
        <f t="shared" ref="M29:M44" si="3">+E29/(D29*L29)</f>
        <v>#VALUE!</v>
      </c>
      <c r="N29" s="199" t="e">
        <f t="shared" ref="N29:N44" si="4">(LN(M29)/LN(2))*$L$23</f>
        <v>#VALUE!</v>
      </c>
      <c r="O29" s="198" t="e">
        <f>IF(M29&gt;1,0,LN((M29^(-$S$27)+($R$27/$Q$27))/(1+($R$27/$Q$27)))/($Q$27*$S$27))</f>
        <v>#VALUE!</v>
      </c>
      <c r="P29" s="198" t="e">
        <f>IF(M29&gt;1,0,LN((M29^(-$V$27)+($U$27/$T$27))/(1+($U$27/$T$27)))/($T$27*$V$27))</f>
        <v>#VALUE!</v>
      </c>
    </row>
    <row r="30" spans="1:25" x14ac:dyDescent="0.25">
      <c r="A30" s="236"/>
      <c r="B30" s="269"/>
      <c r="C30" s="177"/>
      <c r="D30" s="177"/>
      <c r="E30" s="201" t="str">
        <f t="shared" si="0"/>
        <v/>
      </c>
      <c r="F30" s="177"/>
      <c r="G30" s="270"/>
      <c r="H30" s="204" t="e">
        <f t="shared" si="1"/>
        <v>#VALUE!</v>
      </c>
      <c r="J30" s="199" t="e">
        <f t="shared" si="2"/>
        <v>#DIV/0!</v>
      </c>
      <c r="K30" s="205" t="e">
        <f t="shared" ref="K30:K44" si="5">+J30*(F30/1000)</f>
        <v>#DIV/0!</v>
      </c>
      <c r="L30" s="200" t="e">
        <f t="shared" ref="L30:L44" si="6">IF(AND($F$21="",K30=""),"",$F$21*K30)</f>
        <v>#DIV/0!</v>
      </c>
      <c r="M30" s="199" t="e">
        <f t="shared" si="3"/>
        <v>#VALUE!</v>
      </c>
      <c r="N30" s="199" t="e">
        <f t="shared" si="4"/>
        <v>#VALUE!</v>
      </c>
      <c r="O30" s="198" t="e">
        <f t="shared" ref="O30:O44" si="7">IF(M30&gt;1,0,LN((M30^(-$S$27)+($R$27/$Q$27))/(1+($R$27/$Q$27)))/($Q$27*$S$27))</f>
        <v>#VALUE!</v>
      </c>
      <c r="P30" s="198" t="e">
        <f t="shared" ref="P30:P44" si="8">IF(M30&gt;1,0,LN((M30^(-$V$27)+($U$27/$T$27))/(1+($U$27/$T$27)))/($T$27*$V$27))</f>
        <v>#VALUE!</v>
      </c>
    </row>
    <row r="31" spans="1:25" x14ac:dyDescent="0.25">
      <c r="A31" s="236"/>
      <c r="B31" s="269"/>
      <c r="C31" s="177"/>
      <c r="D31" s="177"/>
      <c r="E31" s="201" t="str">
        <f t="shared" si="0"/>
        <v/>
      </c>
      <c r="F31" s="177"/>
      <c r="G31" s="270"/>
      <c r="H31" s="204" t="e">
        <f t="shared" si="1"/>
        <v>#VALUE!</v>
      </c>
      <c r="J31" s="199" t="e">
        <f t="shared" si="2"/>
        <v>#DIV/0!</v>
      </c>
      <c r="K31" s="205" t="e">
        <f t="shared" si="5"/>
        <v>#DIV/0!</v>
      </c>
      <c r="L31" s="200" t="e">
        <f t="shared" si="6"/>
        <v>#DIV/0!</v>
      </c>
      <c r="M31" s="199" t="e">
        <f t="shared" si="3"/>
        <v>#VALUE!</v>
      </c>
      <c r="N31" s="199" t="e">
        <f t="shared" si="4"/>
        <v>#VALUE!</v>
      </c>
      <c r="O31" s="198" t="e">
        <f t="shared" si="7"/>
        <v>#VALUE!</v>
      </c>
      <c r="P31" s="198" t="e">
        <f>IF(M31&gt;1,0,LN((M31^(-$V$27)+($U$27/$T$27))/(1+($U$27/$T$27)))/($T$27*$V$27))</f>
        <v>#VALUE!</v>
      </c>
    </row>
    <row r="32" spans="1:25" x14ac:dyDescent="0.25">
      <c r="A32" s="236"/>
      <c r="B32" s="269"/>
      <c r="C32" s="177"/>
      <c r="D32" s="177"/>
      <c r="E32" s="201" t="str">
        <f t="shared" si="0"/>
        <v/>
      </c>
      <c r="F32" s="177"/>
      <c r="G32" s="270"/>
      <c r="H32" s="204" t="e">
        <f t="shared" si="1"/>
        <v>#VALUE!</v>
      </c>
      <c r="J32" s="199" t="e">
        <f t="shared" si="2"/>
        <v>#DIV/0!</v>
      </c>
      <c r="K32" s="205" t="e">
        <f t="shared" si="5"/>
        <v>#DIV/0!</v>
      </c>
      <c r="L32" s="200" t="e">
        <f t="shared" si="6"/>
        <v>#DIV/0!</v>
      </c>
      <c r="M32" s="199" t="e">
        <f t="shared" si="3"/>
        <v>#VALUE!</v>
      </c>
      <c r="N32" s="199" t="e">
        <f t="shared" si="4"/>
        <v>#VALUE!</v>
      </c>
      <c r="O32" s="198" t="e">
        <f t="shared" si="7"/>
        <v>#VALUE!</v>
      </c>
      <c r="P32" s="198" t="e">
        <f t="shared" si="8"/>
        <v>#VALUE!</v>
      </c>
    </row>
    <row r="33" spans="1:19" x14ac:dyDescent="0.25">
      <c r="A33" s="236"/>
      <c r="B33" s="269"/>
      <c r="C33" s="177"/>
      <c r="D33" s="177"/>
      <c r="E33" s="201" t="str">
        <f t="shared" si="0"/>
        <v/>
      </c>
      <c r="F33" s="177"/>
      <c r="G33" s="270"/>
      <c r="H33" s="204" t="e">
        <f t="shared" si="1"/>
        <v>#VALUE!</v>
      </c>
      <c r="J33" s="199" t="e">
        <f t="shared" si="2"/>
        <v>#DIV/0!</v>
      </c>
      <c r="K33" s="205" t="e">
        <f t="shared" si="5"/>
        <v>#DIV/0!</v>
      </c>
      <c r="L33" s="200" t="e">
        <f t="shared" si="6"/>
        <v>#DIV/0!</v>
      </c>
      <c r="M33" s="199" t="e">
        <f t="shared" si="3"/>
        <v>#VALUE!</v>
      </c>
      <c r="N33" s="199" t="e">
        <f t="shared" si="4"/>
        <v>#VALUE!</v>
      </c>
      <c r="O33" s="198" t="e">
        <f t="shared" si="7"/>
        <v>#VALUE!</v>
      </c>
      <c r="P33" s="198" t="e">
        <f t="shared" si="8"/>
        <v>#VALUE!</v>
      </c>
    </row>
    <row r="34" spans="1:19" x14ac:dyDescent="0.25">
      <c r="A34" s="236"/>
      <c r="B34" s="269"/>
      <c r="C34" s="177"/>
      <c r="D34" s="177"/>
      <c r="E34" s="201" t="str">
        <f t="shared" si="0"/>
        <v/>
      </c>
      <c r="F34" s="177"/>
      <c r="G34" s="270"/>
      <c r="H34" s="204" t="e">
        <f t="shared" si="1"/>
        <v>#VALUE!</v>
      </c>
      <c r="J34" s="199" t="e">
        <f t="shared" si="2"/>
        <v>#DIV/0!</v>
      </c>
      <c r="K34" s="205" t="e">
        <f t="shared" si="5"/>
        <v>#DIV/0!</v>
      </c>
      <c r="L34" s="200" t="e">
        <f t="shared" si="6"/>
        <v>#DIV/0!</v>
      </c>
      <c r="M34" s="199" t="e">
        <f t="shared" si="3"/>
        <v>#VALUE!</v>
      </c>
      <c r="N34" s="199" t="e">
        <f t="shared" si="4"/>
        <v>#VALUE!</v>
      </c>
      <c r="O34" s="198" t="e">
        <f t="shared" si="7"/>
        <v>#VALUE!</v>
      </c>
      <c r="P34" s="198" t="e">
        <f t="shared" si="8"/>
        <v>#VALUE!</v>
      </c>
    </row>
    <row r="35" spans="1:19" x14ac:dyDescent="0.25">
      <c r="A35" s="236"/>
      <c r="B35" s="269"/>
      <c r="C35" s="177"/>
      <c r="D35" s="177"/>
      <c r="E35" s="201" t="str">
        <f t="shared" si="0"/>
        <v/>
      </c>
      <c r="F35" s="177"/>
      <c r="G35" s="270"/>
      <c r="H35" s="204" t="e">
        <f t="shared" si="1"/>
        <v>#VALUE!</v>
      </c>
      <c r="J35" s="199" t="e">
        <f t="shared" si="2"/>
        <v>#DIV/0!</v>
      </c>
      <c r="K35" s="205" t="e">
        <f t="shared" si="5"/>
        <v>#DIV/0!</v>
      </c>
      <c r="L35" s="200" t="e">
        <f t="shared" si="6"/>
        <v>#DIV/0!</v>
      </c>
      <c r="M35" s="199" t="e">
        <f t="shared" si="3"/>
        <v>#VALUE!</v>
      </c>
      <c r="N35" s="199" t="e">
        <f t="shared" si="4"/>
        <v>#VALUE!</v>
      </c>
      <c r="O35" s="198" t="e">
        <f t="shared" si="7"/>
        <v>#VALUE!</v>
      </c>
      <c r="P35" s="198" t="e">
        <f t="shared" si="8"/>
        <v>#VALUE!</v>
      </c>
    </row>
    <row r="36" spans="1:19" x14ac:dyDescent="0.25">
      <c r="A36" s="236"/>
      <c r="B36" s="269"/>
      <c r="C36" s="177"/>
      <c r="D36" s="177"/>
      <c r="E36" s="201" t="str">
        <f t="shared" si="0"/>
        <v/>
      </c>
      <c r="F36" s="177"/>
      <c r="G36" s="270"/>
      <c r="H36" s="204" t="e">
        <f t="shared" si="1"/>
        <v>#VALUE!</v>
      </c>
      <c r="J36" s="199" t="e">
        <f t="shared" si="2"/>
        <v>#DIV/0!</v>
      </c>
      <c r="K36" s="205" t="e">
        <f t="shared" si="5"/>
        <v>#DIV/0!</v>
      </c>
      <c r="L36" s="200" t="e">
        <f t="shared" si="6"/>
        <v>#DIV/0!</v>
      </c>
      <c r="M36" s="199" t="e">
        <f t="shared" si="3"/>
        <v>#VALUE!</v>
      </c>
      <c r="N36" s="199" t="e">
        <f t="shared" si="4"/>
        <v>#VALUE!</v>
      </c>
      <c r="O36" s="198" t="e">
        <f t="shared" si="7"/>
        <v>#VALUE!</v>
      </c>
      <c r="P36" s="198" t="e">
        <f t="shared" si="8"/>
        <v>#VALUE!</v>
      </c>
    </row>
    <row r="37" spans="1:19" x14ac:dyDescent="0.25">
      <c r="A37" s="236"/>
      <c r="B37" s="269"/>
      <c r="C37" s="177"/>
      <c r="D37" s="177"/>
      <c r="E37" s="201" t="str">
        <f t="shared" si="0"/>
        <v/>
      </c>
      <c r="F37" s="177"/>
      <c r="G37" s="270"/>
      <c r="H37" s="204" t="e">
        <f t="shared" si="1"/>
        <v>#VALUE!</v>
      </c>
      <c r="J37" s="199" t="e">
        <f t="shared" si="2"/>
        <v>#DIV/0!</v>
      </c>
      <c r="K37" s="205" t="e">
        <f t="shared" si="5"/>
        <v>#DIV/0!</v>
      </c>
      <c r="L37" s="200" t="e">
        <f t="shared" si="6"/>
        <v>#DIV/0!</v>
      </c>
      <c r="M37" s="199" t="e">
        <f t="shared" si="3"/>
        <v>#VALUE!</v>
      </c>
      <c r="N37" s="199" t="e">
        <f t="shared" si="4"/>
        <v>#VALUE!</v>
      </c>
      <c r="O37" s="198" t="e">
        <f t="shared" si="7"/>
        <v>#VALUE!</v>
      </c>
      <c r="P37" s="198" t="e">
        <f t="shared" si="8"/>
        <v>#VALUE!</v>
      </c>
      <c r="R37" s="180" t="s">
        <v>321</v>
      </c>
    </row>
    <row r="38" spans="1:19" x14ac:dyDescent="0.25">
      <c r="A38" s="236"/>
      <c r="B38" s="269"/>
      <c r="C38" s="177"/>
      <c r="D38" s="177"/>
      <c r="E38" s="201" t="str">
        <f t="shared" si="0"/>
        <v/>
      </c>
      <c r="F38" s="177"/>
      <c r="G38" s="270"/>
      <c r="H38" s="204" t="e">
        <f t="shared" si="1"/>
        <v>#VALUE!</v>
      </c>
      <c r="J38" s="199" t="e">
        <f t="shared" si="2"/>
        <v>#DIV/0!</v>
      </c>
      <c r="K38" s="205" t="e">
        <f t="shared" si="5"/>
        <v>#DIV/0!</v>
      </c>
      <c r="L38" s="200" t="e">
        <f>IF(AND($F$21="",K38=""),"",$F$21*K38)</f>
        <v>#DIV/0!</v>
      </c>
      <c r="M38" s="199" t="e">
        <f>+E38/(D38*L38)</f>
        <v>#VALUE!</v>
      </c>
      <c r="N38" s="199" t="e">
        <f>(LN(M38)/LN(2))*$L$23</f>
        <v>#VALUE!</v>
      </c>
      <c r="O38" s="198" t="e">
        <f>IF(M38&gt;1,0,LN((M38^(-$S$27)+($R$27/$Q$27))/(1+($R$27/$Q$27)))/($Q$27*$S$27))</f>
        <v>#VALUE!</v>
      </c>
      <c r="P38" s="198" t="e">
        <f t="shared" si="8"/>
        <v>#VALUE!</v>
      </c>
      <c r="Q38" s="180" t="e">
        <f>P38/25.4</f>
        <v>#VALUE!</v>
      </c>
      <c r="R38" s="180" t="e">
        <f>Q38*1.3</f>
        <v>#VALUE!</v>
      </c>
      <c r="S38" s="180">
        <f>SQRT(6.25^2+6.25^2)</f>
        <v>8.8388347648318444</v>
      </c>
    </row>
    <row r="39" spans="1:19" x14ac:dyDescent="0.25">
      <c r="A39" s="236"/>
      <c r="B39" s="269"/>
      <c r="C39" s="177"/>
      <c r="D39" s="177"/>
      <c r="E39" s="201" t="str">
        <f t="shared" si="0"/>
        <v/>
      </c>
      <c r="F39" s="177"/>
      <c r="G39" s="270"/>
      <c r="H39" s="204" t="e">
        <f t="shared" si="1"/>
        <v>#VALUE!</v>
      </c>
      <c r="J39" s="199" t="e">
        <f>+(G39/B39)^2</f>
        <v>#DIV/0!</v>
      </c>
      <c r="K39" s="205" t="e">
        <f>+J39*(F39/1000)</f>
        <v>#DIV/0!</v>
      </c>
      <c r="L39" s="200" t="e">
        <f t="shared" si="6"/>
        <v>#DIV/0!</v>
      </c>
      <c r="M39" s="199" t="e">
        <f>+E39/(D39*L39)</f>
        <v>#VALUE!</v>
      </c>
      <c r="N39" s="199" t="e">
        <f>(LN(M39)/LN(2))*$L$23</f>
        <v>#VALUE!</v>
      </c>
      <c r="O39" s="198" t="e">
        <f t="shared" si="7"/>
        <v>#VALUE!</v>
      </c>
      <c r="P39" s="198" t="e">
        <f t="shared" si="8"/>
        <v>#VALUE!</v>
      </c>
      <c r="Q39" s="180" t="e">
        <f>P39*COS(PI()/4)/25.4</f>
        <v>#VALUE!</v>
      </c>
      <c r="R39" s="180" t="e">
        <f t="shared" ref="R39:R40" si="9">Q39*1.3</f>
        <v>#VALUE!</v>
      </c>
    </row>
    <row r="40" spans="1:19" x14ac:dyDescent="0.25">
      <c r="A40" s="236"/>
      <c r="B40" s="269"/>
      <c r="C40" s="177"/>
      <c r="D40" s="177"/>
      <c r="E40" s="201" t="str">
        <f t="shared" si="0"/>
        <v/>
      </c>
      <c r="F40" s="177"/>
      <c r="G40" s="270"/>
      <c r="H40" s="204" t="e">
        <f t="shared" si="1"/>
        <v>#VALUE!</v>
      </c>
      <c r="J40" s="199" t="e">
        <f t="shared" si="2"/>
        <v>#DIV/0!</v>
      </c>
      <c r="K40" s="205" t="e">
        <f t="shared" si="5"/>
        <v>#DIV/0!</v>
      </c>
      <c r="L40" s="200" t="e">
        <f t="shared" si="6"/>
        <v>#DIV/0!</v>
      </c>
      <c r="M40" s="199" t="e">
        <f t="shared" si="3"/>
        <v>#VALUE!</v>
      </c>
      <c r="N40" s="199" t="e">
        <f t="shared" si="4"/>
        <v>#VALUE!</v>
      </c>
      <c r="O40" s="198" t="e">
        <f t="shared" si="7"/>
        <v>#VALUE!</v>
      </c>
      <c r="P40" s="198" t="e">
        <f t="shared" si="8"/>
        <v>#VALUE!</v>
      </c>
      <c r="Q40" s="180" t="e">
        <f>P40*COS(PI()/4)/25.4</f>
        <v>#VALUE!</v>
      </c>
      <c r="R40" s="180" t="e">
        <f t="shared" si="9"/>
        <v>#VALUE!</v>
      </c>
    </row>
    <row r="41" spans="1:19" x14ac:dyDescent="0.25">
      <c r="A41" s="236"/>
      <c r="B41" s="269"/>
      <c r="C41" s="177"/>
      <c r="D41" s="177"/>
      <c r="E41" s="201" t="str">
        <f t="shared" si="0"/>
        <v/>
      </c>
      <c r="F41" s="177"/>
      <c r="G41" s="270"/>
      <c r="H41" s="204" t="e">
        <f t="shared" si="1"/>
        <v>#VALUE!</v>
      </c>
      <c r="J41" s="199" t="e">
        <f t="shared" si="2"/>
        <v>#DIV/0!</v>
      </c>
      <c r="K41" s="205" t="e">
        <f t="shared" si="5"/>
        <v>#DIV/0!</v>
      </c>
      <c r="L41" s="200" t="e">
        <f t="shared" si="6"/>
        <v>#DIV/0!</v>
      </c>
      <c r="M41" s="199" t="e">
        <f t="shared" si="3"/>
        <v>#VALUE!</v>
      </c>
      <c r="N41" s="199" t="e">
        <f t="shared" si="4"/>
        <v>#VALUE!</v>
      </c>
      <c r="O41" s="198" t="e">
        <f t="shared" si="7"/>
        <v>#VALUE!</v>
      </c>
      <c r="P41" s="198" t="e">
        <f t="shared" si="8"/>
        <v>#VALUE!</v>
      </c>
    </row>
    <row r="42" spans="1:19" x14ac:dyDescent="0.25">
      <c r="A42" s="236"/>
      <c r="B42" s="177"/>
      <c r="C42" s="177"/>
      <c r="D42" s="177"/>
      <c r="E42" s="201" t="str">
        <f t="shared" si="0"/>
        <v/>
      </c>
      <c r="F42" s="177"/>
      <c r="G42" s="270"/>
      <c r="H42" s="204" t="e">
        <f t="shared" si="1"/>
        <v>#VALUE!</v>
      </c>
      <c r="J42" s="199" t="e">
        <f t="shared" si="2"/>
        <v>#DIV/0!</v>
      </c>
      <c r="K42" s="205" t="e">
        <f t="shared" si="5"/>
        <v>#DIV/0!</v>
      </c>
      <c r="L42" s="200" t="e">
        <f t="shared" si="6"/>
        <v>#DIV/0!</v>
      </c>
      <c r="M42" s="199" t="e">
        <f t="shared" si="3"/>
        <v>#VALUE!</v>
      </c>
      <c r="N42" s="199" t="e">
        <f t="shared" si="4"/>
        <v>#VALUE!</v>
      </c>
      <c r="O42" s="198" t="e">
        <f t="shared" si="7"/>
        <v>#VALUE!</v>
      </c>
      <c r="P42" s="198" t="e">
        <f t="shared" si="8"/>
        <v>#VALUE!</v>
      </c>
    </row>
    <row r="43" spans="1:19" x14ac:dyDescent="0.25">
      <c r="A43" s="236"/>
      <c r="B43" s="177"/>
      <c r="C43" s="177"/>
      <c r="D43" s="177"/>
      <c r="E43" s="201" t="str">
        <f t="shared" si="0"/>
        <v/>
      </c>
      <c r="F43" s="177"/>
      <c r="G43" s="270"/>
      <c r="H43" s="204" t="e">
        <f t="shared" si="1"/>
        <v>#VALUE!</v>
      </c>
      <c r="J43" s="199" t="e">
        <f t="shared" si="2"/>
        <v>#DIV/0!</v>
      </c>
      <c r="K43" s="205" t="e">
        <f t="shared" si="5"/>
        <v>#DIV/0!</v>
      </c>
      <c r="L43" s="200" t="e">
        <f t="shared" si="6"/>
        <v>#DIV/0!</v>
      </c>
      <c r="M43" s="199" t="e">
        <f t="shared" si="3"/>
        <v>#VALUE!</v>
      </c>
      <c r="N43" s="199" t="e">
        <f t="shared" si="4"/>
        <v>#VALUE!</v>
      </c>
      <c r="O43" s="198" t="e">
        <f t="shared" si="7"/>
        <v>#VALUE!</v>
      </c>
      <c r="P43" s="198" t="e">
        <f t="shared" si="8"/>
        <v>#VALUE!</v>
      </c>
    </row>
    <row r="44" spans="1:19" x14ac:dyDescent="0.25">
      <c r="A44" s="237"/>
      <c r="B44" s="33"/>
      <c r="C44" s="33"/>
      <c r="D44" s="33"/>
      <c r="E44" s="203" t="str">
        <f t="shared" si="0"/>
        <v/>
      </c>
      <c r="F44" s="33"/>
      <c r="G44" s="271"/>
      <c r="H44" s="202" t="e">
        <f t="shared" si="1"/>
        <v>#VALUE!</v>
      </c>
      <c r="J44" s="199" t="e">
        <f>+(G44/C44)^2</f>
        <v>#DIV/0!</v>
      </c>
      <c r="K44" s="205" t="e">
        <f t="shared" si="5"/>
        <v>#DIV/0!</v>
      </c>
      <c r="L44" s="200" t="e">
        <f t="shared" si="6"/>
        <v>#DIV/0!</v>
      </c>
      <c r="M44" s="199" t="e">
        <f t="shared" si="3"/>
        <v>#VALUE!</v>
      </c>
      <c r="N44" s="199" t="e">
        <f t="shared" si="4"/>
        <v>#VALUE!</v>
      </c>
      <c r="O44" s="198" t="e">
        <f t="shared" si="7"/>
        <v>#VALUE!</v>
      </c>
      <c r="P44" s="198" t="e">
        <f t="shared" si="8"/>
        <v>#VALUE!</v>
      </c>
    </row>
    <row r="45" spans="1:19" x14ac:dyDescent="0.25">
      <c r="I45" s="194"/>
      <c r="J45" s="199"/>
      <c r="K45" s="201"/>
      <c r="L45" s="200"/>
      <c r="M45" s="199"/>
      <c r="N45" s="199"/>
      <c r="O45" s="198"/>
    </row>
    <row r="46" spans="1:19" x14ac:dyDescent="0.25">
      <c r="I46" s="194"/>
      <c r="J46" s="199"/>
      <c r="K46" s="201"/>
      <c r="L46" s="200"/>
      <c r="M46" s="199"/>
      <c r="N46" s="199"/>
      <c r="O46" s="198"/>
    </row>
    <row r="47" spans="1:19" x14ac:dyDescent="0.25">
      <c r="J47" s="199"/>
      <c r="K47" s="201"/>
      <c r="L47" s="200"/>
      <c r="M47" s="199"/>
      <c r="N47" s="199"/>
      <c r="O47" s="198"/>
    </row>
    <row r="48" spans="1:19" x14ac:dyDescent="0.25">
      <c r="J48" s="199"/>
      <c r="K48" s="201"/>
      <c r="L48" s="200"/>
      <c r="M48" s="199"/>
      <c r="N48" s="199"/>
      <c r="O48" s="198"/>
    </row>
    <row r="49" spans="1:15" x14ac:dyDescent="0.25">
      <c r="A49" s="180" t="s">
        <v>325</v>
      </c>
      <c r="J49" s="199"/>
      <c r="K49" s="201"/>
      <c r="L49" s="200"/>
      <c r="M49" s="199"/>
      <c r="N49" s="199"/>
      <c r="O49" s="198"/>
    </row>
    <row r="50" spans="1:15" x14ac:dyDescent="0.25">
      <c r="A50" s="180" t="s">
        <v>165</v>
      </c>
      <c r="J50" s="199"/>
      <c r="K50" s="201"/>
      <c r="L50" s="200"/>
      <c r="M50" s="199"/>
      <c r="N50" s="199"/>
      <c r="O50" s="198"/>
    </row>
    <row r="51" spans="1:15" x14ac:dyDescent="0.25">
      <c r="J51" s="199"/>
      <c r="K51" s="201"/>
      <c r="L51" s="200"/>
      <c r="M51" s="199"/>
      <c r="N51" s="199"/>
      <c r="O51" s="198"/>
    </row>
    <row r="52" spans="1:15" x14ac:dyDescent="0.25">
      <c r="J52" s="199"/>
      <c r="K52" s="201"/>
      <c r="L52" s="200"/>
      <c r="M52" s="199"/>
      <c r="N52" s="199"/>
      <c r="O52" s="198"/>
    </row>
    <row r="53" spans="1:15" x14ac:dyDescent="0.25">
      <c r="J53" s="199"/>
      <c r="K53" s="201"/>
      <c r="L53" s="200"/>
      <c r="M53" s="199"/>
      <c r="N53" s="199"/>
      <c r="O53" s="198"/>
    </row>
    <row r="54" spans="1:15" x14ac:dyDescent="0.25">
      <c r="J54" s="199"/>
      <c r="K54" s="201"/>
      <c r="L54" s="200"/>
      <c r="M54" s="199"/>
      <c r="N54" s="199"/>
      <c r="O54" s="198"/>
    </row>
    <row r="55" spans="1:15" x14ac:dyDescent="0.25">
      <c r="A55" s="180" t="s">
        <v>198</v>
      </c>
      <c r="B55" s="180" t="s">
        <v>313</v>
      </c>
      <c r="J55" s="199"/>
      <c r="K55" s="201"/>
      <c r="L55" s="200"/>
      <c r="M55" s="199"/>
      <c r="N55" s="199"/>
      <c r="O55" s="198"/>
    </row>
    <row r="56" spans="1:15" x14ac:dyDescent="0.25">
      <c r="A56" s="180" t="s">
        <v>199</v>
      </c>
      <c r="B56" s="180" t="s">
        <v>314</v>
      </c>
      <c r="J56" s="199"/>
      <c r="K56" s="201"/>
      <c r="L56" s="200"/>
      <c r="M56" s="199"/>
      <c r="N56" s="199"/>
      <c r="O56" s="198"/>
    </row>
    <row r="57" spans="1:15" x14ac:dyDescent="0.25">
      <c r="A57" s="180" t="s">
        <v>200</v>
      </c>
      <c r="B57" s="180" t="s">
        <v>314</v>
      </c>
      <c r="J57" s="199"/>
      <c r="K57" s="201"/>
      <c r="L57" s="200"/>
      <c r="M57" s="199"/>
      <c r="N57" s="199"/>
      <c r="O57" s="198"/>
    </row>
    <row r="58" spans="1:15" x14ac:dyDescent="0.25">
      <c r="A58" s="180" t="s">
        <v>201</v>
      </c>
      <c r="B58" s="180" t="s">
        <v>314</v>
      </c>
      <c r="J58" s="199"/>
      <c r="K58" s="201"/>
      <c r="L58" s="200"/>
      <c r="M58" s="199"/>
      <c r="N58" s="199"/>
      <c r="O58" s="198"/>
    </row>
    <row r="59" spans="1:15" x14ac:dyDescent="0.25">
      <c r="A59" s="180" t="s">
        <v>205</v>
      </c>
      <c r="B59" s="180" t="s">
        <v>313</v>
      </c>
      <c r="J59" s="199"/>
      <c r="K59" s="201"/>
      <c r="L59" s="200"/>
      <c r="M59" s="199"/>
      <c r="N59" s="199"/>
      <c r="O59" s="198"/>
    </row>
    <row r="60" spans="1:15" x14ac:dyDescent="0.25">
      <c r="A60" s="180" t="s">
        <v>315</v>
      </c>
      <c r="B60" s="180" t="s">
        <v>316</v>
      </c>
      <c r="J60" s="199"/>
      <c r="K60" s="201"/>
      <c r="L60" s="200"/>
      <c r="M60" s="199"/>
      <c r="N60" s="199"/>
      <c r="O60" s="198"/>
    </row>
    <row r="61" spans="1:15" x14ac:dyDescent="0.25">
      <c r="J61" s="199"/>
      <c r="K61" s="201"/>
      <c r="L61" s="200"/>
      <c r="M61" s="199"/>
      <c r="N61" s="199"/>
      <c r="O61" s="198"/>
    </row>
    <row r="62" spans="1:15" x14ac:dyDescent="0.25">
      <c r="J62" s="199"/>
      <c r="K62" s="201"/>
      <c r="L62" s="200"/>
      <c r="M62" s="199"/>
      <c r="N62" s="199"/>
      <c r="O62" s="198"/>
    </row>
    <row r="64" spans="1:15" x14ac:dyDescent="0.25">
      <c r="J64"/>
    </row>
    <row r="65" spans="10:10" x14ac:dyDescent="0.25">
      <c r="J65"/>
    </row>
    <row r="66" spans="10:10" x14ac:dyDescent="0.25">
      <c r="J66"/>
    </row>
    <row r="67" spans="10:10" x14ac:dyDescent="0.25">
      <c r="J67"/>
    </row>
    <row r="68" spans="10:10" x14ac:dyDescent="0.25">
      <c r="J68"/>
    </row>
    <row r="69" spans="10:10" x14ac:dyDescent="0.25">
      <c r="J69"/>
    </row>
    <row r="70" spans="10:10" x14ac:dyDescent="0.25">
      <c r="J70"/>
    </row>
  </sheetData>
  <mergeCells count="5">
    <mergeCell ref="Q18:V18"/>
    <mergeCell ref="Q19:S19"/>
    <mergeCell ref="T19:V19"/>
    <mergeCell ref="Q24:V24"/>
    <mergeCell ref="J27:J28"/>
  </mergeCells>
  <conditionalFormatting sqref="H29:H40">
    <cfRule type="cellIs" dxfId="1" priority="1" operator="greaterThan">
      <formula>2.38</formula>
    </cfRule>
  </conditionalFormatting>
  <conditionalFormatting sqref="H29:H44">
    <cfRule type="cellIs" dxfId="0" priority="2" operator="greaterThan">
      <formula>1.5</formula>
    </cfRule>
  </conditionalFormatting>
  <pageMargins left="0.75" right="0.75" top="1" bottom="1" header="0.5" footer="0.5"/>
  <pageSetup scale="96" fitToHeight="3" orientation="portrait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9"/>
  <sheetViews>
    <sheetView topLeftCell="A7" zoomScale="75" zoomScaleNormal="75" workbookViewId="0">
      <selection activeCell="A36" sqref="A36"/>
    </sheetView>
  </sheetViews>
  <sheetFormatPr defaultColWidth="10.6640625" defaultRowHeight="15.6" x14ac:dyDescent="0.3"/>
  <cols>
    <col min="1" max="1" width="17.6640625" style="121" customWidth="1"/>
    <col min="2" max="2" width="14" style="121" bestFit="1" customWidth="1"/>
    <col min="3" max="3" width="10.6640625" style="121"/>
    <col min="4" max="4" width="12.6640625" style="121" bestFit="1" customWidth="1"/>
    <col min="5" max="5" width="14" style="121" customWidth="1"/>
    <col min="6" max="6" width="15.77734375" style="121" customWidth="1"/>
    <col min="7" max="19" width="10.6640625" style="121"/>
    <col min="20" max="20" width="11" style="121" bestFit="1" customWidth="1"/>
    <col min="21" max="21" width="13.109375" style="121" bestFit="1" customWidth="1"/>
    <col min="22" max="22" width="11" style="121" bestFit="1" customWidth="1"/>
    <col min="23" max="16384" width="10.6640625" style="121"/>
  </cols>
  <sheetData>
    <row r="1" spans="1:22" x14ac:dyDescent="0.3">
      <c r="D1" s="175" t="s">
        <v>126</v>
      </c>
      <c r="I1" s="122" t="s">
        <v>103</v>
      </c>
      <c r="M1" s="123" t="s">
        <v>1</v>
      </c>
    </row>
    <row r="2" spans="1:22" x14ac:dyDescent="0.3">
      <c r="A2" s="120" t="s">
        <v>311</v>
      </c>
      <c r="L2" s="123" t="s">
        <v>3</v>
      </c>
      <c r="M2" s="121" t="s">
        <v>4</v>
      </c>
    </row>
    <row r="3" spans="1:22" x14ac:dyDescent="0.3">
      <c r="A3" s="120"/>
      <c r="L3" s="123" t="s">
        <v>5</v>
      </c>
      <c r="M3" s="121" t="s">
        <v>6</v>
      </c>
    </row>
    <row r="4" spans="1:22" x14ac:dyDescent="0.3">
      <c r="A4" s="120"/>
      <c r="L4" s="123" t="s">
        <v>10</v>
      </c>
      <c r="M4" s="121" t="s">
        <v>11</v>
      </c>
    </row>
    <row r="5" spans="1:22" x14ac:dyDescent="0.3">
      <c r="A5" s="121" t="s">
        <v>104</v>
      </c>
      <c r="B5" s="124">
        <v>43557</v>
      </c>
      <c r="D5" s="125" t="s">
        <v>105</v>
      </c>
      <c r="E5" s="126"/>
      <c r="L5" s="123" t="s">
        <v>15</v>
      </c>
      <c r="M5" s="121" t="s">
        <v>16</v>
      </c>
    </row>
    <row r="6" spans="1:22" x14ac:dyDescent="0.3">
      <c r="L6" s="123" t="s">
        <v>18</v>
      </c>
      <c r="M6" s="121" t="s">
        <v>19</v>
      </c>
    </row>
    <row r="7" spans="1:22" x14ac:dyDescent="0.3">
      <c r="A7" s="120" t="s">
        <v>106</v>
      </c>
      <c r="L7" s="123" t="s">
        <v>22</v>
      </c>
      <c r="M7" s="121" t="s">
        <v>23</v>
      </c>
    </row>
    <row r="8" spans="1:22" x14ac:dyDescent="0.3">
      <c r="L8" s="123" t="s">
        <v>26</v>
      </c>
      <c r="M8" s="121" t="s">
        <v>27</v>
      </c>
    </row>
    <row r="9" spans="1:22" x14ac:dyDescent="0.3">
      <c r="A9" s="121" t="s">
        <v>107</v>
      </c>
      <c r="L9" s="123" t="s">
        <v>30</v>
      </c>
      <c r="M9" s="121" t="s">
        <v>31</v>
      </c>
      <c r="R9" s="127"/>
    </row>
    <row r="10" spans="1:22" x14ac:dyDescent="0.3">
      <c r="V10" s="121" t="s">
        <v>7</v>
      </c>
    </row>
    <row r="11" spans="1:22" ht="16.2" thickBot="1" x14ac:dyDescent="0.35">
      <c r="L11" s="128" t="s">
        <v>38</v>
      </c>
      <c r="T11" s="129" t="s">
        <v>12</v>
      </c>
      <c r="U11" s="129" t="s">
        <v>13</v>
      </c>
      <c r="V11" s="129" t="s">
        <v>14</v>
      </c>
    </row>
    <row r="12" spans="1:22" x14ac:dyDescent="0.3">
      <c r="A12" s="121" t="s">
        <v>108</v>
      </c>
      <c r="B12" s="121" t="s">
        <v>109</v>
      </c>
      <c r="F12" s="121" t="s">
        <v>110</v>
      </c>
      <c r="L12" s="130" t="s">
        <v>39</v>
      </c>
      <c r="M12" s="131" t="s">
        <v>40</v>
      </c>
      <c r="N12" s="131" t="s">
        <v>41</v>
      </c>
      <c r="O12" s="131" t="s">
        <v>42</v>
      </c>
      <c r="P12" s="132" t="s">
        <v>44</v>
      </c>
      <c r="Q12" s="132" t="s">
        <v>45</v>
      </c>
      <c r="T12" s="121">
        <v>-25.4</v>
      </c>
      <c r="U12" s="121">
        <v>-1</v>
      </c>
      <c r="V12" s="133" t="s">
        <v>17</v>
      </c>
    </row>
    <row r="13" spans="1:22" x14ac:dyDescent="0.3">
      <c r="L13" s="134" t="s">
        <v>48</v>
      </c>
      <c r="M13" s="135" t="str">
        <f>IF(RefkV="","",VLOOKUP(RefkV,FitParameters!$A$5:$AF$30,2))</f>
        <v/>
      </c>
      <c r="N13" s="135" t="str">
        <f>IF(RefkV="","",VLOOKUP(RefkV,FitParameters!$A$5:$AF$30,3))</f>
        <v/>
      </c>
      <c r="O13" s="135" t="str">
        <f>IF(RefkV="","",VLOOKUP(RefkV,FitParameters!$A$5:$AF$30,4))</f>
        <v/>
      </c>
      <c r="P13" s="135" t="str">
        <f>IF(RefkV="","",VLOOKUP(RefkV,FitParameters!$A$5:$AF$30,5))</f>
        <v/>
      </c>
      <c r="Q13" s="135" t="str">
        <f>IF(RefkV="","",VLOOKUP(RefkV,FitParameters!$A$5:$AF$30,6))</f>
        <v/>
      </c>
      <c r="T13" s="121">
        <v>0</v>
      </c>
      <c r="U13" s="121">
        <v>0</v>
      </c>
      <c r="V13" s="136" t="s">
        <v>20</v>
      </c>
    </row>
    <row r="14" spans="1:22" x14ac:dyDescent="0.3">
      <c r="B14" s="121" t="s">
        <v>111</v>
      </c>
      <c r="F14" s="121" t="s">
        <v>112</v>
      </c>
      <c r="G14" s="121" t="s">
        <v>113</v>
      </c>
      <c r="L14" s="134" t="s">
        <v>50</v>
      </c>
      <c r="M14" s="135" t="str">
        <f>IF(RefkV="","",VLOOKUP(RefkV,FitParameters!$A$5:$AF$30,7))</f>
        <v/>
      </c>
      <c r="N14" s="135" t="str">
        <f>IF(RefkV="","",VLOOKUP(RefkV,FitParameters!$A$5:$AF$30,8))</f>
        <v/>
      </c>
      <c r="O14" s="135" t="str">
        <f>IF(RefkV="","",VLOOKUP(RefkV,FitParameters!$A$5:$AF$30,9))</f>
        <v/>
      </c>
      <c r="P14" s="135" t="str">
        <f>IF(RefkV="","",VLOOKUP(RefkV,FitParameters!$A$5:$AF$30,10))</f>
        <v/>
      </c>
      <c r="Q14" s="135" t="str">
        <f>IF(RefkV="","",VLOOKUP(RefkV,FitParameters!$A$5:$AF$30,11))</f>
        <v/>
      </c>
      <c r="T14" s="121">
        <v>9.9218750999999994E-2</v>
      </c>
      <c r="U14" s="137">
        <v>3.90625E-3</v>
      </c>
      <c r="V14" s="136">
        <v>7.8125E-3</v>
      </c>
    </row>
    <row r="15" spans="1:22" x14ac:dyDescent="0.3">
      <c r="B15" s="121" t="s">
        <v>114</v>
      </c>
      <c r="C15" s="121" t="s">
        <v>115</v>
      </c>
      <c r="D15" s="121" t="s">
        <v>116</v>
      </c>
      <c r="E15" s="121" t="s">
        <v>117</v>
      </c>
      <c r="F15" s="121" t="s">
        <v>161</v>
      </c>
      <c r="G15" s="121" t="s">
        <v>176</v>
      </c>
      <c r="H15" s="121" t="s">
        <v>177</v>
      </c>
      <c r="L15" s="138" t="s">
        <v>52</v>
      </c>
      <c r="M15" s="135" t="str">
        <f>IF(RefkV="","",VLOOKUP(RefkV,FitParameters!$A$5:$AF$30,12))</f>
        <v/>
      </c>
      <c r="N15" s="135" t="str">
        <f>IF(RefkV="","",VLOOKUP(RefkV,FitParameters!$A$5:$AF$30,13))</f>
        <v/>
      </c>
      <c r="O15" s="135" t="str">
        <f>IF(RefkV="","",VLOOKUP(RefkV,FitParameters!$A$5:$AF$30,14))</f>
        <v/>
      </c>
      <c r="P15" s="135" t="str">
        <f>IF(RefkV="","",VLOOKUP(RefkV,FitParameters!$A$5:$AF$30,15))</f>
        <v/>
      </c>
      <c r="Q15" s="135" t="str">
        <f>IF(RefkV="","",VLOOKUP(RefkV,FitParameters!$A$5:$AF$30,16))</f>
        <v/>
      </c>
      <c r="T15" s="121">
        <v>0.19843750099999999</v>
      </c>
      <c r="U15" s="137">
        <v>7.8125E-3</v>
      </c>
      <c r="V15" s="136">
        <v>1.5625E-2</v>
      </c>
    </row>
    <row r="16" spans="1:22" x14ac:dyDescent="0.3">
      <c r="B16" s="139"/>
      <c r="C16" s="139"/>
      <c r="D16" s="139"/>
      <c r="E16" s="139"/>
      <c r="F16" s="140"/>
      <c r="G16" s="139"/>
      <c r="H16" s="121" t="str">
        <f>IF(NOT(OR(B16="",D16="")),RefExp/(D16*B16/1000),IF(E16="","",RefExp/E16))</f>
        <v/>
      </c>
      <c r="L16" s="138" t="s">
        <v>54</v>
      </c>
      <c r="M16" s="135" t="str">
        <f>IF(RefkV="","",VLOOKUP(RefkV,FitParameters!$A$5:$AF$30,17))</f>
        <v/>
      </c>
      <c r="N16" s="135" t="str">
        <f>IF(RefkV="","",VLOOKUP(RefkV,FitParameters!$A$5:$AF$30,18))</f>
        <v/>
      </c>
      <c r="O16" s="135" t="str">
        <f>IF(RefkV="","",VLOOKUP(RefkV,FitParameters!$A$5:$AF$30,19))</f>
        <v/>
      </c>
      <c r="P16" s="135" t="str">
        <f>IF(RefkV="","",VLOOKUP(RefkV,FitParameters!$A$5:$AF$30,20))</f>
        <v/>
      </c>
      <c r="Q16" s="135" t="str">
        <f>IF(RefkV="","",VLOOKUP(RefkV,FitParameters!$A$5:$AF$30,21))</f>
        <v/>
      </c>
      <c r="T16" s="121">
        <v>0.39687500100000001</v>
      </c>
      <c r="U16" s="137">
        <v>1.5625E-2</v>
      </c>
      <c r="V16" s="136">
        <v>3.125E-2</v>
      </c>
    </row>
    <row r="17" spans="1:22" x14ac:dyDescent="0.3">
      <c r="L17" s="138" t="s">
        <v>57</v>
      </c>
      <c r="M17" s="135" t="str">
        <f>IF(RefkV="","",VLOOKUP(RefkV,FitParameters!$A$5:$AF$30,22))</f>
        <v/>
      </c>
      <c r="N17" s="135" t="str">
        <f>IF(RefkV="","",VLOOKUP(RefkV,FitParameters!$A$5:$AF$30,23))</f>
        <v/>
      </c>
      <c r="O17" s="135" t="str">
        <f>IF(RefkV="","",VLOOKUP(RefkV,FitParameters!$A$5:$AF$30,24))</f>
        <v/>
      </c>
      <c r="P17" s="135" t="str">
        <f>IF(RefkV="","",VLOOKUP(RefkV,FitParameters!$A$5:$AF$30,25))</f>
        <v/>
      </c>
      <c r="Q17" s="135" t="str">
        <f>IF(RefkV="","",VLOOKUP(RefkV,FitParameters!$A$5:$AF$30,26))</f>
        <v/>
      </c>
      <c r="T17" s="121">
        <v>0.59531250099999988</v>
      </c>
      <c r="U17" s="137">
        <v>2.34375E-2</v>
      </c>
      <c r="V17" s="136">
        <v>3.125E-2</v>
      </c>
    </row>
    <row r="18" spans="1:22" x14ac:dyDescent="0.3">
      <c r="D18" s="121" t="s">
        <v>119</v>
      </c>
      <c r="E18" s="121" t="s">
        <v>120</v>
      </c>
      <c r="F18" s="283" t="s">
        <v>121</v>
      </c>
      <c r="L18" s="138" t="s">
        <v>58</v>
      </c>
      <c r="M18" s="135" t="str">
        <f>IF(RefkV="","",VLOOKUP(RefkV,FitParameters!$A$5:$AF$30,27))</f>
        <v/>
      </c>
      <c r="N18" s="135" t="str">
        <f>IF(RefkV="","",VLOOKUP(RefkV,FitParameters!$A$5:$AF$30,28))</f>
        <v/>
      </c>
      <c r="O18" s="135" t="str">
        <f>IF(RefkV="","",VLOOKUP(RefkV,FitParameters!$A$5:$AF$30,29))</f>
        <v/>
      </c>
      <c r="P18" s="135" t="str">
        <f>IF(RefkV="","",VLOOKUP(RefkV,FitParameters!$A$5:$AF$30,30))</f>
        <v/>
      </c>
      <c r="Q18" s="135" t="str">
        <f>IF(RefkV="","",VLOOKUP(RefkV,FitParameters!$A$5:$AF$30,31))</f>
        <v/>
      </c>
      <c r="T18" s="121">
        <v>0.79375000099999993</v>
      </c>
      <c r="U18" s="137">
        <v>3.125E-2</v>
      </c>
      <c r="V18" s="136">
        <v>3.125E-2</v>
      </c>
    </row>
    <row r="19" spans="1:22" ht="15.75" customHeight="1" x14ac:dyDescent="0.3">
      <c r="C19" s="121" t="s">
        <v>112</v>
      </c>
      <c r="D19" s="121" t="s">
        <v>113</v>
      </c>
      <c r="E19" s="121" t="s">
        <v>113</v>
      </c>
      <c r="F19" s="283"/>
      <c r="G19" s="121" t="s">
        <v>48</v>
      </c>
      <c r="H19" s="121" t="s">
        <v>48</v>
      </c>
      <c r="T19" s="121">
        <v>0.99218750099999997</v>
      </c>
      <c r="U19" s="137">
        <v>3.90625E-2</v>
      </c>
      <c r="V19" s="136">
        <v>6.25E-2</v>
      </c>
    </row>
    <row r="20" spans="1:22" x14ac:dyDescent="0.3">
      <c r="A20" s="141" t="s">
        <v>67</v>
      </c>
      <c r="B20" s="141" t="s">
        <v>117</v>
      </c>
      <c r="C20" s="141" t="s">
        <v>161</v>
      </c>
      <c r="D20" s="141" t="s">
        <v>176</v>
      </c>
      <c r="E20" s="141" t="s">
        <v>178</v>
      </c>
      <c r="F20" s="284"/>
      <c r="G20" s="141" t="s">
        <v>122</v>
      </c>
      <c r="H20" s="141" t="s">
        <v>118</v>
      </c>
      <c r="L20" s="285" t="s">
        <v>123</v>
      </c>
      <c r="M20" s="285"/>
      <c r="N20" s="285"/>
      <c r="O20" s="285"/>
      <c r="P20" s="285"/>
      <c r="Q20" s="285"/>
      <c r="R20" s="285"/>
      <c r="T20" s="121">
        <v>1.1906250009999999</v>
      </c>
      <c r="U20" s="137">
        <v>4.6875E-2</v>
      </c>
      <c r="V20" s="136">
        <v>6.25E-2</v>
      </c>
    </row>
    <row r="21" spans="1:22" x14ac:dyDescent="0.3">
      <c r="A21" s="139"/>
      <c r="B21" s="139"/>
      <c r="C21" s="140"/>
      <c r="D21" s="241" t="str">
        <f t="shared" ref="D21:D28" si="0">IF(A21="","",B21*RefOutput*(RefDist/C21)^2)</f>
        <v/>
      </c>
      <c r="E21" s="242"/>
      <c r="F21" s="142" t="str">
        <f>IF(OR(D21="TBD",D21=""),"",E21/(D21*1000))</f>
        <v/>
      </c>
      <c r="G21" s="143" t="str">
        <f>IF(M22="","",M22)</f>
        <v/>
      </c>
      <c r="H21" s="144" t="str">
        <f t="shared" ref="H21:H29" si="1">IF(M22="","",VLOOKUP(G21,$T$12:$U$49,2))</f>
        <v/>
      </c>
      <c r="L21" s="123" t="s">
        <v>124</v>
      </c>
      <c r="M21" s="123" t="s">
        <v>48</v>
      </c>
      <c r="N21" s="123" t="s">
        <v>50</v>
      </c>
      <c r="O21" s="123" t="s">
        <v>52</v>
      </c>
      <c r="P21" s="123" t="s">
        <v>54</v>
      </c>
      <c r="Q21" s="123" t="s">
        <v>57</v>
      </c>
      <c r="R21" s="123" t="s">
        <v>58</v>
      </c>
      <c r="T21" s="121">
        <v>1.3890625009999999</v>
      </c>
      <c r="U21" s="137">
        <v>5.46875E-2</v>
      </c>
      <c r="V21" s="136">
        <v>6.25E-2</v>
      </c>
    </row>
    <row r="22" spans="1:22" x14ac:dyDescent="0.3">
      <c r="A22" s="139"/>
      <c r="B22" s="139"/>
      <c r="C22" s="140"/>
      <c r="D22" s="241" t="str">
        <f t="shared" si="0"/>
        <v/>
      </c>
      <c r="E22" s="242"/>
      <c r="F22" s="142" t="str">
        <f t="shared" ref="F22:F28" si="2">IF(OR(D22="TBD",D22=""),"",E22/(D22*1000))</f>
        <v/>
      </c>
      <c r="G22" s="143" t="str">
        <f t="shared" ref="G22:G28" si="3">IF(M23="","",M23)</f>
        <v/>
      </c>
      <c r="H22" s="144" t="str">
        <f t="shared" si="1"/>
        <v/>
      </c>
      <c r="L22" s="145" t="str">
        <f t="shared" ref="L22:L30" si="4">IF(F21="","",F21)</f>
        <v/>
      </c>
      <c r="M22" s="145" t="str">
        <f t="shared" ref="M22:M33" si="5">IF($L22="","",LN(($L22^(-$O$13)+($N$13/$M$13))/(1+$N$13/$M$13))/($M$13*$O$13))</f>
        <v/>
      </c>
      <c r="N22" s="145" t="str">
        <f t="shared" ref="N22:N33" si="6">IF($L22="","",LN(($L22^(-$O$14)+($N$14/$M$14))/(1+$N$14/$M$14))/($M$14*$O$14))</f>
        <v/>
      </c>
      <c r="O22" s="145" t="str">
        <f t="shared" ref="O22:O33" si="7">IF($L22="","",LN(($L22^(-$O$15)+($N$15/$M$15))/(1+$N$15/$M$15))/($M$15*$O$15))</f>
        <v/>
      </c>
      <c r="P22" s="145" t="str">
        <f t="shared" ref="P22:P33" si="8">IF($L22="","",LN(($L22^(-$O$16)+($N$16/$M$16))/(1+$N$16/$M$16))/($M$16*$O$16))</f>
        <v/>
      </c>
      <c r="Q22" s="145" t="str">
        <f t="shared" ref="Q22:Q33" si="9">IF($L22="","",LN(($L22^(-$O$17)+($N$17/$M$17))/(1+$N$17/$M$17))/($M$17*$O$17))</f>
        <v/>
      </c>
      <c r="R22" s="145" t="str">
        <f t="shared" ref="R22:R33" si="10">IF($L22="","",LN(($L22^(-$O$18)+($N$18/$M$18))/(1+$N$18/$M$18))/($M$18*$O$18))</f>
        <v/>
      </c>
      <c r="T22" s="121">
        <v>1.587500001</v>
      </c>
      <c r="U22" s="137">
        <v>6.25E-2</v>
      </c>
      <c r="V22" s="136">
        <v>6.25E-2</v>
      </c>
    </row>
    <row r="23" spans="1:22" x14ac:dyDescent="0.3">
      <c r="A23" s="139"/>
      <c r="B23" s="139"/>
      <c r="C23" s="140"/>
      <c r="D23" s="241" t="str">
        <f t="shared" si="0"/>
        <v/>
      </c>
      <c r="E23" s="242"/>
      <c r="F23" s="142" t="str">
        <f t="shared" si="2"/>
        <v/>
      </c>
      <c r="G23" s="143" t="str">
        <f t="shared" si="3"/>
        <v/>
      </c>
      <c r="H23" s="144" t="str">
        <f t="shared" si="1"/>
        <v/>
      </c>
      <c r="L23" s="145" t="str">
        <f t="shared" si="4"/>
        <v/>
      </c>
      <c r="M23" s="145" t="str">
        <f t="shared" si="5"/>
        <v/>
      </c>
      <c r="N23" s="145" t="str">
        <f t="shared" si="6"/>
        <v/>
      </c>
      <c r="O23" s="145" t="str">
        <f t="shared" si="7"/>
        <v/>
      </c>
      <c r="P23" s="145" t="str">
        <f t="shared" si="8"/>
        <v/>
      </c>
      <c r="Q23" s="145" t="str">
        <f t="shared" si="9"/>
        <v/>
      </c>
      <c r="R23" s="145" t="str">
        <f t="shared" si="10"/>
        <v/>
      </c>
      <c r="T23" s="121">
        <v>1.785937501</v>
      </c>
      <c r="U23" s="137">
        <v>7.03125E-2</v>
      </c>
      <c r="V23" s="136">
        <v>9.375E-2</v>
      </c>
    </row>
    <row r="24" spans="1:22" x14ac:dyDescent="0.3">
      <c r="A24" s="139"/>
      <c r="B24" s="139"/>
      <c r="C24" s="140"/>
      <c r="D24" s="241" t="str">
        <f t="shared" si="0"/>
        <v/>
      </c>
      <c r="E24" s="242"/>
      <c r="F24" s="142" t="str">
        <f t="shared" si="2"/>
        <v/>
      </c>
      <c r="G24" s="143" t="str">
        <f t="shared" si="3"/>
        <v/>
      </c>
      <c r="H24" s="144" t="str">
        <f t="shared" si="1"/>
        <v/>
      </c>
      <c r="L24" s="145" t="str">
        <f t="shared" si="4"/>
        <v/>
      </c>
      <c r="M24" s="145" t="str">
        <f t="shared" si="5"/>
        <v/>
      </c>
      <c r="N24" s="145" t="str">
        <f t="shared" si="6"/>
        <v/>
      </c>
      <c r="O24" s="145" t="str">
        <f t="shared" si="7"/>
        <v/>
      </c>
      <c r="P24" s="145" t="str">
        <f t="shared" si="8"/>
        <v/>
      </c>
      <c r="Q24" s="145" t="str">
        <f t="shared" si="9"/>
        <v/>
      </c>
      <c r="R24" s="145" t="str">
        <f t="shared" si="10"/>
        <v/>
      </c>
      <c r="T24" s="121">
        <v>1.9843750010000001</v>
      </c>
      <c r="U24" s="137">
        <v>7.8125E-2</v>
      </c>
      <c r="V24" s="136">
        <v>9.375E-2</v>
      </c>
    </row>
    <row r="25" spans="1:22" x14ac:dyDescent="0.3">
      <c r="A25" s="139"/>
      <c r="B25" s="139"/>
      <c r="C25" s="140"/>
      <c r="D25" s="241" t="str">
        <f t="shared" si="0"/>
        <v/>
      </c>
      <c r="E25" s="242"/>
      <c r="F25" s="142" t="str">
        <f t="shared" si="2"/>
        <v/>
      </c>
      <c r="G25" s="143" t="str">
        <f t="shared" si="3"/>
        <v/>
      </c>
      <c r="H25" s="144" t="str">
        <f t="shared" si="1"/>
        <v/>
      </c>
      <c r="L25" s="145" t="str">
        <f t="shared" si="4"/>
        <v/>
      </c>
      <c r="M25" s="145" t="str">
        <f t="shared" si="5"/>
        <v/>
      </c>
      <c r="N25" s="145" t="str">
        <f t="shared" si="6"/>
        <v/>
      </c>
      <c r="O25" s="145" t="str">
        <f t="shared" si="7"/>
        <v/>
      </c>
      <c r="P25" s="145" t="str">
        <f t="shared" si="8"/>
        <v/>
      </c>
      <c r="Q25" s="145" t="str">
        <f t="shared" si="9"/>
        <v/>
      </c>
      <c r="R25" s="145" t="str">
        <f t="shared" si="10"/>
        <v/>
      </c>
      <c r="T25" s="121">
        <v>2.1828125009999999</v>
      </c>
      <c r="U25" s="137">
        <v>8.59375E-2</v>
      </c>
      <c r="V25" s="136">
        <v>9.375E-2</v>
      </c>
    </row>
    <row r="26" spans="1:22" x14ac:dyDescent="0.3">
      <c r="A26" s="139"/>
      <c r="B26" s="139"/>
      <c r="C26" s="140"/>
      <c r="D26" s="241" t="str">
        <f t="shared" si="0"/>
        <v/>
      </c>
      <c r="E26" s="242"/>
      <c r="F26" s="142" t="str">
        <f t="shared" si="2"/>
        <v/>
      </c>
      <c r="G26" s="143" t="str">
        <f t="shared" si="3"/>
        <v/>
      </c>
      <c r="H26" s="144" t="str">
        <f t="shared" si="1"/>
        <v/>
      </c>
      <c r="L26" s="145" t="str">
        <f t="shared" si="4"/>
        <v/>
      </c>
      <c r="M26" s="145" t="str">
        <f t="shared" si="5"/>
        <v/>
      </c>
      <c r="N26" s="145" t="str">
        <f t="shared" si="6"/>
        <v/>
      </c>
      <c r="O26" s="145" t="str">
        <f t="shared" si="7"/>
        <v/>
      </c>
      <c r="P26" s="145" t="str">
        <f t="shared" si="8"/>
        <v/>
      </c>
      <c r="Q26" s="145" t="str">
        <f t="shared" si="9"/>
        <v/>
      </c>
      <c r="R26" s="145" t="str">
        <f t="shared" si="10"/>
        <v/>
      </c>
      <c r="T26" s="121">
        <v>2.3812500009999997</v>
      </c>
      <c r="U26" s="137">
        <v>9.375E-2</v>
      </c>
      <c r="V26" s="136">
        <v>9.375E-2</v>
      </c>
    </row>
    <row r="27" spans="1:22" x14ac:dyDescent="0.3">
      <c r="A27" s="139"/>
      <c r="B27" s="139"/>
      <c r="C27" s="140"/>
      <c r="D27" s="241" t="str">
        <f t="shared" si="0"/>
        <v/>
      </c>
      <c r="E27" s="242"/>
      <c r="F27" s="142" t="str">
        <f t="shared" si="2"/>
        <v/>
      </c>
      <c r="G27" s="143" t="str">
        <f t="shared" si="3"/>
        <v/>
      </c>
      <c r="H27" s="144" t="str">
        <f t="shared" si="1"/>
        <v/>
      </c>
      <c r="L27" s="145" t="str">
        <f t="shared" si="4"/>
        <v/>
      </c>
      <c r="M27" s="145" t="str">
        <f t="shared" si="5"/>
        <v/>
      </c>
      <c r="N27" s="145" t="str">
        <f t="shared" si="6"/>
        <v/>
      </c>
      <c r="O27" s="145" t="str">
        <f t="shared" si="7"/>
        <v/>
      </c>
      <c r="P27" s="145" t="str">
        <f t="shared" si="8"/>
        <v/>
      </c>
      <c r="Q27" s="145" t="str">
        <f t="shared" si="9"/>
        <v/>
      </c>
      <c r="R27" s="145" t="str">
        <f t="shared" si="10"/>
        <v/>
      </c>
      <c r="T27" s="121">
        <v>2.579687501</v>
      </c>
      <c r="U27" s="137">
        <v>0.1015625</v>
      </c>
      <c r="V27" s="136">
        <v>0.125</v>
      </c>
    </row>
    <row r="28" spans="1:22" x14ac:dyDescent="0.3">
      <c r="A28" s="139"/>
      <c r="B28" s="139"/>
      <c r="C28" s="140"/>
      <c r="D28" s="241" t="str">
        <f t="shared" si="0"/>
        <v/>
      </c>
      <c r="E28" s="242"/>
      <c r="F28" s="142" t="str">
        <f t="shared" si="2"/>
        <v/>
      </c>
      <c r="G28" s="143" t="str">
        <f t="shared" si="3"/>
        <v/>
      </c>
      <c r="H28" s="144" t="str">
        <f t="shared" si="1"/>
        <v/>
      </c>
      <c r="L28" s="145" t="str">
        <f t="shared" si="4"/>
        <v/>
      </c>
      <c r="M28" s="145" t="str">
        <f t="shared" si="5"/>
        <v/>
      </c>
      <c r="N28" s="145" t="str">
        <f t="shared" si="6"/>
        <v/>
      </c>
      <c r="O28" s="145" t="str">
        <f t="shared" si="7"/>
        <v/>
      </c>
      <c r="P28" s="145" t="str">
        <f t="shared" si="8"/>
        <v/>
      </c>
      <c r="Q28" s="145" t="str">
        <f t="shared" si="9"/>
        <v/>
      </c>
      <c r="R28" s="145" t="str">
        <f t="shared" si="10"/>
        <v/>
      </c>
      <c r="T28" s="121">
        <v>2.7781250009999998</v>
      </c>
      <c r="U28" s="137">
        <v>0.109375</v>
      </c>
      <c r="V28" s="136">
        <v>0.125</v>
      </c>
    </row>
    <row r="29" spans="1:22" x14ac:dyDescent="0.3">
      <c r="C29" s="143"/>
      <c r="D29" s="241" t="str">
        <f t="shared" ref="D29:D30" si="11">IF(A29="","",B29*RefOutput*(RefDist/C29)^2)</f>
        <v/>
      </c>
      <c r="E29" s="142"/>
      <c r="F29" s="142" t="str">
        <f>IF(OR(D29="TBD",D29=""),"",E29/(D29*1000))</f>
        <v/>
      </c>
      <c r="G29" s="143" t="str">
        <f>IF(M30="","",M30)</f>
        <v/>
      </c>
      <c r="H29" s="144" t="str">
        <f t="shared" si="1"/>
        <v/>
      </c>
      <c r="L29" s="145" t="str">
        <f t="shared" si="4"/>
        <v/>
      </c>
      <c r="M29" s="145" t="str">
        <f t="shared" si="5"/>
        <v/>
      </c>
      <c r="N29" s="145" t="str">
        <f t="shared" si="6"/>
        <v/>
      </c>
      <c r="O29" s="145" t="str">
        <f t="shared" si="7"/>
        <v/>
      </c>
      <c r="P29" s="145" t="str">
        <f t="shared" si="8"/>
        <v/>
      </c>
      <c r="Q29" s="145" t="str">
        <f t="shared" si="9"/>
        <v/>
      </c>
      <c r="R29" s="145" t="str">
        <f t="shared" si="10"/>
        <v/>
      </c>
      <c r="T29" s="121">
        <v>2.9765625010000001</v>
      </c>
      <c r="U29" s="137">
        <v>0.1171875</v>
      </c>
      <c r="V29" s="136">
        <v>0.125</v>
      </c>
    </row>
    <row r="30" spans="1:22" x14ac:dyDescent="0.3">
      <c r="C30" s="143"/>
      <c r="D30" s="241" t="str">
        <f t="shared" si="11"/>
        <v/>
      </c>
      <c r="E30" s="142"/>
      <c r="F30" s="142" t="str">
        <f t="shared" ref="F30" si="12">IF(OR(D30="TBD",D30=""),"",E30/(D30*1000))</f>
        <v/>
      </c>
      <c r="G30" s="143" t="str">
        <f t="shared" ref="G30" si="13">IF(M31="","",M31)</f>
        <v/>
      </c>
      <c r="H30" s="144" t="str">
        <f t="shared" ref="H30" si="14">IF(M31="","",VLOOKUP(G30,$T$12:$U$49,2))</f>
        <v/>
      </c>
      <c r="L30" s="145" t="str">
        <f t="shared" si="4"/>
        <v/>
      </c>
      <c r="M30" s="145" t="str">
        <f t="shared" si="5"/>
        <v/>
      </c>
      <c r="N30" s="145" t="str">
        <f t="shared" si="6"/>
        <v/>
      </c>
      <c r="O30" s="145" t="str">
        <f t="shared" si="7"/>
        <v/>
      </c>
      <c r="P30" s="145" t="str">
        <f t="shared" si="8"/>
        <v/>
      </c>
      <c r="Q30" s="145" t="str">
        <f t="shared" si="9"/>
        <v/>
      </c>
      <c r="R30" s="145" t="str">
        <f t="shared" si="10"/>
        <v/>
      </c>
      <c r="T30" s="121">
        <v>3.1750000009999999</v>
      </c>
      <c r="U30" s="137">
        <v>0.125</v>
      </c>
      <c r="V30" s="136">
        <v>0.125</v>
      </c>
    </row>
    <row r="31" spans="1:22" x14ac:dyDescent="0.3">
      <c r="F31" s="143"/>
      <c r="G31" s="143"/>
      <c r="H31" s="144"/>
      <c r="L31" s="145" t="str">
        <f t="shared" ref="L31" si="15">IF(F30="","",F30)</f>
        <v/>
      </c>
      <c r="M31" s="145" t="str">
        <f t="shared" si="5"/>
        <v/>
      </c>
      <c r="N31" s="145" t="str">
        <f t="shared" si="6"/>
        <v/>
      </c>
      <c r="O31" s="145" t="str">
        <f t="shared" si="7"/>
        <v/>
      </c>
      <c r="P31" s="145" t="str">
        <f t="shared" si="8"/>
        <v/>
      </c>
      <c r="Q31" s="145" t="str">
        <f t="shared" si="9"/>
        <v/>
      </c>
      <c r="R31" s="145" t="str">
        <f t="shared" si="10"/>
        <v/>
      </c>
      <c r="U31" s="137"/>
      <c r="V31" s="136"/>
    </row>
    <row r="32" spans="1:22" x14ac:dyDescent="0.3">
      <c r="F32" s="143"/>
      <c r="G32" s="143"/>
      <c r="H32" s="144"/>
      <c r="L32" s="145"/>
      <c r="M32" s="145"/>
      <c r="N32" s="145"/>
      <c r="O32" s="145"/>
      <c r="P32" s="145"/>
      <c r="Q32" s="145"/>
      <c r="R32" s="145"/>
      <c r="U32" s="137"/>
      <c r="V32" s="136"/>
    </row>
    <row r="33" spans="1:22" x14ac:dyDescent="0.3">
      <c r="L33" s="145" t="str">
        <f>IF(F30="","",F30)</f>
        <v/>
      </c>
      <c r="M33" s="145" t="str">
        <f t="shared" si="5"/>
        <v/>
      </c>
      <c r="N33" s="145" t="str">
        <f t="shared" si="6"/>
        <v/>
      </c>
      <c r="O33" s="145" t="str">
        <f t="shared" si="7"/>
        <v/>
      </c>
      <c r="P33" s="145" t="str">
        <f t="shared" si="8"/>
        <v/>
      </c>
      <c r="Q33" s="145" t="str">
        <f t="shared" si="9"/>
        <v/>
      </c>
      <c r="R33" s="145" t="str">
        <f t="shared" si="10"/>
        <v/>
      </c>
      <c r="T33" s="121">
        <v>3.3734375009999997</v>
      </c>
      <c r="U33" s="137">
        <v>0.1328125</v>
      </c>
      <c r="V33" s="136">
        <v>0.15625</v>
      </c>
    </row>
    <row r="34" spans="1:22" x14ac:dyDescent="0.3">
      <c r="A34" s="141"/>
      <c r="B34" s="141"/>
      <c r="C34" s="141"/>
      <c r="D34" s="141"/>
      <c r="T34" s="121">
        <v>3.571875001</v>
      </c>
      <c r="U34" s="137">
        <v>0.140625</v>
      </c>
      <c r="V34" s="136">
        <v>0.15625</v>
      </c>
    </row>
    <row r="35" spans="1:22" x14ac:dyDescent="0.3">
      <c r="A35" s="121" t="s">
        <v>326</v>
      </c>
      <c r="T35" s="121">
        <v>3.7703125009999998</v>
      </c>
      <c r="U35" s="137">
        <v>0.1484375</v>
      </c>
      <c r="V35" s="136">
        <v>0.15625</v>
      </c>
    </row>
    <row r="36" spans="1:22" x14ac:dyDescent="0.3">
      <c r="A36" s="121" t="s">
        <v>125</v>
      </c>
      <c r="T36" s="121">
        <v>3.9687500010000001</v>
      </c>
      <c r="U36" s="137">
        <v>0.15625</v>
      </c>
      <c r="V36" s="136">
        <v>0.15625</v>
      </c>
    </row>
    <row r="37" spans="1:22" x14ac:dyDescent="0.3">
      <c r="T37" s="121">
        <v>4.1671875009999999</v>
      </c>
      <c r="U37" s="137">
        <v>0.1640625</v>
      </c>
      <c r="V37" s="136">
        <v>0.1875</v>
      </c>
    </row>
    <row r="38" spans="1:22" x14ac:dyDescent="0.3">
      <c r="T38" s="121">
        <v>4.3656250009999997</v>
      </c>
      <c r="U38" s="137">
        <v>0.171875</v>
      </c>
      <c r="V38" s="136">
        <v>0.1875</v>
      </c>
    </row>
    <row r="39" spans="1:22" x14ac:dyDescent="0.3">
      <c r="T39" s="121">
        <v>4.5640625009999995</v>
      </c>
      <c r="U39" s="137">
        <v>0.1796875</v>
      </c>
      <c r="V39" s="136">
        <v>0.1875</v>
      </c>
    </row>
    <row r="40" spans="1:22" x14ac:dyDescent="0.3">
      <c r="T40" s="121">
        <v>4.7625000009999994</v>
      </c>
      <c r="U40" s="137">
        <v>0.1875</v>
      </c>
      <c r="V40" s="136">
        <v>0.1875</v>
      </c>
    </row>
    <row r="41" spans="1:22" x14ac:dyDescent="0.3">
      <c r="T41" s="121">
        <v>4.9609375010000001</v>
      </c>
      <c r="U41" s="137">
        <v>0.1953125</v>
      </c>
      <c r="V41" s="136">
        <v>0.21875</v>
      </c>
    </row>
    <row r="42" spans="1:22" x14ac:dyDescent="0.3">
      <c r="T42" s="121">
        <v>5.1593750009999999</v>
      </c>
      <c r="U42" s="137">
        <v>0.203125</v>
      </c>
      <c r="V42" s="136">
        <v>0.21875</v>
      </c>
    </row>
    <row r="43" spans="1:22" x14ac:dyDescent="0.3">
      <c r="T43" s="121">
        <v>5.3578125009999997</v>
      </c>
      <c r="U43" s="137">
        <v>0.2109375</v>
      </c>
      <c r="V43" s="136">
        <v>0.21875</v>
      </c>
    </row>
    <row r="44" spans="1:22" x14ac:dyDescent="0.3">
      <c r="T44" s="121">
        <v>5.5562500009999995</v>
      </c>
      <c r="U44" s="137">
        <v>0.21875</v>
      </c>
      <c r="V44" s="136">
        <v>0.21875</v>
      </c>
    </row>
    <row r="45" spans="1:22" x14ac:dyDescent="0.3">
      <c r="T45" s="121">
        <v>5.7546875009999994</v>
      </c>
      <c r="U45" s="137">
        <v>0.2265625</v>
      </c>
      <c r="V45" s="136">
        <v>0.25</v>
      </c>
    </row>
    <row r="46" spans="1:22" x14ac:dyDescent="0.3">
      <c r="T46" s="121">
        <v>5.9531250010000001</v>
      </c>
      <c r="U46" s="137">
        <v>0.234375</v>
      </c>
      <c r="V46" s="136">
        <v>0.25</v>
      </c>
    </row>
    <row r="47" spans="1:22" x14ac:dyDescent="0.3">
      <c r="T47" s="121">
        <v>6.1515625009999999</v>
      </c>
      <c r="U47" s="137">
        <v>0.2421875</v>
      </c>
      <c r="V47" s="136">
        <v>0.25</v>
      </c>
    </row>
    <row r="48" spans="1:22" x14ac:dyDescent="0.3">
      <c r="T48" s="121">
        <v>6.3500000009999997</v>
      </c>
      <c r="U48" s="137">
        <v>0.25</v>
      </c>
      <c r="V48" s="136" t="s">
        <v>86</v>
      </c>
    </row>
    <row r="49" spans="20:20" x14ac:dyDescent="0.3">
      <c r="T49" s="121">
        <v>25.400000000999999</v>
      </c>
    </row>
  </sheetData>
  <mergeCells count="2">
    <mergeCell ref="F18:F20"/>
    <mergeCell ref="L20:R20"/>
  </mergeCells>
  <phoneticPr fontId="4" type="noConversion"/>
  <pageMargins left="0.75" right="0.75" top="1" bottom="1" header="0.5" footer="0.5"/>
  <pageSetup scale="97" orientation="portrait" horizontalDpi="300" verticalDpi="300" r:id="rId1"/>
  <headerFooter alignWithMargins="0">
    <oddFooter>&amp;R&amp;P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32"/>
  <sheetViews>
    <sheetView zoomScale="75" workbookViewId="0"/>
  </sheetViews>
  <sheetFormatPr defaultColWidth="10.33203125" defaultRowHeight="13.2" x14ac:dyDescent="0.25"/>
  <cols>
    <col min="1" max="16384" width="10.33203125" style="150"/>
  </cols>
  <sheetData>
    <row r="1" spans="1:32" ht="13.8" thickTop="1" x14ac:dyDescent="0.25">
      <c r="A1" s="146" t="s">
        <v>89</v>
      </c>
      <c r="B1" s="147"/>
      <c r="C1" s="148"/>
      <c r="D1" s="148"/>
      <c r="E1" s="147"/>
      <c r="F1" s="147"/>
      <c r="G1" s="148"/>
      <c r="H1" s="148"/>
      <c r="I1" s="148"/>
      <c r="J1" s="147"/>
      <c r="K1" s="149"/>
      <c r="L1" s="147"/>
      <c r="M1" s="147"/>
      <c r="N1" s="147"/>
      <c r="O1" s="147"/>
      <c r="P1" s="147"/>
      <c r="Q1" s="146" t="s">
        <v>89</v>
      </c>
      <c r="R1" s="147"/>
      <c r="S1" s="148"/>
      <c r="T1" s="148"/>
      <c r="U1" s="147"/>
      <c r="V1" s="147"/>
      <c r="W1" s="148"/>
      <c r="X1" s="148"/>
      <c r="Y1" s="148"/>
      <c r="Z1" s="147"/>
      <c r="AA1" s="149"/>
      <c r="AB1" s="147"/>
      <c r="AC1" s="147"/>
      <c r="AD1" s="147"/>
      <c r="AE1" s="147"/>
      <c r="AF1" s="149"/>
    </row>
    <row r="2" spans="1:32" x14ac:dyDescent="0.25">
      <c r="A2" s="151"/>
      <c r="B2" s="152"/>
      <c r="C2" s="153"/>
      <c r="D2" s="153"/>
      <c r="G2" s="153"/>
      <c r="H2" s="153"/>
      <c r="I2" s="153"/>
      <c r="Q2" s="154"/>
      <c r="AF2" s="155"/>
    </row>
    <row r="3" spans="1:32" x14ac:dyDescent="0.25">
      <c r="A3" s="156"/>
      <c r="B3" s="157" t="s">
        <v>94</v>
      </c>
      <c r="C3" s="153"/>
      <c r="D3" s="153"/>
      <c r="E3" s="158"/>
      <c r="F3" s="158"/>
      <c r="G3" s="157" t="s">
        <v>95</v>
      </c>
      <c r="H3" s="153"/>
      <c r="I3" s="153"/>
      <c r="J3" s="158"/>
      <c r="K3" s="158"/>
      <c r="L3" s="157" t="s">
        <v>52</v>
      </c>
      <c r="M3" s="153"/>
      <c r="N3" s="153"/>
      <c r="O3" s="158"/>
      <c r="P3" s="158"/>
      <c r="Q3" s="159" t="s">
        <v>54</v>
      </c>
      <c r="R3" s="153"/>
      <c r="S3" s="153"/>
      <c r="T3" s="158"/>
      <c r="U3" s="158"/>
      <c r="V3" s="157" t="s">
        <v>96</v>
      </c>
      <c r="W3" s="153"/>
      <c r="X3" s="153"/>
      <c r="Y3" s="158"/>
      <c r="Z3" s="158"/>
      <c r="AA3" s="157" t="s">
        <v>58</v>
      </c>
      <c r="AB3" s="153"/>
      <c r="AC3" s="153"/>
      <c r="AD3" s="158"/>
      <c r="AE3" s="158"/>
      <c r="AF3" s="160"/>
    </row>
    <row r="4" spans="1:32" x14ac:dyDescent="0.25">
      <c r="A4" s="161" t="s">
        <v>37</v>
      </c>
      <c r="B4" s="162" t="s">
        <v>40</v>
      </c>
      <c r="C4" s="162" t="s">
        <v>41</v>
      </c>
      <c r="D4" s="162" t="s">
        <v>42</v>
      </c>
      <c r="E4" s="163" t="s">
        <v>44</v>
      </c>
      <c r="F4" s="163" t="s">
        <v>45</v>
      </c>
      <c r="G4" s="162" t="s">
        <v>40</v>
      </c>
      <c r="H4" s="162" t="s">
        <v>41</v>
      </c>
      <c r="I4" s="162" t="s">
        <v>42</v>
      </c>
      <c r="J4" s="163" t="s">
        <v>44</v>
      </c>
      <c r="K4" s="163" t="s">
        <v>45</v>
      </c>
      <c r="L4" s="162" t="s">
        <v>40</v>
      </c>
      <c r="M4" s="162" t="s">
        <v>41</v>
      </c>
      <c r="N4" s="162" t="s">
        <v>42</v>
      </c>
      <c r="O4" s="163" t="s">
        <v>44</v>
      </c>
      <c r="P4" s="163" t="s">
        <v>45</v>
      </c>
      <c r="Q4" s="164" t="s">
        <v>40</v>
      </c>
      <c r="R4" s="162" t="s">
        <v>41</v>
      </c>
      <c r="S4" s="162" t="s">
        <v>42</v>
      </c>
      <c r="T4" s="163" t="s">
        <v>44</v>
      </c>
      <c r="U4" s="163" t="s">
        <v>45</v>
      </c>
      <c r="V4" s="162" t="s">
        <v>40</v>
      </c>
      <c r="W4" s="162" t="s">
        <v>41</v>
      </c>
      <c r="X4" s="162" t="s">
        <v>42</v>
      </c>
      <c r="Y4" s="163" t="s">
        <v>44</v>
      </c>
      <c r="Z4" s="163" t="s">
        <v>45</v>
      </c>
      <c r="AA4" s="162" t="s">
        <v>40</v>
      </c>
      <c r="AB4" s="162" t="s">
        <v>41</v>
      </c>
      <c r="AC4" s="162" t="s">
        <v>42</v>
      </c>
      <c r="AD4" s="163" t="s">
        <v>44</v>
      </c>
      <c r="AE4" s="163" t="s">
        <v>45</v>
      </c>
      <c r="AF4" s="165" t="s">
        <v>97</v>
      </c>
    </row>
    <row r="5" spans="1:32" x14ac:dyDescent="0.25">
      <c r="A5" s="166">
        <v>25</v>
      </c>
      <c r="B5" s="167">
        <v>49.52</v>
      </c>
      <c r="C5" s="167">
        <v>194</v>
      </c>
      <c r="D5" s="167">
        <v>0.30370000000000003</v>
      </c>
      <c r="E5" s="167">
        <f t="shared" ref="E5:E30" si="0">IF(B5="","",LN(2)/B5)</f>
        <v>1.3997317862680639E-2</v>
      </c>
      <c r="F5" s="167">
        <f t="shared" ref="F5:F30" si="1">IF(E5="","",(LN(10)/LN(2))*E5)</f>
        <v>4.6498083461107544E-2</v>
      </c>
      <c r="G5" s="167">
        <v>0.39040000000000002</v>
      </c>
      <c r="H5" s="167">
        <v>1.645</v>
      </c>
      <c r="I5" s="167">
        <v>0.2757</v>
      </c>
      <c r="J5" s="167">
        <f t="shared" ref="J5:J30" si="2">IF(G5="","",LN(2)/G5)</f>
        <v>1.775479458401499</v>
      </c>
      <c r="K5" s="167">
        <f t="shared" ref="K5:K30" si="3">IF(J5="","",(LN(10)/LN(2))*J5)</f>
        <v>5.8980150947593382</v>
      </c>
      <c r="L5" s="167">
        <v>0.15759999999999999</v>
      </c>
      <c r="M5" s="167">
        <v>0.71750000000000003</v>
      </c>
      <c r="N5" s="167">
        <v>0.30480000000000002</v>
      </c>
      <c r="O5" s="167">
        <f t="shared" ref="O5:O30" si="4">IF(L5="","",LN(2)/L5)</f>
        <v>4.3981420086290948</v>
      </c>
      <c r="P5" s="167">
        <f t="shared" ref="P5:P30" si="5">IF(O5="","",(LN(10)/LN(2))*O5)</f>
        <v>14.610311503769328</v>
      </c>
      <c r="Q5" s="156">
        <v>9.3640000000000008</v>
      </c>
      <c r="R5" s="167">
        <v>41.25</v>
      </c>
      <c r="S5" s="167">
        <v>0.32019999999999998</v>
      </c>
      <c r="T5" s="167">
        <f t="shared" ref="T5:T30" si="6">IF(Q5="","",LN(2)/Q5)</f>
        <v>7.4022552387862581E-2</v>
      </c>
      <c r="U5" s="167">
        <f t="shared" ref="U5:U30" si="7">IF(T5="","",(LN(10)/LN(2))*T5)</f>
        <v>0.24589759643251233</v>
      </c>
      <c r="V5" s="167">
        <v>0.38040000000000002</v>
      </c>
      <c r="W5" s="167">
        <v>1.5429999999999999</v>
      </c>
      <c r="X5" s="167">
        <v>0.28689999999999999</v>
      </c>
      <c r="Y5" s="167">
        <f t="shared" ref="Y5:Y30" si="8">IF(V5="","",LN(2)/V5)</f>
        <v>1.8221534715035363</v>
      </c>
      <c r="Z5" s="167">
        <f t="shared" ref="Z5:Z30" si="9">IF(Y5="","",(LN(10)/LN(2))*Y5)</f>
        <v>6.0530628101841364</v>
      </c>
      <c r="AA5" s="167">
        <v>2.23E-2</v>
      </c>
      <c r="AB5" s="167">
        <v>4.3400000000000001E-2</v>
      </c>
      <c r="AC5" s="167">
        <v>0.19370000000000001</v>
      </c>
      <c r="AD5" s="167">
        <f t="shared" ref="AD5:AD30" si="10">IF(AA5="","",LN(2)/AA5)</f>
        <v>31.082833208966157</v>
      </c>
      <c r="AE5" s="167">
        <f t="shared" ref="AE5:AE30" si="11">IF(AD5="","",(LN(10)/LN(2))*AD5)</f>
        <v>103.2549369055626</v>
      </c>
      <c r="AF5" s="160">
        <f>0.1965*A5-3.429</f>
        <v>1.4835000000000007</v>
      </c>
    </row>
    <row r="6" spans="1:32" x14ac:dyDescent="0.25">
      <c r="A6" s="166">
        <v>30</v>
      </c>
      <c r="B6" s="167">
        <v>38.799999999999997</v>
      </c>
      <c r="C6" s="167">
        <v>178</v>
      </c>
      <c r="D6" s="167">
        <v>0.3473</v>
      </c>
      <c r="E6" s="167">
        <f t="shared" si="0"/>
        <v>1.7864618055668694E-2</v>
      </c>
      <c r="F6" s="167">
        <f t="shared" si="1"/>
        <v>5.9344976623557887E-2</v>
      </c>
      <c r="G6" s="167">
        <v>0.31730000000000003</v>
      </c>
      <c r="H6" s="167">
        <v>1.698</v>
      </c>
      <c r="I6" s="167">
        <v>0.35930000000000001</v>
      </c>
      <c r="J6" s="167">
        <f t="shared" si="2"/>
        <v>2.1845167997477</v>
      </c>
      <c r="K6" s="167">
        <f t="shared" si="3"/>
        <v>7.2568077308353152</v>
      </c>
      <c r="L6" s="167">
        <v>0.1208</v>
      </c>
      <c r="M6" s="167">
        <v>0.70430000000000004</v>
      </c>
      <c r="N6" s="167">
        <v>0.36130000000000001</v>
      </c>
      <c r="O6" s="167">
        <f t="shared" si="4"/>
        <v>5.7379733490061691</v>
      </c>
      <c r="P6" s="167">
        <f t="shared" si="5"/>
        <v>19.061134875778524</v>
      </c>
      <c r="Q6" s="156">
        <v>7.4059999999999997</v>
      </c>
      <c r="R6" s="167">
        <v>41.93</v>
      </c>
      <c r="S6" s="167">
        <v>0.39589999999999997</v>
      </c>
      <c r="T6" s="167">
        <f t="shared" si="6"/>
        <v>9.3592651979468713E-2</v>
      </c>
      <c r="U6" s="167">
        <f t="shared" si="7"/>
        <v>0.31090806008561245</v>
      </c>
      <c r="V6" s="167">
        <v>0.30609999999999998</v>
      </c>
      <c r="W6" s="167">
        <v>1.599</v>
      </c>
      <c r="X6" s="167">
        <v>0.36930000000000002</v>
      </c>
      <c r="Y6" s="167">
        <f t="shared" si="8"/>
        <v>2.2644468492647674</v>
      </c>
      <c r="Z6" s="167">
        <f t="shared" si="9"/>
        <v>7.5223296079517992</v>
      </c>
      <c r="AA6" s="167">
        <v>2.1659999999999999E-2</v>
      </c>
      <c r="AB6" s="167">
        <v>3.9660000000000001E-2</v>
      </c>
      <c r="AC6" s="167">
        <v>0.2843</v>
      </c>
      <c r="AD6" s="167">
        <f t="shared" si="10"/>
        <v>32.001254873497011</v>
      </c>
      <c r="AE6" s="167">
        <f t="shared" si="11"/>
        <v>106.30586763592085</v>
      </c>
      <c r="AF6" s="160">
        <f>0.1965*A6-3.429</f>
        <v>2.4660000000000006</v>
      </c>
    </row>
    <row r="7" spans="1:32" x14ac:dyDescent="0.25">
      <c r="A7" s="166">
        <v>35</v>
      </c>
      <c r="B7" s="167">
        <v>29.55</v>
      </c>
      <c r="C7" s="167">
        <v>164.7</v>
      </c>
      <c r="D7" s="167">
        <v>0.39479999999999998</v>
      </c>
      <c r="E7" s="167">
        <f t="shared" si="0"/>
        <v>2.345675737935517E-2</v>
      </c>
      <c r="F7" s="167">
        <f t="shared" si="1"/>
        <v>7.7921661353436408E-2</v>
      </c>
      <c r="G7" s="167">
        <v>0.25280000000000002</v>
      </c>
      <c r="H7" s="167">
        <v>1.8069999999999999</v>
      </c>
      <c r="I7" s="167">
        <v>0.46479999999999999</v>
      </c>
      <c r="J7" s="167">
        <f t="shared" si="2"/>
        <v>2.741879669936492</v>
      </c>
      <c r="K7" s="167">
        <f t="shared" si="3"/>
        <v>9.1083271083625217</v>
      </c>
      <c r="L7" s="167">
        <v>8.8779999999999998E-2</v>
      </c>
      <c r="M7" s="167">
        <v>0.69879999999999998</v>
      </c>
      <c r="N7" s="167">
        <v>0.42449999999999999</v>
      </c>
      <c r="O7" s="167">
        <f t="shared" si="4"/>
        <v>7.8074699319660432</v>
      </c>
      <c r="P7" s="167">
        <f t="shared" si="5"/>
        <v>25.935853716986326</v>
      </c>
      <c r="Q7" s="156">
        <v>5.7160000000000002</v>
      </c>
      <c r="R7" s="167">
        <v>43.41</v>
      </c>
      <c r="S7" s="167">
        <v>0.48570000000000002</v>
      </c>
      <c r="T7" s="167">
        <f t="shared" si="6"/>
        <v>0.12126437728480498</v>
      </c>
      <c r="U7" s="167">
        <f t="shared" si="7"/>
        <v>0.40283154181141456</v>
      </c>
      <c r="V7" s="167">
        <v>0.23960000000000001</v>
      </c>
      <c r="W7" s="167">
        <v>1.694</v>
      </c>
      <c r="X7" s="167">
        <v>0.46829999999999999</v>
      </c>
      <c r="Y7" s="167">
        <f t="shared" si="8"/>
        <v>2.892934810350356</v>
      </c>
      <c r="Z7" s="167">
        <f t="shared" si="9"/>
        <v>9.6101214231804928</v>
      </c>
      <c r="AA7" s="167">
        <v>1.9009999999999999E-2</v>
      </c>
      <c r="AB7" s="167">
        <v>3.8730000000000001E-2</v>
      </c>
      <c r="AC7" s="167">
        <v>0.37319999999999998</v>
      </c>
      <c r="AD7" s="167">
        <f t="shared" si="10"/>
        <v>36.462239903205962</v>
      </c>
      <c r="AE7" s="167">
        <f t="shared" si="11"/>
        <v>121.12493913698296</v>
      </c>
      <c r="AF7" s="160">
        <f>0.1965*A7-3.429</f>
        <v>3.4485000000000006</v>
      </c>
    </row>
    <row r="8" spans="1:32" x14ac:dyDescent="0.25">
      <c r="A8" s="166">
        <v>40</v>
      </c>
      <c r="B8" s="167"/>
      <c r="C8" s="167"/>
      <c r="D8" s="167"/>
      <c r="E8" s="167" t="str">
        <f t="shared" si="0"/>
        <v/>
      </c>
      <c r="F8" s="167" t="str">
        <f t="shared" si="1"/>
        <v/>
      </c>
      <c r="G8" s="167">
        <v>0.12970000000000001</v>
      </c>
      <c r="H8" s="167">
        <v>0.17799999999999999</v>
      </c>
      <c r="I8" s="167">
        <v>0.21890000000000001</v>
      </c>
      <c r="J8" s="167">
        <f t="shared" si="2"/>
        <v>5.3442342371622606</v>
      </c>
      <c r="K8" s="167">
        <f t="shared" si="3"/>
        <v>17.753161858088248</v>
      </c>
      <c r="L8" s="167"/>
      <c r="M8" s="167"/>
      <c r="N8" s="167"/>
      <c r="O8" s="167" t="str">
        <f t="shared" si="4"/>
        <v/>
      </c>
      <c r="P8" s="167" t="str">
        <f t="shared" si="5"/>
        <v/>
      </c>
      <c r="Q8" s="156"/>
      <c r="R8" s="167"/>
      <c r="S8" s="167"/>
      <c r="T8" s="167" t="str">
        <f t="shared" si="6"/>
        <v/>
      </c>
      <c r="U8" s="167" t="str">
        <f t="shared" si="7"/>
        <v/>
      </c>
      <c r="V8" s="167"/>
      <c r="W8" s="167"/>
      <c r="X8" s="167"/>
      <c r="Y8" s="167" t="str">
        <f t="shared" si="8"/>
        <v/>
      </c>
      <c r="Z8" s="167" t="str">
        <f t="shared" si="9"/>
        <v/>
      </c>
      <c r="AA8" s="167"/>
      <c r="AB8" s="167"/>
      <c r="AC8" s="167"/>
      <c r="AD8" s="167" t="str">
        <f t="shared" si="10"/>
        <v/>
      </c>
      <c r="AE8" s="167" t="str">
        <f t="shared" si="11"/>
        <v/>
      </c>
      <c r="AF8" s="160">
        <f t="shared" ref="AF8:AF30" si="12">1.222-0.05664*A8+0.001227*A8^2-0.000003136*A8^3</f>
        <v>0.71889599999999998</v>
      </c>
    </row>
    <row r="9" spans="1:32" x14ac:dyDescent="0.25">
      <c r="A9" s="166">
        <v>45</v>
      </c>
      <c r="B9" s="167"/>
      <c r="C9" s="167"/>
      <c r="D9" s="167"/>
      <c r="E9" s="167" t="str">
        <f t="shared" si="0"/>
        <v/>
      </c>
      <c r="F9" s="167" t="str">
        <f t="shared" si="1"/>
        <v/>
      </c>
      <c r="G9" s="167">
        <v>0.1095</v>
      </c>
      <c r="H9" s="167">
        <v>0.1741</v>
      </c>
      <c r="I9" s="167">
        <v>0.22689999999999999</v>
      </c>
      <c r="J9" s="167">
        <f t="shared" si="2"/>
        <v>6.3301112379903683</v>
      </c>
      <c r="K9" s="167">
        <f t="shared" si="3"/>
        <v>21.028174365242428</v>
      </c>
      <c r="L9" s="167"/>
      <c r="M9" s="167"/>
      <c r="N9" s="167"/>
      <c r="O9" s="167" t="str">
        <f t="shared" si="4"/>
        <v/>
      </c>
      <c r="P9" s="167" t="str">
        <f t="shared" si="5"/>
        <v/>
      </c>
      <c r="Q9" s="156"/>
      <c r="R9" s="167"/>
      <c r="S9" s="167"/>
      <c r="T9" s="167" t="str">
        <f t="shared" si="6"/>
        <v/>
      </c>
      <c r="U9" s="167" t="str">
        <f t="shared" si="7"/>
        <v/>
      </c>
      <c r="V9" s="167"/>
      <c r="W9" s="167"/>
      <c r="X9" s="167"/>
      <c r="Y9" s="167" t="str">
        <f t="shared" si="8"/>
        <v/>
      </c>
      <c r="Z9" s="167" t="str">
        <f t="shared" si="9"/>
        <v/>
      </c>
      <c r="AA9" s="167"/>
      <c r="AB9" s="167"/>
      <c r="AC9" s="167"/>
      <c r="AD9" s="167" t="str">
        <f t="shared" si="10"/>
        <v/>
      </c>
      <c r="AE9" s="167" t="str">
        <f t="shared" si="11"/>
        <v/>
      </c>
      <c r="AF9" s="160">
        <f t="shared" si="12"/>
        <v>0.87210700000000019</v>
      </c>
    </row>
    <row r="10" spans="1:32" x14ac:dyDescent="0.25">
      <c r="A10" s="166">
        <v>50</v>
      </c>
      <c r="B10" s="167">
        <v>8.8010000000000002</v>
      </c>
      <c r="C10" s="167">
        <v>27.28</v>
      </c>
      <c r="D10" s="167">
        <v>0.29570000000000002</v>
      </c>
      <c r="E10" s="167">
        <f t="shared" si="0"/>
        <v>7.8757775316435089E-2</v>
      </c>
      <c r="F10" s="167">
        <f t="shared" si="1"/>
        <v>0.26162766651449215</v>
      </c>
      <c r="G10" s="167">
        <v>9.3200000000000005E-2</v>
      </c>
      <c r="H10" s="167">
        <v>0.17119999999999999</v>
      </c>
      <c r="I10" s="167">
        <v>0.2324</v>
      </c>
      <c r="J10" s="167">
        <f t="shared" si="2"/>
        <v>7.4372015081539189</v>
      </c>
      <c r="K10" s="167">
        <f t="shared" si="3"/>
        <v>24.705848637275167</v>
      </c>
      <c r="L10" s="167">
        <v>3.8830000000000003E-2</v>
      </c>
      <c r="M10" s="167">
        <v>8.7300000000000003E-2</v>
      </c>
      <c r="N10" s="167">
        <v>0.51049999999999995</v>
      </c>
      <c r="O10" s="167">
        <f t="shared" si="4"/>
        <v>17.85081587844309</v>
      </c>
      <c r="P10" s="167">
        <f t="shared" si="5"/>
        <v>59.299126783261535</v>
      </c>
      <c r="Q10" s="156">
        <v>1.8169999999999999</v>
      </c>
      <c r="R10" s="167">
        <v>4.84</v>
      </c>
      <c r="S10" s="167">
        <v>0.40210000000000001</v>
      </c>
      <c r="T10" s="167">
        <f t="shared" si="6"/>
        <v>0.38147891059985983</v>
      </c>
      <c r="U10" s="167">
        <f t="shared" si="7"/>
        <v>1.2672455107286988</v>
      </c>
      <c r="V10" s="167">
        <v>9.7210000000000005E-2</v>
      </c>
      <c r="W10" s="167">
        <v>0.1799</v>
      </c>
      <c r="X10" s="167">
        <v>0.49120000000000003</v>
      </c>
      <c r="Y10" s="167">
        <f t="shared" si="8"/>
        <v>7.1304102516196401</v>
      </c>
      <c r="Z10" s="167">
        <f t="shared" si="9"/>
        <v>23.686710142928153</v>
      </c>
      <c r="AA10" s="167">
        <v>1.076E-2</v>
      </c>
      <c r="AB10" s="167">
        <v>1.8619999999999999E-3</v>
      </c>
      <c r="AC10" s="167">
        <v>1.17</v>
      </c>
      <c r="AD10" s="167">
        <f t="shared" si="10"/>
        <v>64.418882951667769</v>
      </c>
      <c r="AE10" s="167">
        <f t="shared" si="11"/>
        <v>213.9948971184057</v>
      </c>
      <c r="AF10" s="160">
        <f t="shared" si="12"/>
        <v>1.0654999999999997</v>
      </c>
    </row>
    <row r="11" spans="1:32" x14ac:dyDescent="0.25">
      <c r="A11" s="166">
        <v>55</v>
      </c>
      <c r="B11" s="167">
        <v>7.8390000000000004</v>
      </c>
      <c r="C11" s="167">
        <v>25.92</v>
      </c>
      <c r="D11" s="167">
        <v>0.34989999999999999</v>
      </c>
      <c r="E11" s="167">
        <f t="shared" si="0"/>
        <v>8.8422908605682513E-2</v>
      </c>
      <c r="F11" s="167">
        <f t="shared" si="1"/>
        <v>0.2937345443288743</v>
      </c>
      <c r="G11" s="167">
        <v>7.4219999999999994E-2</v>
      </c>
      <c r="H11" s="167">
        <v>0.16969999999999999</v>
      </c>
      <c r="I11" s="167">
        <v>0.24540000000000001</v>
      </c>
      <c r="J11" s="167">
        <f t="shared" si="2"/>
        <v>9.3390889323625075</v>
      </c>
      <c r="K11" s="167">
        <f t="shared" si="3"/>
        <v>31.023781905066638</v>
      </c>
      <c r="L11" s="167">
        <v>3.4189999999999998E-2</v>
      </c>
      <c r="M11" s="167">
        <v>8.3150000000000002E-2</v>
      </c>
      <c r="N11" s="167">
        <v>0.56059999999999999</v>
      </c>
      <c r="O11" s="167">
        <f t="shared" si="4"/>
        <v>20.273389311492991</v>
      </c>
      <c r="P11" s="167">
        <f t="shared" si="5"/>
        <v>67.346741532437733</v>
      </c>
      <c r="Q11" s="156">
        <v>1.4930000000000001</v>
      </c>
      <c r="R11" s="167">
        <v>4.5149999999999997</v>
      </c>
      <c r="S11" s="167">
        <v>0.42930000000000001</v>
      </c>
      <c r="T11" s="167">
        <f t="shared" si="6"/>
        <v>0.46426468892159761</v>
      </c>
      <c r="U11" s="167">
        <f t="shared" si="7"/>
        <v>1.5422539135927968</v>
      </c>
      <c r="V11" s="167">
        <v>8.5519999999999999E-2</v>
      </c>
      <c r="W11" s="167">
        <v>0.1661</v>
      </c>
      <c r="X11" s="167">
        <v>0.51119999999999999</v>
      </c>
      <c r="Y11" s="167">
        <f t="shared" si="8"/>
        <v>8.1050886407851408</v>
      </c>
      <c r="Z11" s="167">
        <f t="shared" si="9"/>
        <v>26.924521667376585</v>
      </c>
      <c r="AA11" s="167">
        <v>1.0120000000000001E-2</v>
      </c>
      <c r="AB11" s="167">
        <v>1.4040000000000001E-3</v>
      </c>
      <c r="AC11" s="167">
        <v>1.2689999999999999</v>
      </c>
      <c r="AD11" s="167">
        <f t="shared" si="10"/>
        <v>68.49280440315664</v>
      </c>
      <c r="AE11" s="167">
        <f t="shared" si="11"/>
        <v>227.52817124447091</v>
      </c>
      <c r="AF11" s="160">
        <f t="shared" si="12"/>
        <v>1.2967229999999998</v>
      </c>
    </row>
    <row r="12" spans="1:32" x14ac:dyDescent="0.25">
      <c r="A12" s="166">
        <v>60</v>
      </c>
      <c r="B12" s="167">
        <v>6.9509999999999996</v>
      </c>
      <c r="C12" s="167">
        <v>24.89</v>
      </c>
      <c r="D12" s="167">
        <v>0.41980000000000001</v>
      </c>
      <c r="E12" s="167">
        <f t="shared" si="0"/>
        <v>9.971905920873908E-2</v>
      </c>
      <c r="F12" s="167">
        <f t="shared" si="1"/>
        <v>0.33125954438124672</v>
      </c>
      <c r="G12" s="167">
        <v>6.2509999999999996E-2</v>
      </c>
      <c r="H12" s="167">
        <v>0.16919999999999999</v>
      </c>
      <c r="I12" s="167">
        <v>0.27329999999999999</v>
      </c>
      <c r="J12" s="167">
        <f t="shared" si="2"/>
        <v>11.088580716044557</v>
      </c>
      <c r="K12" s="167">
        <f t="shared" si="3"/>
        <v>36.835467813054642</v>
      </c>
      <c r="L12" s="167">
        <v>2.9850000000000002E-2</v>
      </c>
      <c r="M12" s="167">
        <v>7.961E-2</v>
      </c>
      <c r="N12" s="167">
        <v>0.6169</v>
      </c>
      <c r="O12" s="167">
        <f t="shared" si="4"/>
        <v>23.221011074035015</v>
      </c>
      <c r="P12" s="167">
        <f t="shared" si="5"/>
        <v>77.138529078527483</v>
      </c>
      <c r="Q12" s="156">
        <v>1.1830000000000001</v>
      </c>
      <c r="R12" s="167">
        <v>4.2190000000000003</v>
      </c>
      <c r="S12" s="167">
        <v>0.45710000000000001</v>
      </c>
      <c r="T12" s="167">
        <f t="shared" si="6"/>
        <v>0.58592322955194021</v>
      </c>
      <c r="U12" s="167">
        <f t="shared" si="7"/>
        <v>1.9463948376957276</v>
      </c>
      <c r="V12" s="167">
        <v>7.4520000000000003E-2</v>
      </c>
      <c r="W12" s="167">
        <v>0.15390000000000001</v>
      </c>
      <c r="X12" s="167">
        <v>0.53039999999999998</v>
      </c>
      <c r="Y12" s="167">
        <f t="shared" si="8"/>
        <v>9.3014919559842362</v>
      </c>
      <c r="Z12" s="167">
        <f t="shared" si="9"/>
        <v>30.898887452952842</v>
      </c>
      <c r="AA12" s="167">
        <v>9.5119999999999996E-3</v>
      </c>
      <c r="AB12" s="167">
        <v>9.6719999999999998E-4</v>
      </c>
      <c r="AC12" s="167">
        <v>1.333</v>
      </c>
      <c r="AD12" s="167">
        <f t="shared" si="10"/>
        <v>72.870813767866409</v>
      </c>
      <c r="AE12" s="167">
        <f t="shared" si="11"/>
        <v>242.07160355278026</v>
      </c>
      <c r="AF12" s="160">
        <f t="shared" si="12"/>
        <v>1.5634240000000001</v>
      </c>
    </row>
    <row r="13" spans="1:32" x14ac:dyDescent="0.25">
      <c r="A13" s="166">
        <v>65</v>
      </c>
      <c r="B13" s="168">
        <v>6.13</v>
      </c>
      <c r="C13" s="168">
        <v>24.09</v>
      </c>
      <c r="D13" s="168">
        <v>0.50190000000000001</v>
      </c>
      <c r="E13" s="167">
        <f t="shared" si="0"/>
        <v>0.1130745808417529</v>
      </c>
      <c r="F13" s="167">
        <f t="shared" si="1"/>
        <v>0.37562562691583129</v>
      </c>
      <c r="G13" s="168">
        <v>5.5280000000000003E-2</v>
      </c>
      <c r="H13" s="168">
        <v>0.1696</v>
      </c>
      <c r="I13" s="168">
        <v>0.32169999999999999</v>
      </c>
      <c r="J13" s="167">
        <f t="shared" si="2"/>
        <v>12.53884190593244</v>
      </c>
      <c r="K13" s="167">
        <f t="shared" si="3"/>
        <v>41.653131204667979</v>
      </c>
      <c r="L13" s="168">
        <v>2.6089999999999999E-2</v>
      </c>
      <c r="M13" s="168">
        <v>7.5969999999999996E-2</v>
      </c>
      <c r="N13" s="168">
        <v>0.67559999999999998</v>
      </c>
      <c r="O13" s="167">
        <f t="shared" si="4"/>
        <v>26.56754237485417</v>
      </c>
      <c r="P13" s="167">
        <f t="shared" si="5"/>
        <v>88.255465427138589</v>
      </c>
      <c r="Q13" s="156">
        <v>0.91720000000000002</v>
      </c>
      <c r="R13" s="168">
        <v>3.9820000000000002</v>
      </c>
      <c r="S13" s="168">
        <v>0.49220000000000003</v>
      </c>
      <c r="T13" s="167">
        <f t="shared" si="6"/>
        <v>0.75572086846919462</v>
      </c>
      <c r="U13" s="167">
        <f t="shared" si="7"/>
        <v>2.5104503848604947</v>
      </c>
      <c r="V13" s="168">
        <v>6.5140000000000003E-2</v>
      </c>
      <c r="W13" s="168">
        <v>0.14430000000000001</v>
      </c>
      <c r="X13" s="168">
        <v>0.55820000000000003</v>
      </c>
      <c r="Y13" s="167">
        <f t="shared" si="8"/>
        <v>10.640883950874198</v>
      </c>
      <c r="Z13" s="167">
        <f t="shared" si="9"/>
        <v>35.348251350845032</v>
      </c>
      <c r="AA13" s="168">
        <v>8.9899999999999997E-3</v>
      </c>
      <c r="AB13" s="168">
        <v>6.4700000000000001E-4</v>
      </c>
      <c r="AC13" s="168">
        <v>1.353</v>
      </c>
      <c r="AD13" s="167">
        <f t="shared" si="10"/>
        <v>77.102022309226399</v>
      </c>
      <c r="AE13" s="167">
        <f t="shared" si="11"/>
        <v>256.1273740816514</v>
      </c>
      <c r="AF13" s="160">
        <f t="shared" si="12"/>
        <v>1.863251</v>
      </c>
    </row>
    <row r="14" spans="1:32" x14ac:dyDescent="0.25">
      <c r="A14" s="166">
        <v>70</v>
      </c>
      <c r="B14" s="168">
        <v>5.3689999999999998</v>
      </c>
      <c r="C14" s="168">
        <v>23.49</v>
      </c>
      <c r="D14" s="168">
        <v>0.58809999999999996</v>
      </c>
      <c r="E14" s="167">
        <f t="shared" si="0"/>
        <v>0.12910172854534277</v>
      </c>
      <c r="F14" s="167">
        <f t="shared" si="1"/>
        <v>0.42886665915329597</v>
      </c>
      <c r="G14" s="168">
        <v>5.0869999999999999E-2</v>
      </c>
      <c r="H14" s="168">
        <v>0.1696</v>
      </c>
      <c r="I14" s="168">
        <v>0.38469999999999999</v>
      </c>
      <c r="J14" s="167">
        <f t="shared" si="2"/>
        <v>13.625853755847166</v>
      </c>
      <c r="K14" s="167">
        <f t="shared" si="3"/>
        <v>45.264106408375191</v>
      </c>
      <c r="L14" s="168">
        <v>2.3019999999999999E-2</v>
      </c>
      <c r="M14" s="168">
        <v>7.1629999999999999E-2</v>
      </c>
      <c r="N14" s="168">
        <v>0.72989999999999999</v>
      </c>
      <c r="O14" s="167">
        <f t="shared" si="4"/>
        <v>30.110650762812568</v>
      </c>
      <c r="P14" s="167">
        <f t="shared" si="5"/>
        <v>100.02541672432866</v>
      </c>
      <c r="Q14" s="156">
        <v>0.71489999999999998</v>
      </c>
      <c r="R14" s="168">
        <v>3.798</v>
      </c>
      <c r="S14" s="168">
        <v>0.53779999999999994</v>
      </c>
      <c r="T14" s="167">
        <f t="shared" si="6"/>
        <v>0.96957222067414361</v>
      </c>
      <c r="U14" s="167">
        <f t="shared" si="7"/>
        <v>3.2208491998797673</v>
      </c>
      <c r="V14" s="168">
        <v>5.7910000000000003E-2</v>
      </c>
      <c r="W14" s="168">
        <v>0.13569999999999999</v>
      </c>
      <c r="X14" s="168">
        <v>0.59670000000000001</v>
      </c>
      <c r="Y14" s="167">
        <f t="shared" si="8"/>
        <v>11.969386644101974</v>
      </c>
      <c r="Z14" s="167">
        <f t="shared" si="9"/>
        <v>39.761441771611914</v>
      </c>
      <c r="AA14" s="168">
        <v>8.5500000000000003E-3</v>
      </c>
      <c r="AB14" s="168">
        <v>5.3899999999999998E-4</v>
      </c>
      <c r="AC14" s="168">
        <v>1.194</v>
      </c>
      <c r="AD14" s="167">
        <f t="shared" si="10"/>
        <v>81.069845679525756</v>
      </c>
      <c r="AE14" s="167">
        <f t="shared" si="11"/>
        <v>269.30819801099949</v>
      </c>
      <c r="AF14" s="160">
        <f t="shared" si="12"/>
        <v>2.1938519999999997</v>
      </c>
    </row>
    <row r="15" spans="1:32" x14ac:dyDescent="0.25">
      <c r="A15" s="166">
        <v>75</v>
      </c>
      <c r="B15" s="168">
        <v>4.6660000000000004</v>
      </c>
      <c r="C15" s="168">
        <v>22.69</v>
      </c>
      <c r="D15" s="168">
        <v>0.66180000000000005</v>
      </c>
      <c r="E15" s="167">
        <f t="shared" si="0"/>
        <v>0.14855276051434746</v>
      </c>
      <c r="F15" s="167">
        <f t="shared" si="1"/>
        <v>0.49348158872568487</v>
      </c>
      <c r="G15" s="168">
        <v>4.7969999999999999E-2</v>
      </c>
      <c r="H15" s="168">
        <v>0.1663</v>
      </c>
      <c r="I15" s="168">
        <v>0.44919999999999999</v>
      </c>
      <c r="J15" s="167">
        <f t="shared" si="2"/>
        <v>14.449597259952998</v>
      </c>
      <c r="K15" s="167">
        <f t="shared" si="3"/>
        <v>48.000523097645321</v>
      </c>
      <c r="L15" s="168">
        <v>2.0660000000000001E-2</v>
      </c>
      <c r="M15" s="168">
        <v>6.6489999999999994E-2</v>
      </c>
      <c r="N15" s="168">
        <v>0.77500000000000002</v>
      </c>
      <c r="O15" s="167">
        <f t="shared" si="4"/>
        <v>33.550202350432976</v>
      </c>
      <c r="P15" s="167">
        <f t="shared" si="5"/>
        <v>111.45135977705932</v>
      </c>
      <c r="Q15" s="154">
        <v>0.57930000000000004</v>
      </c>
      <c r="R15" s="168">
        <v>3.629</v>
      </c>
      <c r="S15" s="168">
        <v>0.59079999999999999</v>
      </c>
      <c r="T15" s="167">
        <f t="shared" si="6"/>
        <v>1.1965254282063615</v>
      </c>
      <c r="U15" s="167">
        <f t="shared" si="7"/>
        <v>3.9747714362058444</v>
      </c>
      <c r="V15" s="168">
        <v>5.2909999999999999E-2</v>
      </c>
      <c r="W15" s="168">
        <v>0.128</v>
      </c>
      <c r="X15" s="168">
        <v>0.64780000000000004</v>
      </c>
      <c r="Y15" s="167">
        <f t="shared" si="8"/>
        <v>13.100494813077779</v>
      </c>
      <c r="Z15" s="167">
        <f t="shared" si="9"/>
        <v>43.518901776489244</v>
      </c>
      <c r="AA15" s="168">
        <v>5.2030000000000002E-3</v>
      </c>
      <c r="AB15" s="168">
        <v>6.4210000000000005E-4</v>
      </c>
      <c r="AC15" s="168">
        <v>1.0620000000000001</v>
      </c>
      <c r="AD15" s="167">
        <f t="shared" si="10"/>
        <v>133.22067664038926</v>
      </c>
      <c r="AE15" s="167">
        <f t="shared" si="11"/>
        <v>442.54950855161366</v>
      </c>
      <c r="AF15" s="160">
        <f t="shared" si="12"/>
        <v>2.5528750000000002</v>
      </c>
    </row>
    <row r="16" spans="1:32" x14ac:dyDescent="0.25">
      <c r="A16" s="166">
        <v>80</v>
      </c>
      <c r="B16" s="168">
        <v>4.04</v>
      </c>
      <c r="C16" s="168">
        <v>21.69</v>
      </c>
      <c r="D16" s="168">
        <v>0.71870000000000001</v>
      </c>
      <c r="E16" s="167">
        <f t="shared" si="0"/>
        <v>0.17157108429701615</v>
      </c>
      <c r="F16" s="167">
        <f t="shared" si="1"/>
        <v>0.56994680519654595</v>
      </c>
      <c r="G16" s="168">
        <v>4.5830000000000003E-2</v>
      </c>
      <c r="H16" s="168">
        <v>0.15490000000000001</v>
      </c>
      <c r="I16" s="168">
        <v>0.49259999999999998</v>
      </c>
      <c r="J16" s="167">
        <f t="shared" si="2"/>
        <v>15.124311162119687</v>
      </c>
      <c r="K16" s="167">
        <f t="shared" si="3"/>
        <v>50.241874165263923</v>
      </c>
      <c r="L16" s="168">
        <v>1.8859999999999998E-2</v>
      </c>
      <c r="M16" s="168">
        <v>6.0929999999999998E-2</v>
      </c>
      <c r="N16" s="168">
        <v>0.81030000000000002</v>
      </c>
      <c r="O16" s="167">
        <f t="shared" si="4"/>
        <v>36.752236509010885</v>
      </c>
      <c r="P16" s="167">
        <f t="shared" si="5"/>
        <v>122.08828700922831</v>
      </c>
      <c r="Q16" s="154">
        <v>0.49209999999999998</v>
      </c>
      <c r="R16" s="168">
        <v>3.4279999999999999</v>
      </c>
      <c r="S16" s="168">
        <v>0.64270000000000005</v>
      </c>
      <c r="T16" s="167">
        <f t="shared" si="6"/>
        <v>1.4085494423083627</v>
      </c>
      <c r="U16" s="167">
        <f t="shared" si="7"/>
        <v>4.6790999654420764</v>
      </c>
      <c r="V16" s="168">
        <v>4.9549999999999997E-2</v>
      </c>
      <c r="W16" s="168">
        <v>0.1208</v>
      </c>
      <c r="X16" s="168">
        <v>0.7097</v>
      </c>
      <c r="Y16" s="167">
        <f t="shared" si="8"/>
        <v>13.988843199998897</v>
      </c>
      <c r="Z16" s="167">
        <f t="shared" si="9"/>
        <v>46.469931241050375</v>
      </c>
      <c r="AA16" s="168">
        <v>7.9030000000000003E-3</v>
      </c>
      <c r="AB16" s="168">
        <v>8.6399999999999997E-4</v>
      </c>
      <c r="AC16" s="168">
        <v>0.97030000000000005</v>
      </c>
      <c r="AD16" s="167">
        <f t="shared" si="10"/>
        <v>87.706843041875899</v>
      </c>
      <c r="AE16" s="167">
        <f t="shared" si="11"/>
        <v>291.35582601468377</v>
      </c>
      <c r="AF16" s="160">
        <f t="shared" si="12"/>
        <v>2.9379679999999997</v>
      </c>
    </row>
    <row r="17" spans="1:32" x14ac:dyDescent="0.25">
      <c r="A17" s="166">
        <v>85</v>
      </c>
      <c r="B17" s="168">
        <v>3.504</v>
      </c>
      <c r="C17" s="168">
        <v>20.37</v>
      </c>
      <c r="D17" s="168">
        <v>0.755</v>
      </c>
      <c r="E17" s="167">
        <f t="shared" si="0"/>
        <v>0.19781597618719901</v>
      </c>
      <c r="F17" s="167">
        <f t="shared" si="1"/>
        <v>0.65713044891382588</v>
      </c>
      <c r="G17" s="168">
        <v>4.3979999999999998E-2</v>
      </c>
      <c r="H17" s="168">
        <v>0.1348</v>
      </c>
      <c r="I17" s="168">
        <v>0.49430000000000002</v>
      </c>
      <c r="J17" s="167">
        <f t="shared" si="2"/>
        <v>15.760508880398939</v>
      </c>
      <c r="K17" s="167">
        <f t="shared" si="3"/>
        <v>52.355277239519012</v>
      </c>
      <c r="L17" s="168">
        <v>1.746E-2</v>
      </c>
      <c r="M17" s="168">
        <v>5.5579999999999997E-2</v>
      </c>
      <c r="N17" s="168">
        <v>0.83919999999999995</v>
      </c>
      <c r="O17" s="167">
        <f t="shared" si="4"/>
        <v>39.699151234819318</v>
      </c>
      <c r="P17" s="167">
        <f t="shared" si="5"/>
        <v>131.87772583012864</v>
      </c>
      <c r="Q17" s="154">
        <v>0.4355</v>
      </c>
      <c r="R17" s="168">
        <v>3.1779999999999999</v>
      </c>
      <c r="S17" s="168">
        <v>0.68610000000000004</v>
      </c>
      <c r="T17" s="167">
        <f t="shared" si="6"/>
        <v>1.5916123549022854</v>
      </c>
      <c r="U17" s="167">
        <f t="shared" si="7"/>
        <v>5.287221797919738</v>
      </c>
      <c r="V17" s="168">
        <v>4.7210000000000002E-2</v>
      </c>
      <c r="W17" s="168">
        <v>0.114</v>
      </c>
      <c r="X17" s="168">
        <v>0.77859999999999996</v>
      </c>
      <c r="Y17" s="167">
        <f t="shared" si="8"/>
        <v>14.682210984112375</v>
      </c>
      <c r="Z17" s="167">
        <f t="shared" si="9"/>
        <v>48.773249163186733</v>
      </c>
      <c r="AA17" s="168">
        <v>7.6860000000000001E-3</v>
      </c>
      <c r="AB17" s="168">
        <v>1.0560000000000001E-3</v>
      </c>
      <c r="AC17" s="168">
        <v>1.0149999999999999</v>
      </c>
      <c r="AD17" s="167">
        <f t="shared" si="10"/>
        <v>90.183083601345984</v>
      </c>
      <c r="AE17" s="167">
        <f t="shared" si="11"/>
        <v>299.58171909888699</v>
      </c>
      <c r="AF17" s="160">
        <f t="shared" si="12"/>
        <v>3.3467790000000015</v>
      </c>
    </row>
    <row r="18" spans="1:32" x14ac:dyDescent="0.25">
      <c r="A18" s="166">
        <v>90</v>
      </c>
      <c r="B18" s="168">
        <v>3.0670000000000002</v>
      </c>
      <c r="C18" s="168">
        <v>18.829999999999998</v>
      </c>
      <c r="D18" s="168">
        <v>0.77259999999999995</v>
      </c>
      <c r="E18" s="167">
        <f t="shared" si="0"/>
        <v>0.22600168912942459</v>
      </c>
      <c r="F18" s="167">
        <f t="shared" si="1"/>
        <v>0.75076136061103538</v>
      </c>
      <c r="G18" s="168">
        <v>4.2279999999999998E-2</v>
      </c>
      <c r="H18" s="168">
        <v>0.1137</v>
      </c>
      <c r="I18" s="168">
        <v>0.46899999999999997</v>
      </c>
      <c r="J18" s="167">
        <f t="shared" si="2"/>
        <v>16.394209568589055</v>
      </c>
      <c r="K18" s="167">
        <f t="shared" si="3"/>
        <v>54.460385359367208</v>
      </c>
      <c r="L18" s="168">
        <v>1.6629999999999999E-2</v>
      </c>
      <c r="M18" s="168">
        <v>5.0389999999999997E-2</v>
      </c>
      <c r="N18" s="168">
        <v>0.85850000000000004</v>
      </c>
      <c r="O18" s="167">
        <f t="shared" si="4"/>
        <v>41.680527995186132</v>
      </c>
      <c r="P18" s="167">
        <f t="shared" si="5"/>
        <v>138.45971695694806</v>
      </c>
      <c r="Q18" s="154">
        <v>0.39710000000000001</v>
      </c>
      <c r="R18" s="168">
        <v>2.9129999999999998</v>
      </c>
      <c r="S18" s="168">
        <v>0.72040000000000004</v>
      </c>
      <c r="T18" s="167">
        <f t="shared" si="6"/>
        <v>1.7455229930998371</v>
      </c>
      <c r="U18" s="167">
        <f t="shared" si="7"/>
        <v>5.7985018710502283</v>
      </c>
      <c r="V18" s="168">
        <v>4.5499999999999999E-2</v>
      </c>
      <c r="W18" s="168">
        <v>0.1077</v>
      </c>
      <c r="X18" s="168">
        <v>0.85219999999999996</v>
      </c>
      <c r="Y18" s="167">
        <f t="shared" si="8"/>
        <v>15.234003968350446</v>
      </c>
      <c r="Z18" s="167">
        <f t="shared" si="9"/>
        <v>50.606265780088918</v>
      </c>
      <c r="AA18" s="168">
        <v>7.5110000000000003E-3</v>
      </c>
      <c r="AB18" s="168">
        <v>1.1590000000000001E-3</v>
      </c>
      <c r="AC18" s="168">
        <v>1.081</v>
      </c>
      <c r="AD18" s="167">
        <f t="shared" si="10"/>
        <v>92.284273806409971</v>
      </c>
      <c r="AE18" s="167">
        <f t="shared" si="11"/>
        <v>306.56172187379121</v>
      </c>
      <c r="AF18" s="160">
        <f t="shared" si="12"/>
        <v>3.7769560000000002</v>
      </c>
    </row>
    <row r="19" spans="1:32" x14ac:dyDescent="0.25">
      <c r="A19" s="166">
        <v>95</v>
      </c>
      <c r="B19" s="168">
        <v>2.7309999999999999</v>
      </c>
      <c r="C19" s="168">
        <v>17.07</v>
      </c>
      <c r="D19" s="168">
        <v>0.77139999999999997</v>
      </c>
      <c r="E19" s="167">
        <f t="shared" si="0"/>
        <v>0.25380709650675404</v>
      </c>
      <c r="F19" s="167">
        <f t="shared" si="1"/>
        <v>0.84312892456757438</v>
      </c>
      <c r="G19" s="168">
        <v>4.0680000000000001E-2</v>
      </c>
      <c r="H19" s="168">
        <v>9.7049999999999997E-2</v>
      </c>
      <c r="I19" s="168">
        <v>0.44059999999999999</v>
      </c>
      <c r="J19" s="167">
        <f t="shared" si="2"/>
        <v>17.039016237953422</v>
      </c>
      <c r="K19" s="167">
        <f t="shared" si="3"/>
        <v>56.602386750099448</v>
      </c>
      <c r="L19" s="168">
        <v>1.5429999999999999E-2</v>
      </c>
      <c r="M19" s="168">
        <v>4.5710000000000001E-2</v>
      </c>
      <c r="N19" s="168">
        <v>0.87629999999999997</v>
      </c>
      <c r="O19" s="167">
        <f t="shared" si="4"/>
        <v>44.922046698635469</v>
      </c>
      <c r="P19" s="167">
        <f t="shared" si="5"/>
        <v>149.22780900803926</v>
      </c>
      <c r="Q19" s="154">
        <v>0.36809999999999998</v>
      </c>
      <c r="R19" s="168">
        <v>2.6539999999999999</v>
      </c>
      <c r="S19" s="168">
        <v>0.74609999999999999</v>
      </c>
      <c r="T19" s="167">
        <f t="shared" si="6"/>
        <v>1.8830404253190582</v>
      </c>
      <c r="U19" s="167">
        <f t="shared" si="7"/>
        <v>6.2553248926760281</v>
      </c>
      <c r="V19" s="168">
        <v>4.41E-2</v>
      </c>
      <c r="W19" s="168">
        <v>0.1013</v>
      </c>
      <c r="X19" s="168">
        <v>0.92220000000000002</v>
      </c>
      <c r="Y19" s="167">
        <f t="shared" si="8"/>
        <v>15.717623141948872</v>
      </c>
      <c r="Z19" s="167">
        <f t="shared" si="9"/>
        <v>52.212813900091739</v>
      </c>
      <c r="AA19" s="168">
        <v>7.345E-3</v>
      </c>
      <c r="AB19" s="168">
        <v>1.1329999999999999E-3</v>
      </c>
      <c r="AC19" s="168">
        <v>1.1160000000000001</v>
      </c>
      <c r="AD19" s="167">
        <f t="shared" si="10"/>
        <v>94.369936087126661</v>
      </c>
      <c r="AE19" s="167">
        <f t="shared" si="11"/>
        <v>313.49014200055086</v>
      </c>
      <c r="AF19" s="160">
        <f t="shared" si="12"/>
        <v>4.2261469999999983</v>
      </c>
    </row>
    <row r="20" spans="1:32" x14ac:dyDescent="0.25">
      <c r="A20" s="166">
        <v>100</v>
      </c>
      <c r="B20" s="168">
        <v>2.5</v>
      </c>
      <c r="C20" s="168">
        <v>15.28</v>
      </c>
      <c r="D20" s="168">
        <v>0.75570000000000004</v>
      </c>
      <c r="E20" s="167">
        <f t="shared" si="0"/>
        <v>0.2772588722239781</v>
      </c>
      <c r="F20" s="167">
        <f t="shared" si="1"/>
        <v>0.92103403719761834</v>
      </c>
      <c r="G20" s="168">
        <v>3.925E-2</v>
      </c>
      <c r="H20" s="168">
        <v>8.5669999999999996E-2</v>
      </c>
      <c r="I20" s="168">
        <v>0.42730000000000001</v>
      </c>
      <c r="J20" s="167">
        <f t="shared" si="2"/>
        <v>17.659800778597333</v>
      </c>
      <c r="K20" s="167">
        <f t="shared" si="3"/>
        <v>58.6645883565362</v>
      </c>
      <c r="L20" s="168">
        <v>1.4659999999999999E-2</v>
      </c>
      <c r="M20" s="168">
        <v>4.1709999999999997E-2</v>
      </c>
      <c r="N20" s="168">
        <v>0.89390000000000003</v>
      </c>
      <c r="O20" s="167">
        <f t="shared" si="4"/>
        <v>47.281526641196812</v>
      </c>
      <c r="P20" s="167">
        <f t="shared" si="5"/>
        <v>157.06583171855701</v>
      </c>
      <c r="Q20" s="154">
        <v>0.34150000000000003</v>
      </c>
      <c r="R20" s="168">
        <v>2.42</v>
      </c>
      <c r="S20" s="168">
        <v>0.76449999999999996</v>
      </c>
      <c r="T20" s="167">
        <f t="shared" si="6"/>
        <v>2.0297135594727531</v>
      </c>
      <c r="U20" s="167">
        <f t="shared" si="7"/>
        <v>6.7425624977863707</v>
      </c>
      <c r="V20" s="168">
        <v>4.2779999999999999E-2</v>
      </c>
      <c r="W20" s="168">
        <v>9.4659999999999994E-2</v>
      </c>
      <c r="X20" s="168">
        <v>0.97909999999999997</v>
      </c>
      <c r="Y20" s="167">
        <f t="shared" si="8"/>
        <v>16.202598891069314</v>
      </c>
      <c r="Z20" s="167">
        <f t="shared" si="9"/>
        <v>53.823868466433979</v>
      </c>
      <c r="AA20" s="168">
        <v>7.2300000000000003E-3</v>
      </c>
      <c r="AB20" s="168">
        <v>9.343E-4</v>
      </c>
      <c r="AC20" s="168">
        <v>1.3089999999999999</v>
      </c>
      <c r="AD20" s="167">
        <f t="shared" si="10"/>
        <v>95.870979330559507</v>
      </c>
      <c r="AE20" s="167">
        <f t="shared" si="11"/>
        <v>318.47649972255124</v>
      </c>
      <c r="AF20" s="160">
        <f t="shared" si="12"/>
        <v>4.6919999999999993</v>
      </c>
    </row>
    <row r="21" spans="1:32" x14ac:dyDescent="0.25">
      <c r="A21" s="166">
        <v>105</v>
      </c>
      <c r="B21" s="168">
        <v>2.3639999999999999</v>
      </c>
      <c r="C21" s="168">
        <v>13.41</v>
      </c>
      <c r="D21" s="168">
        <v>0.72389999999999999</v>
      </c>
      <c r="E21" s="167">
        <f t="shared" si="0"/>
        <v>0.29320946724193964</v>
      </c>
      <c r="F21" s="167">
        <f t="shared" si="1"/>
        <v>0.97402076691795514</v>
      </c>
      <c r="G21" s="168">
        <v>3.8080000000000003E-2</v>
      </c>
      <c r="H21" s="168">
        <v>7.8619999999999995E-2</v>
      </c>
      <c r="I21" s="168">
        <v>0.43940000000000001</v>
      </c>
      <c r="J21" s="167">
        <f t="shared" si="2"/>
        <v>18.202394447477552</v>
      </c>
      <c r="K21" s="167">
        <f t="shared" si="3"/>
        <v>60.467045509297414</v>
      </c>
      <c r="L21" s="168">
        <v>1.397E-2</v>
      </c>
      <c r="M21" s="168">
        <v>3.8150000000000003E-2</v>
      </c>
      <c r="N21" s="168">
        <v>0.90800000000000003</v>
      </c>
      <c r="O21" s="167">
        <f t="shared" si="4"/>
        <v>49.616834685751272</v>
      </c>
      <c r="P21" s="167">
        <f t="shared" si="5"/>
        <v>164.82355712197892</v>
      </c>
      <c r="Q21" s="154">
        <v>0.3135</v>
      </c>
      <c r="R21" s="168">
        <v>2.2269999999999999</v>
      </c>
      <c r="S21" s="168">
        <v>0.77880000000000005</v>
      </c>
      <c r="T21" s="167">
        <f t="shared" si="6"/>
        <v>2.2109957912597937</v>
      </c>
      <c r="U21" s="167">
        <f t="shared" si="7"/>
        <v>7.3447690366636236</v>
      </c>
      <c r="V21" s="168">
        <v>4.1430000000000002E-2</v>
      </c>
      <c r="W21" s="168">
        <v>8.7510000000000004E-2</v>
      </c>
      <c r="X21" s="168">
        <v>1.014</v>
      </c>
      <c r="Y21" s="167">
        <f t="shared" si="8"/>
        <v>16.730561925173674</v>
      </c>
      <c r="Z21" s="167">
        <f t="shared" si="9"/>
        <v>55.577723702487233</v>
      </c>
      <c r="AA21" s="168">
        <v>7.0499999999999998E-3</v>
      </c>
      <c r="AB21" s="168">
        <v>6.1990000000000005E-4</v>
      </c>
      <c r="AC21" s="168">
        <v>1.365</v>
      </c>
      <c r="AD21" s="167">
        <f t="shared" si="10"/>
        <v>98.318749015595074</v>
      </c>
      <c r="AE21" s="167">
        <f t="shared" si="11"/>
        <v>326.60781460908453</v>
      </c>
      <c r="AF21" s="160">
        <f t="shared" si="12"/>
        <v>5.1721629999999994</v>
      </c>
    </row>
    <row r="22" spans="1:32" x14ac:dyDescent="0.25">
      <c r="A22" s="166">
        <v>110</v>
      </c>
      <c r="B22" s="168">
        <v>2.2959999999999998</v>
      </c>
      <c r="C22" s="168">
        <v>11.7</v>
      </c>
      <c r="D22" s="168">
        <v>0.68269999999999997</v>
      </c>
      <c r="E22" s="167">
        <f t="shared" si="0"/>
        <v>0.301893371324018</v>
      </c>
      <c r="F22" s="167">
        <f t="shared" si="1"/>
        <v>1.0028680718615182</v>
      </c>
      <c r="G22" s="168">
        <v>3.7150000000000002E-2</v>
      </c>
      <c r="H22" s="168">
        <v>7.4359999999999996E-2</v>
      </c>
      <c r="I22" s="168">
        <v>0.47520000000000001</v>
      </c>
      <c r="J22" s="167">
        <f t="shared" si="2"/>
        <v>18.658066771465553</v>
      </c>
      <c r="K22" s="167">
        <f t="shared" si="3"/>
        <v>61.980756204415769</v>
      </c>
      <c r="L22" s="168">
        <v>1.336E-2</v>
      </c>
      <c r="M22" s="168">
        <v>3.5209999999999998E-2</v>
      </c>
      <c r="N22" s="168">
        <v>0.9244</v>
      </c>
      <c r="O22" s="167">
        <f t="shared" si="4"/>
        <v>51.882273994007882</v>
      </c>
      <c r="P22" s="167">
        <f t="shared" si="5"/>
        <v>172.34918360733877</v>
      </c>
      <c r="Q22" s="154">
        <v>0.28489999999999999</v>
      </c>
      <c r="R22" s="168">
        <v>2.0609999999999999</v>
      </c>
      <c r="S22" s="168">
        <v>0.78969999999999996</v>
      </c>
      <c r="T22" s="167">
        <f t="shared" si="6"/>
        <v>2.4329490367144446</v>
      </c>
      <c r="U22" s="167">
        <f t="shared" si="7"/>
        <v>8.08208175849086</v>
      </c>
      <c r="V22" s="168">
        <v>4.0079999999999998E-2</v>
      </c>
      <c r="W22" s="168">
        <v>8.047E-2</v>
      </c>
      <c r="X22" s="168">
        <v>1.03</v>
      </c>
      <c r="Y22" s="167">
        <f t="shared" si="8"/>
        <v>17.294091331335963</v>
      </c>
      <c r="Z22" s="167">
        <f t="shared" si="9"/>
        <v>57.449727869112927</v>
      </c>
      <c r="AA22" s="168">
        <v>6.9210000000000001E-3</v>
      </c>
      <c r="AB22" s="168">
        <v>1.9760000000000001E-4</v>
      </c>
      <c r="AC22" s="168">
        <v>3.3090000000000002</v>
      </c>
      <c r="AD22" s="167">
        <f t="shared" si="10"/>
        <v>100.15130480565601</v>
      </c>
      <c r="AE22" s="167">
        <f t="shared" si="11"/>
        <v>332.69543317353646</v>
      </c>
      <c r="AF22" s="160">
        <f t="shared" si="12"/>
        <v>5.6642840000000003</v>
      </c>
    </row>
    <row r="23" spans="1:32" x14ac:dyDescent="0.25">
      <c r="A23" s="166">
        <v>115</v>
      </c>
      <c r="B23" s="168">
        <v>2.2650000000000001</v>
      </c>
      <c r="C23" s="168">
        <v>10.210000000000001</v>
      </c>
      <c r="D23" s="168">
        <v>0.63629999999999998</v>
      </c>
      <c r="E23" s="167">
        <f t="shared" si="0"/>
        <v>0.30602524528032904</v>
      </c>
      <c r="F23" s="167">
        <f t="shared" si="1"/>
        <v>1.0165938600415214</v>
      </c>
      <c r="G23" s="168">
        <v>3.6360000000000003E-2</v>
      </c>
      <c r="H23" s="168">
        <v>7.2010000000000005E-2</v>
      </c>
      <c r="I23" s="168">
        <v>0.53190000000000004</v>
      </c>
      <c r="J23" s="167">
        <f t="shared" si="2"/>
        <v>19.063453810779571</v>
      </c>
      <c r="K23" s="167">
        <f t="shared" si="3"/>
        <v>63.327422799616215</v>
      </c>
      <c r="L23" s="168">
        <v>1.2829999999999999E-2</v>
      </c>
      <c r="M23" s="168">
        <v>6.2710000000000002E-2</v>
      </c>
      <c r="N23" s="168">
        <v>0.94230000000000003</v>
      </c>
      <c r="O23" s="167">
        <f t="shared" si="4"/>
        <v>54.025501212778281</v>
      </c>
      <c r="P23" s="167">
        <f t="shared" si="5"/>
        <v>179.46883031909945</v>
      </c>
      <c r="Q23" s="154">
        <v>0.25790000000000002</v>
      </c>
      <c r="R23" s="168">
        <v>1.9219999999999999</v>
      </c>
      <c r="S23" s="168">
        <v>0.80079999999999996</v>
      </c>
      <c r="T23" s="167">
        <f t="shared" si="6"/>
        <v>2.6876587070955611</v>
      </c>
      <c r="U23" s="167">
        <f t="shared" si="7"/>
        <v>8.9282089685693897</v>
      </c>
      <c r="V23" s="168">
        <v>3.8780000000000002E-2</v>
      </c>
      <c r="W23" s="168">
        <v>7.3940000000000006E-2</v>
      </c>
      <c r="X23" s="168">
        <v>1.0329999999999999</v>
      </c>
      <c r="Y23" s="167">
        <f t="shared" si="8"/>
        <v>17.873831370808283</v>
      </c>
      <c r="Z23" s="167">
        <f t="shared" si="9"/>
        <v>59.375582593967138</v>
      </c>
      <c r="AA23" s="168">
        <v>6.8640000000000003E-3</v>
      </c>
      <c r="AB23" s="168">
        <v>-3.9080000000000001E-4</v>
      </c>
      <c r="AC23" s="168">
        <v>0.64690000000000003</v>
      </c>
      <c r="AD23" s="167">
        <f t="shared" si="10"/>
        <v>100.98298085080788</v>
      </c>
      <c r="AE23" s="167">
        <f t="shared" si="11"/>
        <v>335.45820119377123</v>
      </c>
      <c r="AF23" s="160">
        <f t="shared" si="12"/>
        <v>6.1660109999999984</v>
      </c>
    </row>
    <row r="24" spans="1:32" x14ac:dyDescent="0.25">
      <c r="A24" s="166">
        <v>120</v>
      </c>
      <c r="B24" s="168">
        <v>2.246</v>
      </c>
      <c r="C24" s="168">
        <v>8.9499999999999993</v>
      </c>
      <c r="D24" s="168">
        <v>0.58730000000000004</v>
      </c>
      <c r="E24" s="167">
        <f t="shared" si="0"/>
        <v>0.30861406080140041</v>
      </c>
      <c r="F24" s="167">
        <f t="shared" si="1"/>
        <v>1.0251937190534488</v>
      </c>
      <c r="G24" s="168">
        <v>3.5659999999999997E-2</v>
      </c>
      <c r="H24" s="168">
        <v>7.109E-2</v>
      </c>
      <c r="I24" s="168">
        <v>0.60729999999999995</v>
      </c>
      <c r="J24" s="167">
        <f t="shared" si="2"/>
        <v>19.437666308467339</v>
      </c>
      <c r="K24" s="167">
        <f t="shared" si="3"/>
        <v>64.570529809143181</v>
      </c>
      <c r="L24" s="168">
        <v>1.235E-2</v>
      </c>
      <c r="M24" s="168">
        <v>3.0470000000000001E-2</v>
      </c>
      <c r="N24" s="168">
        <v>0.95660000000000001</v>
      </c>
      <c r="O24" s="167">
        <f t="shared" si="4"/>
        <v>56.125277778133224</v>
      </c>
      <c r="P24" s="167">
        <f t="shared" si="5"/>
        <v>186.44413708453814</v>
      </c>
      <c r="Q24" s="154">
        <v>0.2336</v>
      </c>
      <c r="R24" s="168">
        <v>1.7969999999999999</v>
      </c>
      <c r="S24" s="168">
        <v>0.81159999999999999</v>
      </c>
      <c r="T24" s="167">
        <f t="shared" si="6"/>
        <v>2.9672396428079848</v>
      </c>
      <c r="U24" s="167">
        <f t="shared" si="7"/>
        <v>9.8569567337073867</v>
      </c>
      <c r="V24" s="168">
        <v>3.7580000000000002E-2</v>
      </c>
      <c r="W24" s="168">
        <v>6.8080000000000002E-2</v>
      </c>
      <c r="X24" s="168">
        <v>1.0309999999999999</v>
      </c>
      <c r="Y24" s="167">
        <f t="shared" si="8"/>
        <v>18.44457638530988</v>
      </c>
      <c r="Z24" s="167">
        <f t="shared" si="9"/>
        <v>61.271556492656885</v>
      </c>
      <c r="AA24" s="168">
        <v>6.7260000000000002E-3</v>
      </c>
      <c r="AB24" s="168">
        <v>-8.3080000000000003E-4</v>
      </c>
      <c r="AC24" s="168">
        <v>1.006</v>
      </c>
      <c r="AD24" s="167">
        <f t="shared" si="10"/>
        <v>103.05488857566834</v>
      </c>
      <c r="AE24" s="167">
        <f t="shared" si="11"/>
        <v>342.34092967499936</v>
      </c>
      <c r="AF24" s="160">
        <f t="shared" si="12"/>
        <v>6.6749920000000014</v>
      </c>
    </row>
    <row r="25" spans="1:32" x14ac:dyDescent="0.25">
      <c r="A25" s="166">
        <v>125</v>
      </c>
      <c r="B25" s="168">
        <v>2.2189999999999999</v>
      </c>
      <c r="C25" s="168">
        <v>7.923</v>
      </c>
      <c r="D25" s="168">
        <v>0.53859999999999997</v>
      </c>
      <c r="E25" s="167">
        <f t="shared" si="0"/>
        <v>0.31236916654346342</v>
      </c>
      <c r="F25" s="167">
        <f t="shared" si="1"/>
        <v>1.0376679103172808</v>
      </c>
      <c r="G25" s="168">
        <v>3.5020000000000003E-2</v>
      </c>
      <c r="H25" s="168">
        <v>7.1129999999999999E-2</v>
      </c>
      <c r="I25" s="168">
        <v>0.69740000000000002</v>
      </c>
      <c r="J25" s="167">
        <f t="shared" si="2"/>
        <v>19.792894933179475</v>
      </c>
      <c r="K25" s="167">
        <f t="shared" si="3"/>
        <v>65.750573757682631</v>
      </c>
      <c r="L25" s="168">
        <v>1.192E-2</v>
      </c>
      <c r="M25" s="168">
        <v>2.8629999999999999E-2</v>
      </c>
      <c r="N25" s="168">
        <v>0.96840000000000004</v>
      </c>
      <c r="O25" s="167">
        <f t="shared" si="4"/>
        <v>58.149931255028967</v>
      </c>
      <c r="P25" s="167">
        <f t="shared" si="5"/>
        <v>193.16989035184949</v>
      </c>
      <c r="Q25" s="154">
        <v>0.21299999999999999</v>
      </c>
      <c r="R25" s="168">
        <v>1.677</v>
      </c>
      <c r="S25" s="168">
        <v>0.82169999999999999</v>
      </c>
      <c r="T25" s="167">
        <f t="shared" si="6"/>
        <v>3.2542121153049077</v>
      </c>
      <c r="U25" s="167">
        <f t="shared" si="7"/>
        <v>10.810258652554207</v>
      </c>
      <c r="V25" s="168">
        <v>3.6519999999999997E-2</v>
      </c>
      <c r="W25" s="168">
        <v>6.3039999999999999E-2</v>
      </c>
      <c r="X25" s="168">
        <v>1.0309999999999999</v>
      </c>
      <c r="Y25" s="167">
        <f t="shared" si="8"/>
        <v>18.979933750272327</v>
      </c>
      <c r="Z25" s="167">
        <f t="shared" si="9"/>
        <v>63.049975164130508</v>
      </c>
      <c r="AA25" s="168">
        <v>6.5839999999999996E-3</v>
      </c>
      <c r="AB25" s="168">
        <v>-1.214E-3</v>
      </c>
      <c r="AC25" s="168">
        <v>1.1919999999999999</v>
      </c>
      <c r="AD25" s="167">
        <f t="shared" si="10"/>
        <v>105.27751831104881</v>
      </c>
      <c r="AE25" s="167">
        <f t="shared" si="11"/>
        <v>349.7243458374918</v>
      </c>
      <c r="AF25" s="160">
        <f t="shared" si="12"/>
        <v>7.1888749999999995</v>
      </c>
    </row>
    <row r="26" spans="1:32" x14ac:dyDescent="0.25">
      <c r="A26" s="166">
        <v>130</v>
      </c>
      <c r="B26" s="168">
        <v>2.17</v>
      </c>
      <c r="C26" s="168">
        <v>7.0940000000000003</v>
      </c>
      <c r="D26" s="168">
        <v>0.4909</v>
      </c>
      <c r="E26" s="167">
        <f t="shared" si="0"/>
        <v>0.31942266385250934</v>
      </c>
      <c r="F26" s="167">
        <f t="shared" si="1"/>
        <v>1.0610991211954128</v>
      </c>
      <c r="G26" s="168">
        <v>3.4450000000000001E-2</v>
      </c>
      <c r="H26" s="168">
        <v>7.1599999999999997E-2</v>
      </c>
      <c r="I26" s="168">
        <v>0.79690000000000005</v>
      </c>
      <c r="J26" s="167">
        <f t="shared" si="2"/>
        <v>20.120382599708137</v>
      </c>
      <c r="K26" s="167">
        <f t="shared" si="3"/>
        <v>66.838464237853287</v>
      </c>
      <c r="L26" s="168">
        <v>1.155E-2</v>
      </c>
      <c r="M26" s="168">
        <v>2.7019999999999999E-2</v>
      </c>
      <c r="N26" s="168">
        <v>0.98019999999999996</v>
      </c>
      <c r="O26" s="167">
        <f t="shared" si="4"/>
        <v>60.012742905622972</v>
      </c>
      <c r="P26" s="167">
        <f t="shared" si="5"/>
        <v>199.35801670944122</v>
      </c>
      <c r="Q26" s="154">
        <v>0.19689999999999999</v>
      </c>
      <c r="R26" s="168">
        <v>1.5569999999999999</v>
      </c>
      <c r="S26" s="168">
        <v>0.83089999999999997</v>
      </c>
      <c r="T26" s="167">
        <f t="shared" si="6"/>
        <v>3.5203005615030234</v>
      </c>
      <c r="U26" s="167">
        <f t="shared" si="7"/>
        <v>11.694185337704651</v>
      </c>
      <c r="V26" s="168">
        <v>3.5610000000000003E-2</v>
      </c>
      <c r="W26" s="168">
        <v>5.8740000000000001E-2</v>
      </c>
      <c r="X26" s="168">
        <v>1.0369999999999999</v>
      </c>
      <c r="Y26" s="167">
        <f t="shared" si="8"/>
        <v>19.464958735185206</v>
      </c>
      <c r="Z26" s="167">
        <f t="shared" si="9"/>
        <v>64.661193288234927</v>
      </c>
      <c r="AA26" s="168">
        <v>6.4720000000000003E-3</v>
      </c>
      <c r="AB26" s="168">
        <v>-1.539E-3</v>
      </c>
      <c r="AC26" s="168">
        <v>1.2849999999999999</v>
      </c>
      <c r="AD26" s="167">
        <f t="shared" si="10"/>
        <v>107.09937894931169</v>
      </c>
      <c r="AE26" s="167">
        <f t="shared" si="11"/>
        <v>355.77643587670667</v>
      </c>
      <c r="AF26" s="160">
        <f t="shared" si="12"/>
        <v>7.7053080000000005</v>
      </c>
    </row>
    <row r="27" spans="1:32" x14ac:dyDescent="0.25">
      <c r="A27" s="166">
        <v>135</v>
      </c>
      <c r="B27" s="168">
        <v>2.1019999999999999</v>
      </c>
      <c r="C27" s="168">
        <v>6.45</v>
      </c>
      <c r="D27" s="168">
        <v>0.44690000000000002</v>
      </c>
      <c r="E27" s="167">
        <f t="shared" si="0"/>
        <v>0.32975603261652964</v>
      </c>
      <c r="F27" s="167">
        <f t="shared" si="1"/>
        <v>1.0954258292074432</v>
      </c>
      <c r="G27" s="168">
        <v>3.3939999999999998E-2</v>
      </c>
      <c r="H27" s="168">
        <v>7.263E-2</v>
      </c>
      <c r="I27" s="168">
        <v>0.90990000000000004</v>
      </c>
      <c r="J27" s="167">
        <f t="shared" si="2"/>
        <v>20.4227218786077</v>
      </c>
      <c r="K27" s="167">
        <f t="shared" si="3"/>
        <v>67.842813582617737</v>
      </c>
      <c r="L27" s="168">
        <v>1.1220000000000001E-2</v>
      </c>
      <c r="M27" s="168">
        <v>2.5610000000000001E-2</v>
      </c>
      <c r="N27" s="168">
        <v>0.99009999999999998</v>
      </c>
      <c r="O27" s="167">
        <f t="shared" si="4"/>
        <v>61.777823579317754</v>
      </c>
      <c r="P27" s="167">
        <f t="shared" si="5"/>
        <v>205.22148778913061</v>
      </c>
      <c r="Q27" s="154">
        <v>0.18379999999999999</v>
      </c>
      <c r="R27" s="168">
        <v>1.44</v>
      </c>
      <c r="S27" s="168">
        <v>0.83909999999999996</v>
      </c>
      <c r="T27" s="167">
        <f t="shared" si="6"/>
        <v>3.7712033762782662</v>
      </c>
      <c r="U27" s="167">
        <f t="shared" si="7"/>
        <v>12.52766644719285</v>
      </c>
      <c r="V27" s="168">
        <v>3.4810000000000001E-2</v>
      </c>
      <c r="W27" s="168">
        <v>5.5190000000000003E-2</v>
      </c>
      <c r="X27" s="168">
        <v>1.0489999999999999</v>
      </c>
      <c r="Y27" s="167">
        <f t="shared" si="8"/>
        <v>19.912300504451171</v>
      </c>
      <c r="Z27" s="167">
        <f t="shared" si="9"/>
        <v>66.147230479576152</v>
      </c>
      <c r="AA27" s="168">
        <v>6.306E-3</v>
      </c>
      <c r="AB27" s="168">
        <v>-1.7309999999999999E-3</v>
      </c>
      <c r="AC27" s="168">
        <v>1.4650000000000001</v>
      </c>
      <c r="AD27" s="167">
        <f t="shared" si="10"/>
        <v>109.91867753884321</v>
      </c>
      <c r="AE27" s="167">
        <f t="shared" si="11"/>
        <v>365.14194306914777</v>
      </c>
      <c r="AF27" s="160">
        <f t="shared" si="12"/>
        <v>8.221938999999999</v>
      </c>
    </row>
    <row r="28" spans="1:32" x14ac:dyDescent="0.25">
      <c r="A28" s="166">
        <v>140</v>
      </c>
      <c r="B28" s="168">
        <v>2.0089999999999999</v>
      </c>
      <c r="C28" s="168">
        <v>5.9160000000000004</v>
      </c>
      <c r="D28" s="168">
        <v>0.40179999999999999</v>
      </c>
      <c r="E28" s="167">
        <f t="shared" si="0"/>
        <v>0.34502099579887774</v>
      </c>
      <c r="F28" s="167">
        <f t="shared" si="1"/>
        <v>1.1461349392703066</v>
      </c>
      <c r="G28" s="168">
        <v>3.3450000000000001E-2</v>
      </c>
      <c r="H28" s="168">
        <v>7.4759999999999993E-2</v>
      </c>
      <c r="I28" s="168">
        <v>1.0469999999999999</v>
      </c>
      <c r="J28" s="167">
        <f t="shared" si="2"/>
        <v>20.721888805977436</v>
      </c>
      <c r="K28" s="167">
        <f t="shared" si="3"/>
        <v>68.836624603708387</v>
      </c>
      <c r="L28" s="168">
        <v>1.0880000000000001E-2</v>
      </c>
      <c r="M28" s="168">
        <v>2.436E-2</v>
      </c>
      <c r="N28" s="168">
        <v>0.99639999999999995</v>
      </c>
      <c r="O28" s="167">
        <f t="shared" si="4"/>
        <v>63.708380566171435</v>
      </c>
      <c r="P28" s="167">
        <f t="shared" si="5"/>
        <v>211.63465928254095</v>
      </c>
      <c r="Q28" s="154">
        <v>0.1724</v>
      </c>
      <c r="R28" s="168">
        <v>1.3280000000000001</v>
      </c>
      <c r="S28" s="168">
        <v>0.8458</v>
      </c>
      <c r="T28" s="167">
        <f t="shared" si="6"/>
        <v>4.0205752932711443</v>
      </c>
      <c r="U28" s="167">
        <f t="shared" si="7"/>
        <v>13.356062024327411</v>
      </c>
      <c r="V28" s="168">
        <v>3.4070000000000003E-2</v>
      </c>
      <c r="W28" s="168">
        <v>5.1450000000000003E-2</v>
      </c>
      <c r="X28" s="168">
        <v>1.0569999999999999</v>
      </c>
      <c r="Y28" s="167">
        <f t="shared" si="8"/>
        <v>20.344795437626804</v>
      </c>
      <c r="Z28" s="167">
        <f t="shared" si="9"/>
        <v>67.583947548988718</v>
      </c>
      <c r="AA28" s="168">
        <v>6.1910000000000003E-3</v>
      </c>
      <c r="AB28" s="168">
        <v>-1.8489999999999999E-3</v>
      </c>
      <c r="AC28" s="168">
        <v>1.53</v>
      </c>
      <c r="AD28" s="167">
        <f t="shared" si="10"/>
        <v>111.96045559036428</v>
      </c>
      <c r="AE28" s="167">
        <f t="shared" si="11"/>
        <v>371.92458294201998</v>
      </c>
      <c r="AF28" s="160">
        <f t="shared" si="12"/>
        <v>8.7364160000000002</v>
      </c>
    </row>
    <row r="29" spans="1:32" x14ac:dyDescent="0.25">
      <c r="A29" s="166">
        <v>145</v>
      </c>
      <c r="B29" s="168">
        <v>1.895</v>
      </c>
      <c r="C29" s="168">
        <v>5.4980000000000002</v>
      </c>
      <c r="D29" s="168">
        <v>0.35799999999999998</v>
      </c>
      <c r="E29" s="167">
        <f t="shared" si="0"/>
        <v>0.36577687628493155</v>
      </c>
      <c r="F29" s="167">
        <f t="shared" si="1"/>
        <v>1.2150844817910531</v>
      </c>
      <c r="G29" s="168">
        <v>3.2960000000000003E-2</v>
      </c>
      <c r="H29" s="168">
        <v>7.8750000000000001E-2</v>
      </c>
      <c r="I29" s="168">
        <v>1.224</v>
      </c>
      <c r="J29" s="167">
        <f t="shared" si="2"/>
        <v>21.029950866503192</v>
      </c>
      <c r="K29" s="167">
        <f t="shared" si="3"/>
        <v>69.859984617537791</v>
      </c>
      <c r="L29" s="168">
        <v>1.056E-2</v>
      </c>
      <c r="M29" s="168">
        <v>2.3130000000000001E-2</v>
      </c>
      <c r="N29" s="168">
        <v>0.99870000000000003</v>
      </c>
      <c r="O29" s="167">
        <f t="shared" si="4"/>
        <v>65.638937553025116</v>
      </c>
      <c r="P29" s="167">
        <f t="shared" si="5"/>
        <v>218.0478307759513</v>
      </c>
      <c r="Q29" s="154">
        <v>0.16159999999999999</v>
      </c>
      <c r="R29" s="168">
        <v>1.2250000000000001</v>
      </c>
      <c r="S29" s="168">
        <v>0.85189999999999999</v>
      </c>
      <c r="T29" s="167">
        <f t="shared" si="6"/>
        <v>4.2892771074254039</v>
      </c>
      <c r="U29" s="167">
        <f t="shared" si="7"/>
        <v>14.24867012991365</v>
      </c>
      <c r="V29" s="168">
        <v>3.3360000000000001E-2</v>
      </c>
      <c r="W29" s="168">
        <v>4.795E-2</v>
      </c>
      <c r="X29" s="168">
        <v>1.0629999999999999</v>
      </c>
      <c r="Y29" s="167">
        <f t="shared" si="8"/>
        <v>20.777793182252555</v>
      </c>
      <c r="Z29" s="167">
        <f t="shared" si="9"/>
        <v>69.022334921883868</v>
      </c>
      <c r="AA29" s="168">
        <v>6.1149999999999998E-3</v>
      </c>
      <c r="AB29" s="168">
        <v>-1.869E-3</v>
      </c>
      <c r="AC29" s="168">
        <v>1.498</v>
      </c>
      <c r="AD29" s="167">
        <f t="shared" si="10"/>
        <v>113.35195103187985</v>
      </c>
      <c r="AE29" s="167">
        <f t="shared" si="11"/>
        <v>376.54703074309822</v>
      </c>
      <c r="AF29" s="160">
        <f t="shared" si="12"/>
        <v>9.2463870000000004</v>
      </c>
    </row>
    <row r="30" spans="1:32" x14ac:dyDescent="0.25">
      <c r="A30" s="166">
        <v>150</v>
      </c>
      <c r="B30" s="168">
        <v>1.7569999999999999</v>
      </c>
      <c r="C30" s="168">
        <v>5.1769999999999996</v>
      </c>
      <c r="D30" s="168">
        <v>0.31559999999999999</v>
      </c>
      <c r="E30" s="167">
        <f t="shared" si="0"/>
        <v>0.39450607886166494</v>
      </c>
      <c r="F30" s="167">
        <f t="shared" si="1"/>
        <v>1.3105208269744142</v>
      </c>
      <c r="G30" s="168">
        <v>3.243E-2</v>
      </c>
      <c r="H30" s="168">
        <v>8.5989999999999997E-2</v>
      </c>
      <c r="I30" s="168">
        <v>1.4670000000000001</v>
      </c>
      <c r="J30" s="167">
        <f t="shared" si="2"/>
        <v>21.373641090346755</v>
      </c>
      <c r="K30" s="167">
        <f t="shared" si="3"/>
        <v>71.001698828061848</v>
      </c>
      <c r="L30" s="168">
        <v>1.03E-2</v>
      </c>
      <c r="M30" s="168">
        <v>2.198E-2</v>
      </c>
      <c r="N30" s="168">
        <v>1.0129999999999999</v>
      </c>
      <c r="O30" s="167">
        <f t="shared" si="4"/>
        <v>67.295842772810218</v>
      </c>
      <c r="P30" s="167">
        <f t="shared" si="5"/>
        <v>223.55195077612095</v>
      </c>
      <c r="Q30" s="154">
        <v>0.15010000000000001</v>
      </c>
      <c r="R30" s="168">
        <v>1.1319999999999999</v>
      </c>
      <c r="S30" s="168">
        <v>0.85660000000000003</v>
      </c>
      <c r="T30" s="167">
        <f t="shared" si="6"/>
        <v>4.6179026019983027</v>
      </c>
      <c r="U30" s="167">
        <f t="shared" si="7"/>
        <v>15.340340393031617</v>
      </c>
      <c r="V30" s="168">
        <v>3.2660000000000002E-2</v>
      </c>
      <c r="W30" s="168">
        <v>4.4909999999999999E-2</v>
      </c>
      <c r="X30" s="168">
        <v>1.073</v>
      </c>
      <c r="Y30" s="167">
        <f t="shared" si="8"/>
        <v>21.223122491118961</v>
      </c>
      <c r="Z30" s="167">
        <f t="shared" si="9"/>
        <v>70.501686864483943</v>
      </c>
      <c r="AA30" s="168">
        <v>6.0200000000000002E-3</v>
      </c>
      <c r="AB30" s="168">
        <v>-1.7520000000000001E-3</v>
      </c>
      <c r="AC30" s="168">
        <v>1.4830000000000001</v>
      </c>
      <c r="AD30" s="167">
        <f t="shared" si="10"/>
        <v>115.14072766776499</v>
      </c>
      <c r="AE30" s="167">
        <f t="shared" si="11"/>
        <v>382.48921810532318</v>
      </c>
      <c r="AF30" s="160">
        <f t="shared" si="12"/>
        <v>9.7495000000000012</v>
      </c>
    </row>
    <row r="31" spans="1:32" ht="13.8" thickBot="1" x14ac:dyDescent="0.3">
      <c r="A31" s="169"/>
      <c r="B31" s="170"/>
      <c r="C31" s="170"/>
      <c r="D31" s="170"/>
      <c r="E31" s="170"/>
      <c r="F31" s="171"/>
      <c r="G31" s="170"/>
      <c r="H31" s="170"/>
      <c r="I31" s="170"/>
      <c r="J31" s="170"/>
      <c r="K31" s="171"/>
      <c r="L31" s="170"/>
      <c r="M31" s="170"/>
      <c r="N31" s="170"/>
      <c r="O31" s="170"/>
      <c r="P31" s="171"/>
      <c r="Q31" s="172"/>
      <c r="R31" s="170"/>
      <c r="S31" s="170"/>
      <c r="T31" s="170"/>
      <c r="U31" s="171"/>
      <c r="V31" s="170"/>
      <c r="W31" s="170"/>
      <c r="X31" s="170"/>
      <c r="Y31" s="170"/>
      <c r="Z31" s="171"/>
      <c r="AA31" s="170"/>
      <c r="AB31" s="170"/>
      <c r="AC31" s="170"/>
      <c r="AD31" s="170"/>
      <c r="AE31" s="171"/>
      <c r="AF31" s="173"/>
    </row>
    <row r="32" spans="1:32" ht="13.8" thickTop="1" x14ac:dyDescent="0.25"/>
  </sheetData>
  <phoneticPr fontId="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>
      <selection activeCell="A4" sqref="A4"/>
    </sheetView>
  </sheetViews>
  <sheetFormatPr defaultRowHeight="13.2" x14ac:dyDescent="0.25"/>
  <cols>
    <col min="1" max="1" width="65.44140625" customWidth="1"/>
    <col min="2" max="2" width="15.109375" customWidth="1"/>
  </cols>
  <sheetData>
    <row r="1" spans="1:2" x14ac:dyDescent="0.25">
      <c r="A1" s="255" t="s">
        <v>217</v>
      </c>
    </row>
    <row r="3" spans="1:2" x14ac:dyDescent="0.25">
      <c r="A3" t="s">
        <v>128</v>
      </c>
      <c r="B3" t="s">
        <v>218</v>
      </c>
    </row>
    <row r="4" spans="1:2" ht="52.8" x14ac:dyDescent="0.25">
      <c r="A4" s="254" t="s">
        <v>224</v>
      </c>
      <c r="B4">
        <v>1</v>
      </c>
    </row>
    <row r="5" spans="1:2" x14ac:dyDescent="0.25">
      <c r="A5" s="254" t="s">
        <v>219</v>
      </c>
      <c r="B5">
        <v>0.5</v>
      </c>
    </row>
    <row r="6" spans="1:2" x14ac:dyDescent="0.25">
      <c r="A6" s="254" t="s">
        <v>220</v>
      </c>
      <c r="B6">
        <v>0.2</v>
      </c>
    </row>
    <row r="7" spans="1:2" x14ac:dyDescent="0.25">
      <c r="A7" s="254" t="s">
        <v>221</v>
      </c>
      <c r="B7">
        <v>0.125</v>
      </c>
    </row>
    <row r="8" spans="1:2" ht="26.4" x14ac:dyDescent="0.25">
      <c r="A8" s="254" t="s">
        <v>222</v>
      </c>
      <c r="B8">
        <v>0.05</v>
      </c>
    </row>
    <row r="9" spans="1:2" ht="39.6" x14ac:dyDescent="0.25">
      <c r="A9" s="254" t="s">
        <v>223</v>
      </c>
      <c r="B9">
        <v>2.5000000000000001E-2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0"/>
  <sheetViews>
    <sheetView workbookViewId="0">
      <selection activeCell="F9" sqref="F9"/>
    </sheetView>
  </sheetViews>
  <sheetFormatPr defaultRowHeight="13.2" x14ac:dyDescent="0.25"/>
  <cols>
    <col min="1" max="1" width="13.44140625" customWidth="1"/>
  </cols>
  <sheetData>
    <row r="1" spans="1:10" x14ac:dyDescent="0.25">
      <c r="A1" s="255" t="s">
        <v>225</v>
      </c>
    </row>
    <row r="3" spans="1:10" x14ac:dyDescent="0.25">
      <c r="B3" s="280" t="s">
        <v>226</v>
      </c>
      <c r="C3" s="280"/>
      <c r="D3" s="280"/>
      <c r="E3" s="280" t="s">
        <v>227</v>
      </c>
      <c r="F3" s="280"/>
      <c r="G3" s="280"/>
    </row>
    <row r="4" spans="1:10" ht="45" customHeight="1" x14ac:dyDescent="0.25">
      <c r="A4" s="259" t="s">
        <v>37</v>
      </c>
      <c r="B4" s="259" t="s">
        <v>228</v>
      </c>
      <c r="C4" s="259" t="s">
        <v>229</v>
      </c>
      <c r="D4" s="259" t="s">
        <v>230</v>
      </c>
      <c r="E4" s="259" t="s">
        <v>231</v>
      </c>
      <c r="F4" s="259" t="s">
        <v>232</v>
      </c>
      <c r="G4" s="259" t="s">
        <v>233</v>
      </c>
      <c r="H4" s="259" t="s">
        <v>234</v>
      </c>
      <c r="I4" s="259" t="s">
        <v>235</v>
      </c>
      <c r="J4" s="259" t="s">
        <v>236</v>
      </c>
    </row>
    <row r="5" spans="1:10" x14ac:dyDescent="0.25">
      <c r="A5">
        <v>25</v>
      </c>
      <c r="B5" s="256">
        <v>0</v>
      </c>
      <c r="C5" s="256">
        <v>0</v>
      </c>
      <c r="D5" s="256">
        <v>0</v>
      </c>
      <c r="E5" s="256">
        <v>0</v>
      </c>
      <c r="F5" s="256">
        <v>0</v>
      </c>
      <c r="G5" s="256">
        <v>0</v>
      </c>
      <c r="H5" s="256">
        <v>0.92500000000000004</v>
      </c>
      <c r="I5" s="256">
        <v>0</v>
      </c>
      <c r="J5" s="256">
        <v>0</v>
      </c>
    </row>
    <row r="6" spans="1:10" x14ac:dyDescent="0.25">
      <c r="A6">
        <v>30</v>
      </c>
      <c r="B6" s="256">
        <v>0</v>
      </c>
      <c r="C6" s="256">
        <v>0</v>
      </c>
      <c r="D6" s="256">
        <v>0</v>
      </c>
      <c r="E6" s="256">
        <v>0</v>
      </c>
      <c r="F6" s="256">
        <v>0</v>
      </c>
      <c r="G6" s="256">
        <v>0</v>
      </c>
      <c r="H6" s="256">
        <v>4.67</v>
      </c>
      <c r="I6" s="256">
        <v>0</v>
      </c>
      <c r="J6" s="256">
        <v>0</v>
      </c>
    </row>
    <row r="7" spans="1:10" x14ac:dyDescent="0.25">
      <c r="A7">
        <v>35</v>
      </c>
      <c r="B7" s="256">
        <v>0</v>
      </c>
      <c r="C7" s="256">
        <v>0</v>
      </c>
      <c r="D7" s="256">
        <v>0</v>
      </c>
      <c r="E7" s="256">
        <v>0</v>
      </c>
      <c r="F7" s="256">
        <v>0</v>
      </c>
      <c r="G7" s="256">
        <v>0</v>
      </c>
      <c r="H7" s="256">
        <v>1.1000000000000001</v>
      </c>
      <c r="I7" s="256">
        <v>0</v>
      </c>
      <c r="J7" s="256">
        <v>0</v>
      </c>
    </row>
    <row r="8" spans="1:10" x14ac:dyDescent="0.25">
      <c r="A8">
        <v>40</v>
      </c>
      <c r="B8" s="256">
        <v>1.3799999999999999E-4</v>
      </c>
      <c r="C8" s="256">
        <v>0</v>
      </c>
      <c r="D8" s="256">
        <v>1.3799999999999999E-4</v>
      </c>
      <c r="E8" s="256">
        <v>0</v>
      </c>
      <c r="F8" s="256">
        <v>0</v>
      </c>
      <c r="G8" s="256">
        <v>0</v>
      </c>
      <c r="H8" s="256">
        <v>0</v>
      </c>
      <c r="I8" s="256">
        <v>0</v>
      </c>
      <c r="J8" s="256">
        <v>0</v>
      </c>
    </row>
    <row r="9" spans="1:10" x14ac:dyDescent="0.25">
      <c r="A9">
        <v>45</v>
      </c>
      <c r="B9" s="256">
        <v>7.1000000000000002E-4</v>
      </c>
      <c r="C9" s="256">
        <v>0</v>
      </c>
      <c r="D9" s="256">
        <v>7.1000000000000002E-4</v>
      </c>
      <c r="E9" s="256">
        <v>0</v>
      </c>
      <c r="F9" s="256">
        <v>5.7799999999999995E-4</v>
      </c>
      <c r="G9" s="256">
        <v>0</v>
      </c>
      <c r="H9" s="256">
        <v>0</v>
      </c>
      <c r="I9" s="256">
        <v>0</v>
      </c>
      <c r="J9" s="256">
        <v>0</v>
      </c>
    </row>
    <row r="10" spans="1:10" x14ac:dyDescent="0.25">
      <c r="A10">
        <v>50</v>
      </c>
      <c r="B10" s="256">
        <v>8.4799999999999997E-3</v>
      </c>
      <c r="C10" s="256">
        <v>6.7799999999999996E-3</v>
      </c>
      <c r="D10" s="256">
        <v>1.6999999999999999E-3</v>
      </c>
      <c r="E10" s="256">
        <v>0</v>
      </c>
      <c r="F10" s="256">
        <v>7.6499999999999995E-4</v>
      </c>
      <c r="G10" s="256">
        <v>0</v>
      </c>
      <c r="H10" s="256">
        <v>0</v>
      </c>
      <c r="I10" s="256">
        <v>0.34</v>
      </c>
      <c r="J10" s="256">
        <v>8.9399999999999993E-2</v>
      </c>
    </row>
    <row r="11" spans="1:10" x14ac:dyDescent="0.25">
      <c r="A11">
        <v>55</v>
      </c>
      <c r="B11" s="256">
        <v>1.09E-2</v>
      </c>
      <c r="C11" s="256">
        <v>4.5600000000000003E-4</v>
      </c>
      <c r="D11" s="256">
        <v>1.04E-2</v>
      </c>
      <c r="E11" s="256">
        <v>7.0199999999999999E-2</v>
      </c>
      <c r="F11" s="256">
        <v>7.2599999999999997E-4</v>
      </c>
      <c r="G11" s="256">
        <v>0</v>
      </c>
      <c r="H11" s="256">
        <v>0</v>
      </c>
      <c r="I11" s="256">
        <v>0.42</v>
      </c>
      <c r="J11" s="256">
        <v>3.9800000000000002E-2</v>
      </c>
    </row>
    <row r="12" spans="1:10" x14ac:dyDescent="0.25">
      <c r="A12">
        <v>60</v>
      </c>
      <c r="B12" s="256">
        <v>9.8100000000000007E-2</v>
      </c>
      <c r="C12" s="256">
        <v>8.9599999999999992E-3</v>
      </c>
      <c r="D12" s="256">
        <v>8.9099999999999999E-2</v>
      </c>
      <c r="E12" s="256">
        <v>0.113</v>
      </c>
      <c r="F12" s="256">
        <v>1.52E-2</v>
      </c>
      <c r="G12" s="256">
        <v>0</v>
      </c>
      <c r="H12" s="256">
        <v>0</v>
      </c>
      <c r="I12" s="256">
        <v>1.96</v>
      </c>
      <c r="J12" s="256">
        <v>0.69899999999999995</v>
      </c>
    </row>
    <row r="13" spans="1:10" x14ac:dyDescent="0.25">
      <c r="A13">
        <v>65</v>
      </c>
      <c r="B13" s="256">
        <v>0.104</v>
      </c>
      <c r="C13" s="256">
        <v>3.4200000000000001E-2</v>
      </c>
      <c r="D13" s="256">
        <v>7.0000000000000007E-2</v>
      </c>
      <c r="E13" s="256">
        <v>0.187</v>
      </c>
      <c r="F13" s="256">
        <v>2.52E-2</v>
      </c>
      <c r="G13" s="256">
        <v>0</v>
      </c>
      <c r="H13" s="256">
        <v>0</v>
      </c>
      <c r="I13" s="256">
        <v>4.55</v>
      </c>
      <c r="J13" s="256">
        <v>15</v>
      </c>
    </row>
    <row r="14" spans="1:10" x14ac:dyDescent="0.25">
      <c r="A14">
        <v>70</v>
      </c>
      <c r="B14" s="256">
        <v>0.45800000000000002</v>
      </c>
      <c r="C14" s="256">
        <v>7.2499999999999995E-2</v>
      </c>
      <c r="D14" s="256">
        <v>0.38500000000000001</v>
      </c>
      <c r="E14" s="256">
        <v>0.14499999999999999</v>
      </c>
      <c r="F14" s="256">
        <v>8.8900000000000007E-2</v>
      </c>
      <c r="G14" s="256">
        <v>2.0199999999999999E-2</v>
      </c>
      <c r="H14" s="256">
        <v>0</v>
      </c>
      <c r="I14" s="256">
        <v>6.03</v>
      </c>
      <c r="J14" s="256">
        <v>12.2</v>
      </c>
    </row>
    <row r="15" spans="1:10" x14ac:dyDescent="0.25">
      <c r="A15">
        <v>75</v>
      </c>
      <c r="B15" s="256">
        <v>0.501</v>
      </c>
      <c r="C15" s="256">
        <v>9.5299999999999996E-2</v>
      </c>
      <c r="D15" s="256">
        <v>0.40500000000000003</v>
      </c>
      <c r="E15" s="256">
        <v>0.19400000000000001</v>
      </c>
      <c r="F15" s="256">
        <v>0.224</v>
      </c>
      <c r="G15" s="256">
        <v>2.3600000000000001E-3</v>
      </c>
      <c r="H15" s="256">
        <v>0</v>
      </c>
      <c r="I15" s="256">
        <v>8.02</v>
      </c>
      <c r="J15" s="256">
        <v>15.3</v>
      </c>
    </row>
    <row r="16" spans="1:10" x14ac:dyDescent="0.25">
      <c r="A16">
        <v>80</v>
      </c>
      <c r="B16" s="256">
        <v>0.56000000000000005</v>
      </c>
      <c r="C16" s="256">
        <v>0.14000000000000001</v>
      </c>
      <c r="D16" s="256">
        <v>0.42</v>
      </c>
      <c r="E16" s="256">
        <v>1.72</v>
      </c>
      <c r="F16" s="256">
        <v>0.42799999999999999</v>
      </c>
      <c r="G16" s="256">
        <v>0</v>
      </c>
      <c r="H16" s="256">
        <v>0</v>
      </c>
      <c r="I16" s="256">
        <v>25.4</v>
      </c>
      <c r="J16" s="256">
        <v>11</v>
      </c>
    </row>
    <row r="17" spans="1:10" x14ac:dyDescent="0.25">
      <c r="A17">
        <v>85</v>
      </c>
      <c r="B17" s="256">
        <v>0.315</v>
      </c>
      <c r="C17" s="256">
        <v>6.6199999999999995E-2</v>
      </c>
      <c r="D17" s="256">
        <v>0.249</v>
      </c>
      <c r="E17" s="256">
        <v>2.19</v>
      </c>
      <c r="F17" s="256">
        <v>0.218</v>
      </c>
      <c r="G17" s="256">
        <v>7.8299999999999995E-4</v>
      </c>
      <c r="H17" s="256">
        <v>0</v>
      </c>
      <c r="I17" s="256">
        <v>40.299999999999997</v>
      </c>
      <c r="J17" s="256">
        <v>4.09</v>
      </c>
    </row>
    <row r="18" spans="1:10" x14ac:dyDescent="0.25">
      <c r="A18">
        <v>90</v>
      </c>
      <c r="B18" s="256">
        <v>0.17599999999999999</v>
      </c>
      <c r="C18" s="256">
        <v>1.41E-2</v>
      </c>
      <c r="D18" s="256">
        <v>0.16200000000000001</v>
      </c>
      <c r="E18" s="256">
        <v>1.46</v>
      </c>
      <c r="F18" s="256">
        <v>5.33E-2</v>
      </c>
      <c r="G18" s="256">
        <v>0</v>
      </c>
      <c r="H18" s="256">
        <v>0</v>
      </c>
      <c r="I18" s="256">
        <v>21</v>
      </c>
      <c r="J18" s="256">
        <v>3.43</v>
      </c>
    </row>
    <row r="19" spans="1:10" x14ac:dyDescent="0.25">
      <c r="A19">
        <v>95</v>
      </c>
      <c r="B19" s="256">
        <v>2.18E-2</v>
      </c>
      <c r="C19" s="256">
        <v>3.5100000000000001E-3</v>
      </c>
      <c r="D19" s="256">
        <v>1.8200000000000001E-2</v>
      </c>
      <c r="E19" s="256">
        <v>1.1499999999999999</v>
      </c>
      <c r="F19" s="256">
        <v>4.8899999999999999E-2</v>
      </c>
      <c r="G19" s="256">
        <v>0</v>
      </c>
      <c r="H19" s="256">
        <v>0</v>
      </c>
      <c r="I19" s="256">
        <v>10.6</v>
      </c>
      <c r="J19" s="256">
        <v>0.67300000000000004</v>
      </c>
    </row>
    <row r="20" spans="1:10" x14ac:dyDescent="0.25">
      <c r="A20">
        <v>100</v>
      </c>
      <c r="B20" s="256">
        <v>1.55E-2</v>
      </c>
      <c r="C20" s="256">
        <v>8.8400000000000002E-4</v>
      </c>
      <c r="D20" s="256">
        <v>1.46E-2</v>
      </c>
      <c r="E20" s="256">
        <v>1.1200000000000001</v>
      </c>
      <c r="F20" s="256">
        <v>5.8700000000000002E-2</v>
      </c>
      <c r="G20" s="256">
        <v>3.0099999999999998E-2</v>
      </c>
      <c r="H20" s="256">
        <v>0</v>
      </c>
      <c r="I20" s="256">
        <v>7.4</v>
      </c>
      <c r="J20" s="256">
        <v>1.53</v>
      </c>
    </row>
    <row r="21" spans="1:10" x14ac:dyDescent="0.25">
      <c r="A21">
        <v>105</v>
      </c>
      <c r="B21" s="256">
        <v>3.48E-3</v>
      </c>
      <c r="C21" s="256">
        <v>1.97E-3</v>
      </c>
      <c r="D21" s="256">
        <v>1.5100000000000001E-3</v>
      </c>
      <c r="E21" s="256">
        <v>0.96399999999999997</v>
      </c>
      <c r="F21" s="256">
        <v>1.0500000000000001E-2</v>
      </c>
      <c r="G21" s="256">
        <v>0</v>
      </c>
      <c r="H21" s="256">
        <v>0</v>
      </c>
      <c r="I21" s="256">
        <v>7.02</v>
      </c>
      <c r="J21" s="256">
        <v>9.2700000000000005E-2</v>
      </c>
    </row>
    <row r="22" spans="1:10" x14ac:dyDescent="0.25">
      <c r="A22">
        <v>110</v>
      </c>
      <c r="B22" s="256">
        <v>1.0500000000000001E-2</v>
      </c>
      <c r="C22" s="256">
        <v>9.9100000000000004E-3</v>
      </c>
      <c r="D22" s="256">
        <v>5.5099999999999995E-4</v>
      </c>
      <c r="E22" s="256">
        <v>0.747</v>
      </c>
      <c r="F22" s="256">
        <v>6.4600000000000005E-2</v>
      </c>
      <c r="G22" s="256">
        <v>2.1399999999999999E-2</v>
      </c>
      <c r="H22" s="256">
        <v>0</v>
      </c>
      <c r="I22" s="256">
        <v>6.59</v>
      </c>
      <c r="J22" s="256">
        <v>3.0499999999999999E-2</v>
      </c>
    </row>
    <row r="23" spans="1:10" x14ac:dyDescent="0.25">
      <c r="A23">
        <v>115</v>
      </c>
      <c r="B23" s="256">
        <v>4.1000000000000002E-2</v>
      </c>
      <c r="C23" s="256">
        <v>3.7400000000000003E-2</v>
      </c>
      <c r="D23" s="256">
        <v>3.6900000000000001E-3</v>
      </c>
      <c r="E23" s="256">
        <v>1.44</v>
      </c>
      <c r="F23" s="256">
        <v>2.9000000000000001E-2</v>
      </c>
      <c r="G23" s="256">
        <v>9.3600000000000003E-2</v>
      </c>
      <c r="H23" s="256">
        <v>0</v>
      </c>
      <c r="I23" s="256">
        <v>13.8</v>
      </c>
      <c r="J23" s="256">
        <v>0</v>
      </c>
    </row>
    <row r="24" spans="1:10" x14ac:dyDescent="0.25">
      <c r="A24">
        <v>120</v>
      </c>
      <c r="B24" s="256">
        <v>6.9900000000000004E-2</v>
      </c>
      <c r="C24" s="256">
        <v>5.1200000000000002E-2</v>
      </c>
      <c r="D24" s="256">
        <v>1.8700000000000001E-2</v>
      </c>
      <c r="E24" s="256">
        <v>0.93700000000000006</v>
      </c>
      <c r="F24" s="256">
        <v>0.104</v>
      </c>
      <c r="G24" s="256">
        <v>4.7399999999999998E-2</v>
      </c>
      <c r="H24" s="256">
        <v>0</v>
      </c>
      <c r="I24" s="256">
        <v>3.35</v>
      </c>
      <c r="J24" s="256">
        <v>0</v>
      </c>
    </row>
    <row r="25" spans="1:10" x14ac:dyDescent="0.25">
      <c r="A25">
        <v>125</v>
      </c>
      <c r="B25" s="256">
        <v>4.8399999999999999E-2</v>
      </c>
      <c r="C25" s="256">
        <v>4.8099999999999997E-2</v>
      </c>
      <c r="D25" s="256">
        <v>3.4699999999999998E-4</v>
      </c>
      <c r="E25" s="256">
        <v>0.13800000000000001</v>
      </c>
      <c r="F25" s="256">
        <v>8.1299999999999997E-2</v>
      </c>
      <c r="G25" s="256">
        <v>0</v>
      </c>
      <c r="H25" s="256">
        <v>0</v>
      </c>
      <c r="I25" s="256">
        <v>2.75</v>
      </c>
      <c r="J25" s="256">
        <v>0</v>
      </c>
    </row>
    <row r="26" spans="1:10" x14ac:dyDescent="0.25">
      <c r="A26">
        <v>130</v>
      </c>
      <c r="B26" s="256">
        <v>1.8400000000000001E-3</v>
      </c>
      <c r="C26" s="256">
        <v>1.7099999999999999E-3</v>
      </c>
      <c r="D26" s="256">
        <v>1.25E-4</v>
      </c>
      <c r="E26" s="256">
        <v>0.153</v>
      </c>
      <c r="F26" s="256">
        <v>4.4600000000000001E-2</v>
      </c>
      <c r="G26" s="256">
        <v>0</v>
      </c>
      <c r="H26" s="256">
        <v>0</v>
      </c>
      <c r="I26" s="256">
        <v>3.1E-2</v>
      </c>
      <c r="J26" s="256">
        <v>0</v>
      </c>
    </row>
    <row r="27" spans="1:10" x14ac:dyDescent="0.25">
      <c r="A27">
        <v>135</v>
      </c>
      <c r="B27" s="256">
        <v>7.7299999999999999E-3</v>
      </c>
      <c r="C27" s="256">
        <v>7.7299999999999999E-3</v>
      </c>
      <c r="D27" s="256">
        <v>0</v>
      </c>
      <c r="E27" s="256">
        <v>0.14599999999999999</v>
      </c>
      <c r="F27" s="256">
        <v>9.4699999999999993E-3</v>
      </c>
      <c r="G27" s="256">
        <v>0</v>
      </c>
      <c r="H27" s="256">
        <v>0</v>
      </c>
      <c r="I27" s="256">
        <v>0</v>
      </c>
      <c r="J27" s="256">
        <v>0</v>
      </c>
    </row>
    <row r="28" spans="1:10" x14ac:dyDescent="0.25">
      <c r="A28">
        <v>140</v>
      </c>
      <c r="B28" s="256">
        <v>0</v>
      </c>
      <c r="C28" s="256">
        <v>0</v>
      </c>
      <c r="D28" s="256">
        <v>0</v>
      </c>
      <c r="E28" s="256">
        <v>1.9199999999999998E-2</v>
      </c>
      <c r="F28" s="256">
        <v>4.2599999999999999E-3</v>
      </c>
      <c r="G28" s="256">
        <v>0</v>
      </c>
      <c r="H28" s="256">
        <v>0</v>
      </c>
      <c r="I28" s="256">
        <v>0</v>
      </c>
      <c r="J28" s="256">
        <v>0</v>
      </c>
    </row>
    <row r="29" spans="1:10" x14ac:dyDescent="0.25">
      <c r="A29" t="s">
        <v>237</v>
      </c>
      <c r="B29" s="178">
        <f>SUM(B5:B28)</f>
        <v>2.4524780000000002</v>
      </c>
      <c r="C29" s="178">
        <f t="shared" ref="C29:J29" si="0">SUM(C5:C28)</f>
        <v>0.60091000000000006</v>
      </c>
      <c r="D29" s="178">
        <f t="shared" si="0"/>
        <v>1.8507709999999995</v>
      </c>
      <c r="E29" s="178">
        <f t="shared" si="0"/>
        <v>12.8934</v>
      </c>
      <c r="F29" s="178">
        <f t="shared" si="0"/>
        <v>1.5099989999999996</v>
      </c>
      <c r="G29" s="178">
        <f t="shared" si="0"/>
        <v>0.21584300000000001</v>
      </c>
      <c r="H29" s="178">
        <f t="shared" si="0"/>
        <v>6.6950000000000003</v>
      </c>
      <c r="I29" s="178">
        <f t="shared" si="0"/>
        <v>159.56100000000001</v>
      </c>
      <c r="J29" s="178">
        <f t="shared" si="0"/>
        <v>64.174399999999991</v>
      </c>
    </row>
    <row r="30" spans="1:10" x14ac:dyDescent="0.25">
      <c r="A30" t="s">
        <v>238</v>
      </c>
      <c r="B30" s="280">
        <v>110</v>
      </c>
      <c r="C30" s="280"/>
      <c r="D30" s="280"/>
      <c r="E30">
        <v>18</v>
      </c>
      <c r="F30">
        <v>23</v>
      </c>
      <c r="G30">
        <v>210</v>
      </c>
      <c r="H30">
        <v>47</v>
      </c>
      <c r="I30">
        <v>19</v>
      </c>
      <c r="J30">
        <v>21</v>
      </c>
    </row>
  </sheetData>
  <mergeCells count="3">
    <mergeCell ref="B3:D3"/>
    <mergeCell ref="E3:G3"/>
    <mergeCell ref="B30:D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workbookViewId="0">
      <selection activeCell="D10" sqref="D10"/>
    </sheetView>
  </sheetViews>
  <sheetFormatPr defaultRowHeight="13.2" x14ac:dyDescent="0.25"/>
  <cols>
    <col min="1" max="1" width="26.33203125" customWidth="1"/>
    <col min="2" max="2" width="12" customWidth="1"/>
  </cols>
  <sheetData>
    <row r="1" spans="1:6" x14ac:dyDescent="0.25">
      <c r="A1" s="255" t="s">
        <v>239</v>
      </c>
    </row>
    <row r="2" spans="1:6" x14ac:dyDescent="0.25">
      <c r="A2" s="255" t="s">
        <v>240</v>
      </c>
    </row>
    <row r="3" spans="1:6" ht="24" customHeight="1" x14ac:dyDescent="0.25">
      <c r="C3" s="286" t="s">
        <v>241</v>
      </c>
      <c r="D3" s="286"/>
      <c r="E3" s="286" t="s">
        <v>242</v>
      </c>
      <c r="F3" s="286"/>
    </row>
    <row r="4" spans="1:6" s="254" customFormat="1" ht="23.25" customHeight="1" x14ac:dyDescent="0.25">
      <c r="A4" s="259" t="s">
        <v>243</v>
      </c>
      <c r="B4" s="259" t="s">
        <v>244</v>
      </c>
      <c r="C4" s="259" t="s">
        <v>245</v>
      </c>
      <c r="D4" s="259" t="s">
        <v>246</v>
      </c>
      <c r="E4" s="259" t="s">
        <v>245</v>
      </c>
      <c r="F4" s="259" t="s">
        <v>246</v>
      </c>
    </row>
    <row r="5" spans="1:6" x14ac:dyDescent="0.25">
      <c r="A5" t="s">
        <v>247</v>
      </c>
      <c r="B5" s="178">
        <f>NCRP147_4.2!C29</f>
        <v>0.60091000000000006</v>
      </c>
      <c r="C5">
        <v>120</v>
      </c>
      <c r="D5">
        <v>160</v>
      </c>
      <c r="E5" s="257">
        <f>$B$5*C5</f>
        <v>72.109200000000001</v>
      </c>
      <c r="F5" s="257">
        <f>$B$5*D5</f>
        <v>96.145600000000002</v>
      </c>
    </row>
    <row r="6" spans="1:6" x14ac:dyDescent="0.25">
      <c r="A6" t="s">
        <v>230</v>
      </c>
      <c r="B6" s="178">
        <f>NCRP147_4.2!D29</f>
        <v>1.8507709999999995</v>
      </c>
      <c r="C6">
        <v>120</v>
      </c>
      <c r="D6">
        <v>160</v>
      </c>
      <c r="E6" s="257">
        <f t="shared" ref="E6:E12" si="0">$B$5*C6</f>
        <v>72.109200000000001</v>
      </c>
      <c r="F6" s="257">
        <f t="shared" ref="F6:F12" si="1">$B$5*D6</f>
        <v>96.145600000000002</v>
      </c>
    </row>
    <row r="7" spans="1:6" x14ac:dyDescent="0.25">
      <c r="A7" t="s">
        <v>233</v>
      </c>
      <c r="B7" s="178">
        <f>NCRP147_4.2!G29</f>
        <v>0.21584300000000001</v>
      </c>
      <c r="C7">
        <v>200</v>
      </c>
      <c r="D7">
        <v>400</v>
      </c>
      <c r="E7" s="257">
        <f t="shared" si="0"/>
        <v>120.18200000000002</v>
      </c>
      <c r="F7" s="257">
        <f t="shared" si="1"/>
        <v>240.36400000000003</v>
      </c>
    </row>
    <row r="8" spans="1:6" x14ac:dyDescent="0.25">
      <c r="A8" t="s">
        <v>231</v>
      </c>
      <c r="B8" s="178">
        <f>NCRP147_4.2!E29</f>
        <v>12.8934</v>
      </c>
      <c r="C8">
        <v>20</v>
      </c>
      <c r="D8">
        <v>30</v>
      </c>
      <c r="E8" s="257">
        <f t="shared" si="0"/>
        <v>12.0182</v>
      </c>
      <c r="F8" s="257">
        <f t="shared" si="1"/>
        <v>18.0273</v>
      </c>
    </row>
    <row r="9" spans="1:6" x14ac:dyDescent="0.25">
      <c r="A9" t="s">
        <v>232</v>
      </c>
      <c r="B9" s="178">
        <f>NCRP147_4.2!F29</f>
        <v>1.5099989999999996</v>
      </c>
      <c r="C9">
        <v>25</v>
      </c>
      <c r="D9">
        <v>40</v>
      </c>
      <c r="E9" s="257">
        <f t="shared" si="0"/>
        <v>15.022750000000002</v>
      </c>
      <c r="F9" s="257">
        <f t="shared" si="1"/>
        <v>24.0364</v>
      </c>
    </row>
    <row r="10" spans="1:6" x14ac:dyDescent="0.25">
      <c r="A10" t="s">
        <v>248</v>
      </c>
      <c r="B10" s="178">
        <f>NCRP147_4.2!H29</f>
        <v>6.6950000000000003</v>
      </c>
      <c r="C10">
        <v>80</v>
      </c>
      <c r="D10">
        <v>160</v>
      </c>
      <c r="E10" s="257">
        <f t="shared" si="0"/>
        <v>48.072800000000001</v>
      </c>
      <c r="F10" s="257">
        <f t="shared" si="1"/>
        <v>96.145600000000002</v>
      </c>
    </row>
    <row r="11" spans="1:6" x14ac:dyDescent="0.25">
      <c r="A11" t="s">
        <v>235</v>
      </c>
      <c r="B11" s="178">
        <f>NCRP147_4.2!I29</f>
        <v>159.56100000000001</v>
      </c>
      <c r="C11">
        <v>20</v>
      </c>
      <c r="D11">
        <v>30</v>
      </c>
      <c r="E11" s="257">
        <f t="shared" si="0"/>
        <v>12.0182</v>
      </c>
      <c r="F11" s="257">
        <f t="shared" si="1"/>
        <v>18.0273</v>
      </c>
    </row>
    <row r="12" spans="1:6" x14ac:dyDescent="0.25">
      <c r="A12" t="s">
        <v>236</v>
      </c>
      <c r="B12" s="178">
        <f>NCRP147_4.2!J29</f>
        <v>64.174399999999991</v>
      </c>
      <c r="C12">
        <v>20</v>
      </c>
      <c r="D12">
        <v>30</v>
      </c>
      <c r="E12" s="257">
        <f t="shared" si="0"/>
        <v>12.0182</v>
      </c>
      <c r="F12" s="257">
        <f t="shared" si="1"/>
        <v>18.0273</v>
      </c>
    </row>
  </sheetData>
  <mergeCells count="2">
    <mergeCell ref="C3:D3"/>
    <mergeCell ref="E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>
      <selection activeCell="B10" sqref="B10"/>
    </sheetView>
  </sheetViews>
  <sheetFormatPr defaultRowHeight="13.2" x14ac:dyDescent="0.25"/>
  <cols>
    <col min="1" max="1" width="20.33203125" customWidth="1"/>
    <col min="2" max="2" width="12.77734375" customWidth="1"/>
  </cols>
  <sheetData>
    <row r="1" spans="1:2" x14ac:dyDescent="0.25">
      <c r="A1" s="255" t="s">
        <v>249</v>
      </c>
    </row>
    <row r="3" spans="1:2" x14ac:dyDescent="0.25">
      <c r="A3" t="s">
        <v>67</v>
      </c>
      <c r="B3" t="s">
        <v>250</v>
      </c>
    </row>
    <row r="4" spans="1:2" x14ac:dyDescent="0.25">
      <c r="A4" t="s">
        <v>206</v>
      </c>
      <c r="B4">
        <v>0.89</v>
      </c>
    </row>
    <row r="5" spans="1:2" x14ac:dyDescent="0.25">
      <c r="A5" t="s">
        <v>251</v>
      </c>
      <c r="B5">
        <v>0.09</v>
      </c>
    </row>
    <row r="6" spans="1:2" x14ac:dyDescent="0.25">
      <c r="A6" t="s">
        <v>252</v>
      </c>
      <c r="B6">
        <v>0.02</v>
      </c>
    </row>
    <row r="7" spans="1:2" x14ac:dyDescent="0.25">
      <c r="A7" t="s">
        <v>253</v>
      </c>
      <c r="B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/>
  </sheetViews>
  <sheetFormatPr defaultRowHeight="13.2" x14ac:dyDescent="0.25"/>
  <cols>
    <col min="1" max="1" width="26.77734375" customWidth="1"/>
    <col min="2" max="2" width="12.33203125" customWidth="1"/>
  </cols>
  <sheetData>
    <row r="1" spans="1:3" x14ac:dyDescent="0.25">
      <c r="A1" s="41" t="s">
        <v>305</v>
      </c>
    </row>
    <row r="3" spans="1:3" ht="26.4" x14ac:dyDescent="0.25">
      <c r="A3" s="259" t="s">
        <v>260</v>
      </c>
      <c r="B3" s="259" t="s">
        <v>306</v>
      </c>
      <c r="C3" s="259" t="s">
        <v>307</v>
      </c>
    </row>
    <row r="4" spans="1:3" x14ac:dyDescent="0.25">
      <c r="A4" t="s">
        <v>247</v>
      </c>
      <c r="B4">
        <v>0.6</v>
      </c>
      <c r="C4">
        <v>2.2999999999999998</v>
      </c>
    </row>
    <row r="5" spans="1:3" x14ac:dyDescent="0.25">
      <c r="A5" t="s">
        <v>230</v>
      </c>
      <c r="B5">
        <v>1.9</v>
      </c>
      <c r="C5">
        <v>5.2</v>
      </c>
    </row>
    <row r="6" spans="1:3" x14ac:dyDescent="0.25">
      <c r="A6" t="s">
        <v>232</v>
      </c>
      <c r="B6">
        <v>1.5</v>
      </c>
      <c r="C6">
        <v>5.9</v>
      </c>
    </row>
    <row r="7" spans="1:3" x14ac:dyDescent="0.25">
      <c r="A7" t="s">
        <v>233</v>
      </c>
      <c r="B7">
        <v>0.22</v>
      </c>
      <c r="C7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6"/>
  <sheetViews>
    <sheetView workbookViewId="0">
      <selection activeCell="G14" sqref="G14"/>
    </sheetView>
  </sheetViews>
  <sheetFormatPr defaultRowHeight="13.2" x14ac:dyDescent="0.25"/>
  <cols>
    <col min="1" max="1" width="26.44140625" customWidth="1"/>
    <col min="9" max="9" width="13" customWidth="1"/>
  </cols>
  <sheetData>
    <row r="1" spans="1:9" x14ac:dyDescent="0.25">
      <c r="A1" s="255" t="s">
        <v>254</v>
      </c>
    </row>
    <row r="2" spans="1:9" x14ac:dyDescent="0.25">
      <c r="A2" s="255" t="s">
        <v>255</v>
      </c>
    </row>
    <row r="3" spans="1:9" x14ac:dyDescent="0.25">
      <c r="A3" s="255" t="s">
        <v>256</v>
      </c>
    </row>
    <row r="4" spans="1:9" x14ac:dyDescent="0.25">
      <c r="A4" s="255" t="s">
        <v>257</v>
      </c>
    </row>
    <row r="5" spans="1:9" x14ac:dyDescent="0.25">
      <c r="A5" s="255" t="s">
        <v>258</v>
      </c>
    </row>
    <row r="6" spans="1:9" x14ac:dyDescent="0.25">
      <c r="E6" s="280" t="s">
        <v>259</v>
      </c>
      <c r="F6" s="280"/>
      <c r="G6" s="280"/>
      <c r="H6" s="280"/>
      <c r="I6" s="280"/>
    </row>
    <row r="7" spans="1:9" s="254" customFormat="1" ht="37.5" customHeight="1" x14ac:dyDescent="0.25">
      <c r="A7" s="259" t="s">
        <v>260</v>
      </c>
      <c r="B7" s="259" t="s">
        <v>261</v>
      </c>
      <c r="C7" s="259" t="s">
        <v>262</v>
      </c>
      <c r="D7" s="259" t="s">
        <v>263</v>
      </c>
      <c r="E7" s="259" t="s">
        <v>90</v>
      </c>
      <c r="F7" s="259" t="s">
        <v>264</v>
      </c>
      <c r="G7" s="259" t="s">
        <v>265</v>
      </c>
      <c r="H7" s="259" t="s">
        <v>266</v>
      </c>
      <c r="I7" s="259" t="s">
        <v>267</v>
      </c>
    </row>
    <row r="8" spans="1:9" x14ac:dyDescent="0.25">
      <c r="A8" t="s">
        <v>228</v>
      </c>
      <c r="B8" s="178">
        <f>NCRP147_4.2!B29</f>
        <v>2.4524780000000002</v>
      </c>
      <c r="C8">
        <v>1000</v>
      </c>
      <c r="D8">
        <v>1</v>
      </c>
      <c r="E8">
        <v>5.2999999999999998E-4</v>
      </c>
      <c r="F8">
        <v>3.4000000000000002E-2</v>
      </c>
      <c r="G8">
        <f>SUM(E8:F8)</f>
        <v>3.4530000000000005E-2</v>
      </c>
      <c r="H8">
        <v>4.8000000000000001E-2</v>
      </c>
      <c r="I8">
        <f>E8+H8</f>
        <v>4.8530000000000004E-2</v>
      </c>
    </row>
    <row r="9" spans="1:9" x14ac:dyDescent="0.25">
      <c r="A9" t="s">
        <v>229</v>
      </c>
      <c r="B9" s="178">
        <f>NCRP147_4.2!C29</f>
        <v>0.60091000000000006</v>
      </c>
      <c r="C9">
        <v>1535</v>
      </c>
      <c r="D9">
        <v>1.83</v>
      </c>
      <c r="E9">
        <v>3.8999999999999999E-4</v>
      </c>
      <c r="F9">
        <v>4.8999999999999998E-3</v>
      </c>
      <c r="G9">
        <f t="shared" ref="G9:G16" si="0">SUM(E9:F9)</f>
        <v>5.2899999999999996E-3</v>
      </c>
      <c r="H9">
        <v>6.8999999999999999E-3</v>
      </c>
      <c r="I9">
        <f t="shared" ref="I9:I16" si="1">E9+H9</f>
        <v>7.2899999999999996E-3</v>
      </c>
    </row>
    <row r="10" spans="1:9" x14ac:dyDescent="0.25">
      <c r="A10" t="s">
        <v>230</v>
      </c>
      <c r="B10" s="178">
        <f>NCRP147_4.2!D29</f>
        <v>1.8507709999999995</v>
      </c>
      <c r="C10">
        <v>1000</v>
      </c>
      <c r="D10">
        <v>1</v>
      </c>
      <c r="E10">
        <v>1.3999999999999999E-4</v>
      </c>
      <c r="F10">
        <v>2.3E-2</v>
      </c>
      <c r="G10">
        <f t="shared" si="0"/>
        <v>2.3140000000000001E-2</v>
      </c>
      <c r="H10">
        <v>3.3000000000000002E-2</v>
      </c>
      <c r="I10">
        <f t="shared" si="1"/>
        <v>3.3140000000000003E-2</v>
      </c>
    </row>
    <row r="11" spans="1:9" x14ac:dyDescent="0.25">
      <c r="A11" t="s">
        <v>231</v>
      </c>
      <c r="B11" s="178">
        <f>NCRP147_4.2!E29</f>
        <v>12.8934</v>
      </c>
      <c r="C11">
        <v>730</v>
      </c>
      <c r="D11">
        <v>0.8</v>
      </c>
      <c r="E11">
        <v>1.2E-2</v>
      </c>
      <c r="F11">
        <v>0.31</v>
      </c>
      <c r="G11">
        <f t="shared" si="0"/>
        <v>0.32200000000000001</v>
      </c>
      <c r="H11">
        <v>0.44</v>
      </c>
      <c r="I11">
        <f t="shared" si="1"/>
        <v>0.45200000000000001</v>
      </c>
    </row>
    <row r="12" spans="1:9" x14ac:dyDescent="0.25">
      <c r="A12" t="s">
        <v>232</v>
      </c>
      <c r="B12" s="178">
        <f>NCRP147_4.2!F29</f>
        <v>1.5099989999999996</v>
      </c>
      <c r="C12">
        <v>1000</v>
      </c>
      <c r="D12">
        <v>1</v>
      </c>
      <c r="E12">
        <v>9.3999999999999997E-4</v>
      </c>
      <c r="F12">
        <v>2.8000000000000001E-2</v>
      </c>
      <c r="G12">
        <f t="shared" si="0"/>
        <v>2.894E-2</v>
      </c>
      <c r="H12">
        <v>3.9E-2</v>
      </c>
      <c r="I12">
        <f t="shared" si="1"/>
        <v>3.9940000000000003E-2</v>
      </c>
    </row>
    <row r="13" spans="1:9" x14ac:dyDescent="0.25">
      <c r="A13" t="s">
        <v>233</v>
      </c>
      <c r="B13" s="178">
        <f>NCRP147_4.2!G29</f>
        <v>0.21584300000000001</v>
      </c>
      <c r="C13">
        <v>1535</v>
      </c>
      <c r="D13">
        <v>2</v>
      </c>
      <c r="E13">
        <v>3.8000000000000002E-4</v>
      </c>
      <c r="F13">
        <v>2.3E-3</v>
      </c>
      <c r="G13">
        <f t="shared" si="0"/>
        <v>2.6800000000000001E-3</v>
      </c>
      <c r="H13">
        <v>3.2000000000000002E-3</v>
      </c>
      <c r="I13">
        <f t="shared" si="1"/>
        <v>3.5800000000000003E-3</v>
      </c>
    </row>
    <row r="14" spans="1:9" x14ac:dyDescent="0.25">
      <c r="A14" t="s">
        <v>234</v>
      </c>
      <c r="B14" s="178">
        <f>NCRP147_4.2!H29</f>
        <v>6.6950000000000003</v>
      </c>
      <c r="C14">
        <v>720</v>
      </c>
      <c r="D14">
        <v>0.57999999999999996</v>
      </c>
      <c r="E14">
        <v>1.1E-5</v>
      </c>
      <c r="F14">
        <v>1.0999999999999999E-2</v>
      </c>
      <c r="G14">
        <f t="shared" si="0"/>
        <v>1.1011E-2</v>
      </c>
      <c r="H14">
        <v>4.9000000000000002E-2</v>
      </c>
      <c r="I14">
        <f t="shared" si="1"/>
        <v>4.9010999999999999E-2</v>
      </c>
    </row>
    <row r="15" spans="1:9" x14ac:dyDescent="0.25">
      <c r="A15" t="s">
        <v>235</v>
      </c>
      <c r="B15" s="178">
        <f>NCRP147_4.2!I29</f>
        <v>159.56100000000001</v>
      </c>
      <c r="C15">
        <v>730</v>
      </c>
      <c r="D15">
        <v>0.9</v>
      </c>
      <c r="E15">
        <v>8.7999999999999995E-2</v>
      </c>
      <c r="F15">
        <v>2.6</v>
      </c>
      <c r="G15">
        <f t="shared" si="0"/>
        <v>2.6880000000000002</v>
      </c>
      <c r="H15">
        <v>3.7</v>
      </c>
      <c r="I15">
        <f t="shared" si="1"/>
        <v>3.7880000000000003</v>
      </c>
    </row>
    <row r="16" spans="1:9" x14ac:dyDescent="0.25">
      <c r="A16" t="s">
        <v>236</v>
      </c>
      <c r="B16" s="178">
        <f>NCRP147_4.2!J29</f>
        <v>64.174399999999991</v>
      </c>
      <c r="C16">
        <v>730</v>
      </c>
      <c r="D16">
        <v>0.9</v>
      </c>
      <c r="E16">
        <v>3.3999999999999998E-3</v>
      </c>
      <c r="F16">
        <v>0.66</v>
      </c>
      <c r="G16">
        <f t="shared" si="0"/>
        <v>0.66339999999999999</v>
      </c>
      <c r="H16">
        <v>0.95</v>
      </c>
      <c r="I16">
        <f t="shared" si="1"/>
        <v>0.95339999999999991</v>
      </c>
    </row>
  </sheetData>
  <mergeCells count="1">
    <mergeCell ref="E6:I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9"/>
  <sheetViews>
    <sheetView workbookViewId="0">
      <selection activeCell="E10" sqref="E10"/>
    </sheetView>
  </sheetViews>
  <sheetFormatPr defaultRowHeight="13.2" x14ac:dyDescent="0.25"/>
  <cols>
    <col min="1" max="1" width="12.44140625" customWidth="1"/>
  </cols>
  <sheetData>
    <row r="1" spans="1:4" x14ac:dyDescent="0.25">
      <c r="A1" s="255" t="s">
        <v>268</v>
      </c>
    </row>
    <row r="2" spans="1:4" x14ac:dyDescent="0.25">
      <c r="A2" s="255" t="s">
        <v>269</v>
      </c>
    </row>
    <row r="4" spans="1:4" x14ac:dyDescent="0.25">
      <c r="A4" t="s">
        <v>270</v>
      </c>
      <c r="B4" t="s">
        <v>271</v>
      </c>
      <c r="C4" t="s">
        <v>272</v>
      </c>
      <c r="D4" t="s">
        <v>273</v>
      </c>
    </row>
    <row r="5" spans="1:4" x14ac:dyDescent="0.25">
      <c r="A5" t="s">
        <v>274</v>
      </c>
      <c r="B5">
        <v>60</v>
      </c>
      <c r="C5">
        <v>20</v>
      </c>
      <c r="D5">
        <v>1200</v>
      </c>
    </row>
    <row r="6" spans="1:4" x14ac:dyDescent="0.25">
      <c r="A6" t="s">
        <v>275</v>
      </c>
      <c r="B6">
        <v>15</v>
      </c>
      <c r="C6">
        <v>35</v>
      </c>
      <c r="D6">
        <v>525</v>
      </c>
    </row>
    <row r="7" spans="1:4" x14ac:dyDescent="0.25">
      <c r="A7" t="s">
        <v>276</v>
      </c>
      <c r="B7">
        <v>25</v>
      </c>
      <c r="C7">
        <v>25</v>
      </c>
      <c r="D7">
        <v>625</v>
      </c>
    </row>
    <row r="8" spans="1:4" x14ac:dyDescent="0.25">
      <c r="A8" t="s">
        <v>277</v>
      </c>
      <c r="B8">
        <v>25</v>
      </c>
      <c r="C8">
        <v>20</v>
      </c>
      <c r="D8">
        <v>500</v>
      </c>
    </row>
    <row r="9" spans="1:4" x14ac:dyDescent="0.25">
      <c r="A9" t="s">
        <v>278</v>
      </c>
      <c r="D9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61"/>
  <sheetViews>
    <sheetView workbookViewId="0">
      <selection activeCell="B29" sqref="B29"/>
    </sheetView>
  </sheetViews>
  <sheetFormatPr defaultRowHeight="13.2" x14ac:dyDescent="0.25"/>
  <sheetData>
    <row r="1" spans="1:31" x14ac:dyDescent="0.25">
      <c r="A1" s="255" t="s">
        <v>279</v>
      </c>
    </row>
    <row r="4" spans="1:31" x14ac:dyDescent="0.25">
      <c r="B4" s="280" t="s">
        <v>94</v>
      </c>
      <c r="C4" s="280"/>
      <c r="D4" s="280"/>
      <c r="E4" s="280"/>
      <c r="F4" s="280"/>
      <c r="G4" s="280" t="s">
        <v>95</v>
      </c>
      <c r="H4" s="280"/>
      <c r="I4" s="280"/>
      <c r="J4" s="280"/>
      <c r="K4" s="280"/>
      <c r="L4" s="280" t="s">
        <v>52</v>
      </c>
      <c r="M4" s="280"/>
      <c r="N4" s="280"/>
      <c r="O4" s="280"/>
      <c r="P4" s="280"/>
      <c r="Q4" s="280" t="s">
        <v>54</v>
      </c>
      <c r="R4" s="280"/>
      <c r="S4" s="280"/>
      <c r="T4" s="280"/>
      <c r="U4" s="280"/>
      <c r="V4" s="280" t="s">
        <v>96</v>
      </c>
      <c r="W4" s="280"/>
      <c r="X4" s="280"/>
      <c r="Y4" s="280"/>
      <c r="Z4" s="280"/>
      <c r="AA4" s="280" t="s">
        <v>58</v>
      </c>
      <c r="AB4" s="280"/>
      <c r="AC4" s="280"/>
      <c r="AD4" s="280"/>
      <c r="AE4" s="280"/>
    </row>
    <row r="5" spans="1:31" x14ac:dyDescent="0.25">
      <c r="A5" t="s">
        <v>37</v>
      </c>
      <c r="B5" s="258" t="s">
        <v>40</v>
      </c>
      <c r="C5" s="258" t="s">
        <v>41</v>
      </c>
      <c r="D5" s="258" t="s">
        <v>42</v>
      </c>
      <c r="E5" t="s">
        <v>44</v>
      </c>
      <c r="F5" t="s">
        <v>45</v>
      </c>
      <c r="G5" s="258" t="s">
        <v>40</v>
      </c>
      <c r="H5" s="258" t="s">
        <v>41</v>
      </c>
      <c r="I5" s="258" t="s">
        <v>42</v>
      </c>
      <c r="J5" t="s">
        <v>44</v>
      </c>
      <c r="K5" t="s">
        <v>45</v>
      </c>
      <c r="L5" s="258" t="s">
        <v>40</v>
      </c>
      <c r="M5" s="258" t="s">
        <v>41</v>
      </c>
      <c r="N5" s="258" t="s">
        <v>42</v>
      </c>
      <c r="O5" t="s">
        <v>44</v>
      </c>
      <c r="P5" t="s">
        <v>45</v>
      </c>
      <c r="Q5" s="258" t="s">
        <v>40</v>
      </c>
      <c r="R5" s="258" t="s">
        <v>41</v>
      </c>
      <c r="S5" s="258" t="s">
        <v>42</v>
      </c>
      <c r="T5" t="s">
        <v>44</v>
      </c>
      <c r="U5" t="s">
        <v>45</v>
      </c>
      <c r="V5" s="258" t="s">
        <v>40</v>
      </c>
      <c r="W5" s="258" t="s">
        <v>41</v>
      </c>
      <c r="X5" s="258" t="s">
        <v>42</v>
      </c>
      <c r="Y5" t="s">
        <v>44</v>
      </c>
      <c r="Z5" t="s">
        <v>45</v>
      </c>
      <c r="AA5" s="258" t="s">
        <v>40</v>
      </c>
      <c r="AB5" s="258" t="s">
        <v>41</v>
      </c>
      <c r="AC5" s="258" t="s">
        <v>42</v>
      </c>
      <c r="AD5" t="s">
        <v>44</v>
      </c>
      <c r="AE5" t="s">
        <v>45</v>
      </c>
    </row>
    <row r="6" spans="1:31" x14ac:dyDescent="0.25">
      <c r="A6">
        <v>25</v>
      </c>
      <c r="B6">
        <v>49.52</v>
      </c>
      <c r="C6">
        <v>194</v>
      </c>
      <c r="D6">
        <v>0.30370000000000003</v>
      </c>
      <c r="E6">
        <v>1.3997317862680599E-2</v>
      </c>
      <c r="F6">
        <v>4.6498083461107502E-2</v>
      </c>
      <c r="G6">
        <v>0.39040000000000002</v>
      </c>
      <c r="H6">
        <v>1.645</v>
      </c>
      <c r="I6">
        <v>0.2757</v>
      </c>
      <c r="J6">
        <v>1.7754794584014999</v>
      </c>
      <c r="K6">
        <v>5.8980150947593399</v>
      </c>
      <c r="L6">
        <v>0.15759999999999999</v>
      </c>
      <c r="M6">
        <v>0.71750000000000003</v>
      </c>
      <c r="N6">
        <v>0.30480000000000002</v>
      </c>
      <c r="O6">
        <v>4.3981420086290903</v>
      </c>
      <c r="P6">
        <v>14.610311503769299</v>
      </c>
      <c r="Q6">
        <v>9.3640000000000008</v>
      </c>
      <c r="R6">
        <v>41.25</v>
      </c>
      <c r="S6">
        <v>0.32019999999999998</v>
      </c>
      <c r="T6">
        <v>7.4022552387862595E-2</v>
      </c>
      <c r="U6">
        <v>0.24589759643251199</v>
      </c>
      <c r="V6">
        <v>0.38040000000000002</v>
      </c>
      <c r="W6">
        <v>1.5429999999999999</v>
      </c>
      <c r="X6">
        <v>0.28689999999999999</v>
      </c>
      <c r="Y6">
        <v>1.8221534715035399</v>
      </c>
      <c r="Z6">
        <v>6.0530628101841399</v>
      </c>
      <c r="AA6">
        <v>2.23E-2</v>
      </c>
      <c r="AB6">
        <v>4.3400000000000001E-2</v>
      </c>
      <c r="AC6">
        <v>0.19370000000000001</v>
      </c>
      <c r="AD6">
        <v>31.0828332089662</v>
      </c>
      <c r="AE6">
        <v>103.254936905563</v>
      </c>
    </row>
    <row r="7" spans="1:31" x14ac:dyDescent="0.25">
      <c r="A7">
        <v>30</v>
      </c>
      <c r="B7">
        <v>38.799999999999997</v>
      </c>
      <c r="C7">
        <v>178</v>
      </c>
      <c r="D7">
        <v>0.3473</v>
      </c>
      <c r="E7">
        <v>1.7864618055668701E-2</v>
      </c>
      <c r="F7">
        <v>5.93449766235579E-2</v>
      </c>
      <c r="G7">
        <v>0.31730000000000003</v>
      </c>
      <c r="H7">
        <v>1.698</v>
      </c>
      <c r="I7">
        <v>0.35930000000000001</v>
      </c>
      <c r="J7">
        <v>2.1845167997477</v>
      </c>
      <c r="K7">
        <v>7.2568077308353196</v>
      </c>
      <c r="L7">
        <v>0.1208</v>
      </c>
      <c r="M7">
        <v>0.70430000000000004</v>
      </c>
      <c r="N7">
        <v>0.36130000000000001</v>
      </c>
      <c r="O7">
        <v>5.73797334900617</v>
      </c>
      <c r="P7">
        <v>19.0611348757785</v>
      </c>
      <c r="Q7">
        <v>7.4059999999999997</v>
      </c>
      <c r="R7">
        <v>41.93</v>
      </c>
      <c r="S7">
        <v>0.39589999999999997</v>
      </c>
      <c r="T7">
        <v>9.35926519794687E-2</v>
      </c>
      <c r="U7">
        <v>0.310908060085612</v>
      </c>
      <c r="V7">
        <v>0.30609999999999998</v>
      </c>
      <c r="W7">
        <v>1.599</v>
      </c>
      <c r="X7">
        <v>0.36930000000000002</v>
      </c>
      <c r="Y7">
        <v>2.26444684926477</v>
      </c>
      <c r="Z7">
        <v>7.5223296079518001</v>
      </c>
      <c r="AA7">
        <v>2.1659999999999999E-2</v>
      </c>
      <c r="AB7">
        <v>3.9660000000000001E-2</v>
      </c>
      <c r="AC7">
        <v>0.2843</v>
      </c>
      <c r="AD7">
        <v>32.001254873496997</v>
      </c>
      <c r="AE7">
        <v>106.305867635921</v>
      </c>
    </row>
    <row r="8" spans="1:31" x14ac:dyDescent="0.25">
      <c r="A8">
        <v>35</v>
      </c>
      <c r="B8">
        <v>29.55</v>
      </c>
      <c r="C8">
        <v>164.7</v>
      </c>
      <c r="D8">
        <v>0.39479999999999998</v>
      </c>
      <c r="E8">
        <v>2.3456757379355202E-2</v>
      </c>
      <c r="F8">
        <v>7.7921661353436394E-2</v>
      </c>
      <c r="G8">
        <v>0.25280000000000002</v>
      </c>
      <c r="H8">
        <v>1.8069999999999999</v>
      </c>
      <c r="I8">
        <v>0.46479999999999999</v>
      </c>
      <c r="J8">
        <v>2.7418796699364898</v>
      </c>
      <c r="K8">
        <v>9.1083271083625199</v>
      </c>
      <c r="L8">
        <v>8.8779999999999998E-2</v>
      </c>
      <c r="M8">
        <v>0.69879999999999998</v>
      </c>
      <c r="N8">
        <v>0.42449999999999999</v>
      </c>
      <c r="O8">
        <v>7.8074699319660397</v>
      </c>
      <c r="P8">
        <v>25.935853716986301</v>
      </c>
      <c r="Q8">
        <v>5.7160000000000002</v>
      </c>
      <c r="R8">
        <v>43.41</v>
      </c>
      <c r="S8">
        <v>0.48570000000000002</v>
      </c>
      <c r="T8">
        <v>0.12126437728480501</v>
      </c>
      <c r="U8">
        <v>0.40283154181141501</v>
      </c>
      <c r="V8">
        <v>0.23960000000000001</v>
      </c>
      <c r="W8">
        <v>1.694</v>
      </c>
      <c r="X8">
        <v>0.46829999999999999</v>
      </c>
      <c r="Y8">
        <v>2.89293481035036</v>
      </c>
      <c r="Z8">
        <v>9.6101214231804892</v>
      </c>
      <c r="AA8">
        <v>1.9009999999999999E-2</v>
      </c>
      <c r="AB8">
        <v>3.8730000000000001E-2</v>
      </c>
      <c r="AC8">
        <v>0.37319999999999998</v>
      </c>
      <c r="AD8">
        <v>36.462239903205997</v>
      </c>
      <c r="AE8">
        <v>121.124939136983</v>
      </c>
    </row>
    <row r="9" spans="1:31" x14ac:dyDescent="0.25">
      <c r="A9">
        <v>40</v>
      </c>
      <c r="E9" t="s">
        <v>280</v>
      </c>
      <c r="F9" t="s">
        <v>280</v>
      </c>
      <c r="G9">
        <v>0.12970000000000001</v>
      </c>
      <c r="H9">
        <v>0.17799999999999999</v>
      </c>
      <c r="I9">
        <v>0.21890000000000001</v>
      </c>
      <c r="J9">
        <v>5.3442342371622598</v>
      </c>
      <c r="K9">
        <v>17.753161858088198</v>
      </c>
      <c r="O9" t="s">
        <v>280</v>
      </c>
      <c r="P9" t="s">
        <v>280</v>
      </c>
      <c r="T9" t="s">
        <v>280</v>
      </c>
      <c r="U9" t="s">
        <v>280</v>
      </c>
      <c r="Y9" t="s">
        <v>280</v>
      </c>
      <c r="Z9" t="s">
        <v>280</v>
      </c>
      <c r="AD9" t="s">
        <v>280</v>
      </c>
      <c r="AE9" t="s">
        <v>280</v>
      </c>
    </row>
    <row r="10" spans="1:31" x14ac:dyDescent="0.25">
      <c r="A10">
        <v>45</v>
      </c>
      <c r="E10" t="s">
        <v>280</v>
      </c>
      <c r="F10" t="s">
        <v>280</v>
      </c>
      <c r="G10">
        <v>0.1095</v>
      </c>
      <c r="H10">
        <v>0.1741</v>
      </c>
      <c r="I10">
        <v>0.22689999999999999</v>
      </c>
      <c r="J10">
        <v>6.3301112379903701</v>
      </c>
      <c r="K10">
        <v>21.0281743652424</v>
      </c>
      <c r="O10" t="s">
        <v>280</v>
      </c>
      <c r="P10" t="s">
        <v>280</v>
      </c>
      <c r="T10" t="s">
        <v>280</v>
      </c>
      <c r="U10" t="s">
        <v>280</v>
      </c>
      <c r="Y10" t="s">
        <v>280</v>
      </c>
      <c r="Z10" t="s">
        <v>280</v>
      </c>
      <c r="AD10" t="s">
        <v>280</v>
      </c>
      <c r="AE10" t="s">
        <v>280</v>
      </c>
    </row>
    <row r="11" spans="1:31" x14ac:dyDescent="0.25">
      <c r="A11">
        <v>50</v>
      </c>
      <c r="B11">
        <v>8.8010000000000002</v>
      </c>
      <c r="C11">
        <v>27.28</v>
      </c>
      <c r="D11">
        <v>0.29570000000000002</v>
      </c>
      <c r="E11">
        <v>7.8757775316435102E-2</v>
      </c>
      <c r="F11">
        <v>0.26162766651449199</v>
      </c>
      <c r="G11">
        <v>9.3200000000000005E-2</v>
      </c>
      <c r="H11">
        <v>0.17119999999999999</v>
      </c>
      <c r="I11">
        <v>0.2324</v>
      </c>
      <c r="J11">
        <v>7.4372015081539198</v>
      </c>
      <c r="K11">
        <v>24.705848637275199</v>
      </c>
      <c r="L11">
        <v>3.8830000000000003E-2</v>
      </c>
      <c r="M11">
        <v>8.7300000000000003E-2</v>
      </c>
      <c r="N11">
        <v>0.51049999999999995</v>
      </c>
      <c r="O11">
        <v>17.8508158784431</v>
      </c>
      <c r="P11">
        <v>59.299126783261499</v>
      </c>
      <c r="Q11">
        <v>1.8169999999999999</v>
      </c>
      <c r="R11">
        <v>4.84</v>
      </c>
      <c r="S11">
        <v>0.40210000000000001</v>
      </c>
      <c r="T11">
        <v>0.38147891059986</v>
      </c>
      <c r="U11">
        <v>1.2672455107287</v>
      </c>
      <c r="V11">
        <v>9.7210000000000005E-2</v>
      </c>
      <c r="W11">
        <v>0.1799</v>
      </c>
      <c r="X11">
        <v>0.49120000000000003</v>
      </c>
      <c r="Y11">
        <v>7.1304102516196401</v>
      </c>
      <c r="Z11">
        <v>23.686710142928199</v>
      </c>
      <c r="AA11">
        <v>1.076E-2</v>
      </c>
      <c r="AB11">
        <v>1.8619999999999999E-3</v>
      </c>
      <c r="AC11">
        <v>1.17</v>
      </c>
      <c r="AD11">
        <v>64.418882951667797</v>
      </c>
      <c r="AE11">
        <v>213.99489711840599</v>
      </c>
    </row>
    <row r="12" spans="1:31" x14ac:dyDescent="0.25">
      <c r="A12">
        <v>55</v>
      </c>
      <c r="B12">
        <v>7.8390000000000004</v>
      </c>
      <c r="C12">
        <v>25.92</v>
      </c>
      <c r="D12">
        <v>0.34989999999999999</v>
      </c>
      <c r="E12">
        <v>8.8422908605682499E-2</v>
      </c>
      <c r="F12">
        <v>0.29373454432887403</v>
      </c>
      <c r="G12">
        <v>7.4219999999999994E-2</v>
      </c>
      <c r="H12">
        <v>0.16969999999999999</v>
      </c>
      <c r="I12">
        <v>0.24540000000000001</v>
      </c>
      <c r="J12">
        <v>9.3390889323625093</v>
      </c>
      <c r="K12">
        <v>31.023781905066599</v>
      </c>
      <c r="L12">
        <v>3.4189999999999998E-2</v>
      </c>
      <c r="M12">
        <v>8.3150000000000002E-2</v>
      </c>
      <c r="N12">
        <v>0.56059999999999999</v>
      </c>
      <c r="O12">
        <v>20.273389311492998</v>
      </c>
      <c r="P12">
        <v>67.346741532437704</v>
      </c>
      <c r="Q12">
        <v>1.4930000000000001</v>
      </c>
      <c r="R12">
        <v>4.5149999999999997</v>
      </c>
      <c r="S12">
        <v>0.42930000000000001</v>
      </c>
      <c r="T12">
        <v>0.464264688921598</v>
      </c>
      <c r="U12">
        <v>1.5422539135928</v>
      </c>
      <c r="V12">
        <v>8.5519999999999999E-2</v>
      </c>
      <c r="W12">
        <v>0.1661</v>
      </c>
      <c r="X12">
        <v>0.51119999999999999</v>
      </c>
      <c r="Y12">
        <v>8.1050886407851408</v>
      </c>
      <c r="Z12">
        <v>26.924521667376599</v>
      </c>
      <c r="AA12">
        <v>1.0120000000000001E-2</v>
      </c>
      <c r="AB12">
        <v>1.4040000000000001E-3</v>
      </c>
      <c r="AC12">
        <v>1.2689999999999999</v>
      </c>
      <c r="AD12">
        <v>68.492804403156597</v>
      </c>
      <c r="AE12">
        <v>227.528171244471</v>
      </c>
    </row>
    <row r="13" spans="1:31" x14ac:dyDescent="0.25">
      <c r="A13">
        <v>60</v>
      </c>
      <c r="B13">
        <v>6.9509999999999996</v>
      </c>
      <c r="C13">
        <v>24.89</v>
      </c>
      <c r="D13">
        <v>0.41980000000000001</v>
      </c>
      <c r="E13">
        <v>9.9719059208739094E-2</v>
      </c>
      <c r="F13">
        <v>0.331259544381247</v>
      </c>
      <c r="G13">
        <v>6.2509999999999996E-2</v>
      </c>
      <c r="H13">
        <v>0.16919999999999999</v>
      </c>
      <c r="I13">
        <v>0.27329999999999999</v>
      </c>
      <c r="J13">
        <v>11.0885807160446</v>
      </c>
      <c r="K13">
        <v>36.835467813054599</v>
      </c>
      <c r="L13">
        <v>2.9850000000000002E-2</v>
      </c>
      <c r="M13">
        <v>7.961E-2</v>
      </c>
      <c r="N13">
        <v>0.6169</v>
      </c>
      <c r="O13">
        <v>23.221011074035001</v>
      </c>
      <c r="P13">
        <v>77.138529078527498</v>
      </c>
      <c r="Q13">
        <v>1.1830000000000001</v>
      </c>
      <c r="R13">
        <v>4.2190000000000003</v>
      </c>
      <c r="S13">
        <v>0.45710000000000001</v>
      </c>
      <c r="T13">
        <v>0.58592322955193998</v>
      </c>
      <c r="U13">
        <v>1.9463948376957301</v>
      </c>
      <c r="V13">
        <v>7.4520000000000003E-2</v>
      </c>
      <c r="W13">
        <v>0.15390000000000001</v>
      </c>
      <c r="X13">
        <v>0.53039999999999998</v>
      </c>
      <c r="Y13">
        <v>9.3014919559842397</v>
      </c>
      <c r="Z13">
        <v>30.898887452952799</v>
      </c>
      <c r="AA13">
        <v>9.5119999999999996E-3</v>
      </c>
      <c r="AB13">
        <v>9.6719999999999998E-4</v>
      </c>
      <c r="AC13">
        <v>1.333</v>
      </c>
      <c r="AD13">
        <v>72.870813767866395</v>
      </c>
      <c r="AE13">
        <v>242.07160355278</v>
      </c>
    </row>
    <row r="14" spans="1:31" x14ac:dyDescent="0.25">
      <c r="A14">
        <v>65</v>
      </c>
      <c r="B14">
        <v>6.13</v>
      </c>
      <c r="C14">
        <v>24.09</v>
      </c>
      <c r="D14">
        <v>0.50190000000000001</v>
      </c>
      <c r="E14">
        <v>0.11307458084175299</v>
      </c>
      <c r="F14">
        <v>0.37562562691583101</v>
      </c>
      <c r="G14">
        <v>5.5280000000000003E-2</v>
      </c>
      <c r="H14">
        <v>0.1696</v>
      </c>
      <c r="I14">
        <v>0.32169999999999999</v>
      </c>
      <c r="J14">
        <v>12.538841905932401</v>
      </c>
      <c r="K14">
        <v>41.653131204668</v>
      </c>
      <c r="L14">
        <v>2.6089999999999999E-2</v>
      </c>
      <c r="M14">
        <v>7.5969999999999996E-2</v>
      </c>
      <c r="N14">
        <v>0.67559999999999998</v>
      </c>
      <c r="O14">
        <v>26.567542374854199</v>
      </c>
      <c r="P14">
        <v>88.255465427138603</v>
      </c>
      <c r="Q14">
        <v>0.91720000000000002</v>
      </c>
      <c r="R14">
        <v>3.9820000000000002</v>
      </c>
      <c r="S14">
        <v>0.49220000000000003</v>
      </c>
      <c r="T14">
        <v>0.75572086846919495</v>
      </c>
      <c r="U14">
        <v>2.5104503848604902</v>
      </c>
      <c r="V14">
        <v>6.5140000000000003E-2</v>
      </c>
      <c r="W14">
        <v>0.14430000000000001</v>
      </c>
      <c r="X14">
        <v>0.55820000000000003</v>
      </c>
      <c r="Y14">
        <v>10.640883950874199</v>
      </c>
      <c r="Z14">
        <v>35.348251350844997</v>
      </c>
      <c r="AA14">
        <v>8.9899999999999997E-3</v>
      </c>
      <c r="AB14">
        <v>6.4700000000000001E-4</v>
      </c>
      <c r="AC14">
        <v>1.353</v>
      </c>
      <c r="AD14">
        <v>77.102022309226399</v>
      </c>
      <c r="AE14">
        <v>256.127374081651</v>
      </c>
    </row>
    <row r="15" spans="1:31" x14ac:dyDescent="0.25">
      <c r="A15">
        <v>70</v>
      </c>
      <c r="B15">
        <v>5.3689999999999998</v>
      </c>
      <c r="C15">
        <v>23.49</v>
      </c>
      <c r="D15">
        <v>0.58809999999999996</v>
      </c>
      <c r="E15">
        <v>0.12910172854534299</v>
      </c>
      <c r="F15">
        <v>0.42886665915329603</v>
      </c>
      <c r="G15">
        <v>5.0869999999999999E-2</v>
      </c>
      <c r="H15">
        <v>0.1696</v>
      </c>
      <c r="I15">
        <v>0.38469999999999999</v>
      </c>
      <c r="J15">
        <v>13.625853755847199</v>
      </c>
      <c r="K15">
        <v>45.264106408375198</v>
      </c>
      <c r="L15">
        <v>2.3019999999999999E-2</v>
      </c>
      <c r="M15">
        <v>7.1629999999999999E-2</v>
      </c>
      <c r="N15">
        <v>0.72989999999999999</v>
      </c>
      <c r="O15">
        <v>30.1106507628126</v>
      </c>
      <c r="P15">
        <v>100.02541672432901</v>
      </c>
      <c r="Q15">
        <v>0.71489999999999998</v>
      </c>
      <c r="R15">
        <v>3.798</v>
      </c>
      <c r="S15">
        <v>0.53779999999999994</v>
      </c>
      <c r="T15">
        <v>0.96957222067414395</v>
      </c>
      <c r="U15">
        <v>3.2208491998797699</v>
      </c>
      <c r="V15">
        <v>5.7910000000000003E-2</v>
      </c>
      <c r="W15">
        <v>0.13569999999999999</v>
      </c>
      <c r="X15">
        <v>0.59670000000000001</v>
      </c>
      <c r="Y15">
        <v>11.969386644102</v>
      </c>
      <c r="Z15">
        <v>39.761441771611899</v>
      </c>
      <c r="AA15">
        <v>8.5500000000000003E-3</v>
      </c>
      <c r="AB15">
        <v>5.3899999999999998E-4</v>
      </c>
      <c r="AC15">
        <v>1.194</v>
      </c>
      <c r="AD15">
        <v>81.069845679525798</v>
      </c>
      <c r="AE15">
        <v>269.30819801099898</v>
      </c>
    </row>
    <row r="16" spans="1:31" x14ac:dyDescent="0.25">
      <c r="A16">
        <v>75</v>
      </c>
      <c r="B16">
        <v>4.6660000000000004</v>
      </c>
      <c r="C16">
        <v>22.69</v>
      </c>
      <c r="D16">
        <v>0.66180000000000005</v>
      </c>
      <c r="E16">
        <v>0.14855276051434699</v>
      </c>
      <c r="F16">
        <v>0.49348158872568498</v>
      </c>
      <c r="G16">
        <v>4.7969999999999999E-2</v>
      </c>
      <c r="H16">
        <v>0.1663</v>
      </c>
      <c r="I16">
        <v>0.44919999999999999</v>
      </c>
      <c r="J16">
        <v>14.449597259953</v>
      </c>
      <c r="K16">
        <v>48.000523097645299</v>
      </c>
      <c r="L16">
        <v>2.0660000000000001E-2</v>
      </c>
      <c r="M16">
        <v>6.6489999999999994E-2</v>
      </c>
      <c r="N16">
        <v>0.77500000000000002</v>
      </c>
      <c r="O16">
        <v>33.550202350432997</v>
      </c>
      <c r="P16">
        <v>111.451359777059</v>
      </c>
      <c r="Q16">
        <v>0.57930000000000004</v>
      </c>
      <c r="R16">
        <v>3.629</v>
      </c>
      <c r="S16">
        <v>0.59079999999999999</v>
      </c>
      <c r="T16">
        <v>1.19652542820636</v>
      </c>
      <c r="U16">
        <v>3.9747714362058399</v>
      </c>
      <c r="V16">
        <v>5.2909999999999999E-2</v>
      </c>
      <c r="W16">
        <v>0.128</v>
      </c>
      <c r="X16">
        <v>0.64780000000000004</v>
      </c>
      <c r="Y16">
        <v>13.1004948130778</v>
      </c>
      <c r="Z16">
        <v>43.518901776489201</v>
      </c>
      <c r="AA16">
        <v>5.2030000000000002E-3</v>
      </c>
      <c r="AB16">
        <v>6.4210000000000005E-4</v>
      </c>
      <c r="AC16">
        <v>1.0620000000000001</v>
      </c>
      <c r="AD16">
        <v>133.220676640389</v>
      </c>
      <c r="AE16">
        <v>442.549508551614</v>
      </c>
    </row>
    <row r="17" spans="1:31" x14ac:dyDescent="0.25">
      <c r="A17">
        <v>80</v>
      </c>
      <c r="B17">
        <v>4.04</v>
      </c>
      <c r="C17">
        <v>21.69</v>
      </c>
      <c r="D17">
        <v>0.71870000000000001</v>
      </c>
      <c r="E17">
        <v>0.17157108429701601</v>
      </c>
      <c r="F17">
        <v>0.56994680519654595</v>
      </c>
      <c r="G17">
        <v>4.5830000000000003E-2</v>
      </c>
      <c r="H17">
        <v>0.15490000000000001</v>
      </c>
      <c r="I17">
        <v>0.49259999999999998</v>
      </c>
      <c r="J17">
        <v>15.1243111621197</v>
      </c>
      <c r="K17">
        <v>50.241874165263901</v>
      </c>
      <c r="L17">
        <v>1.8859999999999998E-2</v>
      </c>
      <c r="M17">
        <v>6.0929999999999998E-2</v>
      </c>
      <c r="N17">
        <v>0.81030000000000002</v>
      </c>
      <c r="O17">
        <v>36.752236509010899</v>
      </c>
      <c r="P17">
        <v>122.088287009228</v>
      </c>
      <c r="Q17">
        <v>0.49209999999999998</v>
      </c>
      <c r="R17">
        <v>3.4279999999999999</v>
      </c>
      <c r="S17">
        <v>0.64270000000000005</v>
      </c>
      <c r="T17">
        <v>1.40854944230836</v>
      </c>
      <c r="U17">
        <v>4.67909996544208</v>
      </c>
      <c r="V17">
        <v>4.9549999999999997E-2</v>
      </c>
      <c r="W17">
        <v>0.1208</v>
      </c>
      <c r="X17">
        <v>0.7097</v>
      </c>
      <c r="Y17">
        <v>13.9888431999989</v>
      </c>
      <c r="Z17">
        <v>46.469931241050404</v>
      </c>
      <c r="AA17">
        <v>7.9030000000000003E-3</v>
      </c>
      <c r="AB17">
        <v>8.6399999999999997E-4</v>
      </c>
      <c r="AC17">
        <v>0.97030000000000005</v>
      </c>
      <c r="AD17">
        <v>87.706843041875899</v>
      </c>
      <c r="AE17">
        <v>291.355826014684</v>
      </c>
    </row>
    <row r="18" spans="1:31" x14ac:dyDescent="0.25">
      <c r="A18">
        <v>85</v>
      </c>
      <c r="B18">
        <v>3.504</v>
      </c>
      <c r="C18">
        <v>20.37</v>
      </c>
      <c r="D18">
        <v>0.755</v>
      </c>
      <c r="E18">
        <v>0.19781597618719901</v>
      </c>
      <c r="F18">
        <v>0.65713044891382599</v>
      </c>
      <c r="G18">
        <v>4.3979999999999998E-2</v>
      </c>
      <c r="H18">
        <v>0.1348</v>
      </c>
      <c r="I18">
        <v>0.49430000000000002</v>
      </c>
      <c r="J18">
        <v>15.7605088803989</v>
      </c>
      <c r="K18">
        <v>52.355277239518998</v>
      </c>
      <c r="L18">
        <v>1.746E-2</v>
      </c>
      <c r="M18">
        <v>5.5579999999999997E-2</v>
      </c>
      <c r="N18">
        <v>0.83919999999999995</v>
      </c>
      <c r="O18">
        <v>39.699151234819297</v>
      </c>
      <c r="P18">
        <v>131.87772583012901</v>
      </c>
      <c r="Q18">
        <v>0.4355</v>
      </c>
      <c r="R18">
        <v>3.1779999999999999</v>
      </c>
      <c r="S18">
        <v>0.68610000000000004</v>
      </c>
      <c r="T18">
        <v>1.59161235490229</v>
      </c>
      <c r="U18">
        <v>5.2872217979197398</v>
      </c>
      <c r="V18">
        <v>4.7210000000000002E-2</v>
      </c>
      <c r="W18">
        <v>0.114</v>
      </c>
      <c r="X18">
        <v>0.77859999999999996</v>
      </c>
      <c r="Y18">
        <v>14.6822109841124</v>
      </c>
      <c r="Z18">
        <v>48.773249163186698</v>
      </c>
      <c r="AA18">
        <v>7.6860000000000001E-3</v>
      </c>
      <c r="AB18">
        <v>1.0560000000000001E-3</v>
      </c>
      <c r="AC18">
        <v>1.0149999999999999</v>
      </c>
      <c r="AD18">
        <v>90.183083601345999</v>
      </c>
      <c r="AE18">
        <v>299.58171909888699</v>
      </c>
    </row>
    <row r="19" spans="1:31" x14ac:dyDescent="0.25">
      <c r="A19">
        <v>90</v>
      </c>
      <c r="B19">
        <v>3.0670000000000002</v>
      </c>
      <c r="C19">
        <v>18.829999999999998</v>
      </c>
      <c r="D19">
        <v>0.77259999999999995</v>
      </c>
      <c r="E19">
        <v>0.226001689129425</v>
      </c>
      <c r="F19">
        <v>0.75076136061103504</v>
      </c>
      <c r="G19">
        <v>4.2279999999999998E-2</v>
      </c>
      <c r="H19">
        <v>0.1137</v>
      </c>
      <c r="I19">
        <v>0.46899999999999997</v>
      </c>
      <c r="J19">
        <v>16.394209568589101</v>
      </c>
      <c r="K19">
        <v>54.460385359367201</v>
      </c>
      <c r="L19">
        <v>1.6629999999999999E-2</v>
      </c>
      <c r="M19">
        <v>5.0389999999999997E-2</v>
      </c>
      <c r="N19">
        <v>0.85850000000000004</v>
      </c>
      <c r="O19">
        <v>41.680527995186097</v>
      </c>
      <c r="P19">
        <v>138.459716956948</v>
      </c>
      <c r="Q19">
        <v>0.39710000000000001</v>
      </c>
      <c r="R19">
        <v>2.9129999999999998</v>
      </c>
      <c r="S19">
        <v>0.72040000000000004</v>
      </c>
      <c r="T19">
        <v>1.7455229930998399</v>
      </c>
      <c r="U19">
        <v>5.7985018710502301</v>
      </c>
      <c r="V19">
        <v>4.5499999999999999E-2</v>
      </c>
      <c r="W19">
        <v>0.1077</v>
      </c>
      <c r="X19">
        <v>0.85219999999999996</v>
      </c>
      <c r="Y19">
        <v>15.2340039683504</v>
      </c>
      <c r="Z19">
        <v>50.606265780088897</v>
      </c>
      <c r="AA19">
        <v>7.5110000000000003E-3</v>
      </c>
      <c r="AB19">
        <v>1.1590000000000001E-3</v>
      </c>
      <c r="AC19">
        <v>1.081</v>
      </c>
      <c r="AD19">
        <v>92.284273806409999</v>
      </c>
      <c r="AE19">
        <v>306.56172187379099</v>
      </c>
    </row>
    <row r="20" spans="1:31" x14ac:dyDescent="0.25">
      <c r="A20">
        <v>95</v>
      </c>
      <c r="B20">
        <v>2.7309999999999999</v>
      </c>
      <c r="C20">
        <v>17.07</v>
      </c>
      <c r="D20">
        <v>0.77139999999999997</v>
      </c>
      <c r="E20">
        <v>0.25380709650675398</v>
      </c>
      <c r="F20">
        <v>0.84312892456757405</v>
      </c>
      <c r="G20">
        <v>4.0680000000000001E-2</v>
      </c>
      <c r="H20">
        <v>9.7049999999999997E-2</v>
      </c>
      <c r="I20">
        <v>0.44059999999999999</v>
      </c>
      <c r="J20">
        <v>17.039016237953401</v>
      </c>
      <c r="K20">
        <v>56.602386750099399</v>
      </c>
      <c r="L20">
        <v>1.5429999999999999E-2</v>
      </c>
      <c r="M20">
        <v>4.5710000000000001E-2</v>
      </c>
      <c r="N20">
        <v>0.87629999999999997</v>
      </c>
      <c r="O20">
        <v>44.922046698635498</v>
      </c>
      <c r="P20">
        <v>149.227809008039</v>
      </c>
      <c r="Q20">
        <v>0.36809999999999998</v>
      </c>
      <c r="R20">
        <v>2.6539999999999999</v>
      </c>
      <c r="S20">
        <v>0.74609999999999999</v>
      </c>
      <c r="T20">
        <v>1.88304042531906</v>
      </c>
      <c r="U20">
        <v>6.2553248926760299</v>
      </c>
      <c r="V20">
        <v>4.41E-2</v>
      </c>
      <c r="W20">
        <v>0.1013</v>
      </c>
      <c r="X20">
        <v>0.92220000000000002</v>
      </c>
      <c r="Y20">
        <v>15.7176231419489</v>
      </c>
      <c r="Z20">
        <v>52.212813900091703</v>
      </c>
      <c r="AA20">
        <v>7.345E-3</v>
      </c>
      <c r="AB20">
        <v>1.1329999999999999E-3</v>
      </c>
      <c r="AC20">
        <v>1.1160000000000001</v>
      </c>
      <c r="AD20">
        <v>94.369936087126703</v>
      </c>
      <c r="AE20">
        <v>313.49014200055097</v>
      </c>
    </row>
    <row r="21" spans="1:31" x14ac:dyDescent="0.25">
      <c r="A21">
        <v>100</v>
      </c>
      <c r="B21">
        <v>2.5</v>
      </c>
      <c r="C21">
        <v>15.28</v>
      </c>
      <c r="D21">
        <v>0.75570000000000004</v>
      </c>
      <c r="E21">
        <v>0.27725887222397799</v>
      </c>
      <c r="F21">
        <v>0.92103403719761801</v>
      </c>
      <c r="G21">
        <v>3.925E-2</v>
      </c>
      <c r="H21">
        <v>8.5669999999999996E-2</v>
      </c>
      <c r="I21">
        <v>0.42730000000000001</v>
      </c>
      <c r="J21">
        <v>17.659800778597301</v>
      </c>
      <c r="K21">
        <v>58.6645883565362</v>
      </c>
      <c r="L21">
        <v>1.4659999999999999E-2</v>
      </c>
      <c r="M21">
        <v>4.1709999999999997E-2</v>
      </c>
      <c r="N21">
        <v>0.89390000000000003</v>
      </c>
      <c r="O21">
        <v>47.281526641196798</v>
      </c>
      <c r="P21">
        <v>157.06583171855701</v>
      </c>
      <c r="Q21">
        <v>0.34150000000000003</v>
      </c>
      <c r="R21">
        <v>2.42</v>
      </c>
      <c r="S21">
        <v>0.76449999999999996</v>
      </c>
      <c r="T21">
        <v>2.02971355947275</v>
      </c>
      <c r="U21">
        <v>6.7425624977863698</v>
      </c>
      <c r="V21">
        <v>4.2779999999999999E-2</v>
      </c>
      <c r="W21">
        <v>9.4659999999999994E-2</v>
      </c>
      <c r="X21">
        <v>0.97909999999999997</v>
      </c>
      <c r="Y21">
        <v>16.2025988910693</v>
      </c>
      <c r="Z21">
        <v>53.823868466434</v>
      </c>
      <c r="AA21">
        <v>7.2300000000000003E-3</v>
      </c>
      <c r="AB21">
        <v>9.343E-4</v>
      </c>
      <c r="AC21">
        <v>1.3089999999999999</v>
      </c>
      <c r="AD21">
        <v>95.870979330559507</v>
      </c>
      <c r="AE21">
        <v>318.47649972255101</v>
      </c>
    </row>
    <row r="22" spans="1:31" x14ac:dyDescent="0.25">
      <c r="A22">
        <v>105</v>
      </c>
      <c r="B22">
        <v>2.3639999999999999</v>
      </c>
      <c r="C22">
        <v>13.41</v>
      </c>
      <c r="D22">
        <v>0.72389999999999999</v>
      </c>
      <c r="E22">
        <v>0.29320946724194002</v>
      </c>
      <c r="F22">
        <v>0.97402076691795503</v>
      </c>
      <c r="G22">
        <v>3.8080000000000003E-2</v>
      </c>
      <c r="H22">
        <v>7.8619999999999995E-2</v>
      </c>
      <c r="I22">
        <v>0.43940000000000001</v>
      </c>
      <c r="J22">
        <v>18.202394447477602</v>
      </c>
      <c r="K22">
        <v>60.4670455092974</v>
      </c>
      <c r="L22">
        <v>1.397E-2</v>
      </c>
      <c r="M22">
        <v>3.8150000000000003E-2</v>
      </c>
      <c r="N22">
        <v>0.90800000000000003</v>
      </c>
      <c r="O22">
        <v>49.6168346857513</v>
      </c>
      <c r="P22">
        <v>164.82355712197901</v>
      </c>
      <c r="Q22">
        <v>0.3135</v>
      </c>
      <c r="R22">
        <v>2.2269999999999999</v>
      </c>
      <c r="S22">
        <v>0.77880000000000005</v>
      </c>
      <c r="T22">
        <v>2.2109957912597902</v>
      </c>
      <c r="U22">
        <v>7.34476903666362</v>
      </c>
      <c r="V22">
        <v>4.1430000000000002E-2</v>
      </c>
      <c r="W22">
        <v>8.7510000000000004E-2</v>
      </c>
      <c r="X22">
        <v>1.014</v>
      </c>
      <c r="Y22">
        <v>16.730561925173699</v>
      </c>
      <c r="Z22">
        <v>55.577723702487198</v>
      </c>
      <c r="AA22">
        <v>7.0499999999999998E-3</v>
      </c>
      <c r="AB22">
        <v>6.1990000000000005E-4</v>
      </c>
      <c r="AC22">
        <v>1.365</v>
      </c>
      <c r="AD22">
        <v>98.318749015595102</v>
      </c>
      <c r="AE22">
        <v>326.60781460908402</v>
      </c>
    </row>
    <row r="23" spans="1:31" x14ac:dyDescent="0.25">
      <c r="A23">
        <v>110</v>
      </c>
      <c r="B23">
        <v>2.2959999999999998</v>
      </c>
      <c r="C23">
        <v>11.7</v>
      </c>
      <c r="D23">
        <v>0.68269999999999997</v>
      </c>
      <c r="E23">
        <v>0.301893371324018</v>
      </c>
      <c r="F23">
        <v>1.0028680718615199</v>
      </c>
      <c r="G23">
        <v>3.7150000000000002E-2</v>
      </c>
      <c r="H23">
        <v>7.4359999999999996E-2</v>
      </c>
      <c r="I23">
        <v>0.47520000000000001</v>
      </c>
      <c r="J23">
        <v>18.658066771465599</v>
      </c>
      <c r="K23">
        <v>61.980756204415798</v>
      </c>
      <c r="L23">
        <v>1.336E-2</v>
      </c>
      <c r="M23">
        <v>3.5209999999999998E-2</v>
      </c>
      <c r="N23">
        <v>0.9244</v>
      </c>
      <c r="O23">
        <v>51.882273994007903</v>
      </c>
      <c r="P23">
        <v>172.349183607339</v>
      </c>
      <c r="Q23">
        <v>0.28489999999999999</v>
      </c>
      <c r="R23">
        <v>2.0609999999999999</v>
      </c>
      <c r="S23">
        <v>0.78969999999999996</v>
      </c>
      <c r="T23">
        <v>2.4329490367144402</v>
      </c>
      <c r="U23">
        <v>8.08208175849086</v>
      </c>
      <c r="V23">
        <v>4.0079999999999998E-2</v>
      </c>
      <c r="W23">
        <v>8.047E-2</v>
      </c>
      <c r="X23">
        <v>1.03</v>
      </c>
      <c r="Y23">
        <v>17.294091331335999</v>
      </c>
      <c r="Z23">
        <v>57.449727869112898</v>
      </c>
      <c r="AA23">
        <v>6.9210000000000001E-3</v>
      </c>
      <c r="AB23">
        <v>1.9760000000000001E-4</v>
      </c>
      <c r="AC23">
        <v>3.3090000000000002</v>
      </c>
      <c r="AD23">
        <v>100.151304805656</v>
      </c>
      <c r="AE23">
        <v>332.695433173536</v>
      </c>
    </row>
    <row r="24" spans="1:31" x14ac:dyDescent="0.25">
      <c r="A24">
        <v>115</v>
      </c>
      <c r="B24">
        <v>2.2650000000000001</v>
      </c>
      <c r="C24">
        <v>10.210000000000001</v>
      </c>
      <c r="D24">
        <v>0.63629999999999998</v>
      </c>
      <c r="E24">
        <v>0.30602524528032898</v>
      </c>
      <c r="F24">
        <v>1.0165938600415201</v>
      </c>
      <c r="G24">
        <v>3.6360000000000003E-2</v>
      </c>
      <c r="H24">
        <v>7.2010000000000005E-2</v>
      </c>
      <c r="I24">
        <v>0.53190000000000004</v>
      </c>
      <c r="J24">
        <v>19.063453810779599</v>
      </c>
      <c r="K24">
        <v>63.327422799616201</v>
      </c>
      <c r="L24">
        <v>1.2829999999999999E-2</v>
      </c>
      <c r="M24">
        <v>6.2710000000000002E-2</v>
      </c>
      <c r="N24">
        <v>0.94230000000000003</v>
      </c>
      <c r="O24">
        <v>54.025501212778302</v>
      </c>
      <c r="P24">
        <v>179.468830319099</v>
      </c>
      <c r="Q24">
        <v>0.25790000000000002</v>
      </c>
      <c r="R24">
        <v>1.9219999999999999</v>
      </c>
      <c r="S24">
        <v>0.80079999999999996</v>
      </c>
      <c r="T24">
        <v>2.6876587070955602</v>
      </c>
      <c r="U24">
        <v>8.9282089685693897</v>
      </c>
      <c r="V24">
        <v>3.8780000000000002E-2</v>
      </c>
      <c r="W24">
        <v>7.3940000000000006E-2</v>
      </c>
      <c r="X24">
        <v>1.0329999999999999</v>
      </c>
      <c r="Y24">
        <v>17.873831370808301</v>
      </c>
      <c r="Z24">
        <v>59.375582593967103</v>
      </c>
      <c r="AA24">
        <v>6.8640000000000003E-3</v>
      </c>
      <c r="AB24">
        <v>-3.9080000000000001E-4</v>
      </c>
      <c r="AC24">
        <v>0.64690000000000003</v>
      </c>
      <c r="AD24">
        <v>100.982980850808</v>
      </c>
      <c r="AE24">
        <v>335.458201193771</v>
      </c>
    </row>
    <row r="25" spans="1:31" x14ac:dyDescent="0.25">
      <c r="A25">
        <v>120</v>
      </c>
      <c r="B25">
        <v>2.246</v>
      </c>
      <c r="C25">
        <v>8.9499999999999993</v>
      </c>
      <c r="D25">
        <v>0.58730000000000004</v>
      </c>
      <c r="E25">
        <v>0.30861406080140003</v>
      </c>
      <c r="F25">
        <v>1.0251937190534499</v>
      </c>
      <c r="G25">
        <v>3.5659999999999997E-2</v>
      </c>
      <c r="H25">
        <v>7.109E-2</v>
      </c>
      <c r="I25">
        <v>0.60729999999999995</v>
      </c>
      <c r="J25">
        <v>19.4376663084673</v>
      </c>
      <c r="K25">
        <v>64.570529809143196</v>
      </c>
      <c r="L25">
        <v>1.235E-2</v>
      </c>
      <c r="M25">
        <v>3.0470000000000001E-2</v>
      </c>
      <c r="N25">
        <v>0.95660000000000001</v>
      </c>
      <c r="O25">
        <v>56.125277778133203</v>
      </c>
      <c r="P25">
        <v>186.444137084538</v>
      </c>
      <c r="Q25">
        <v>0.2336</v>
      </c>
      <c r="R25">
        <v>1.7969999999999999</v>
      </c>
      <c r="S25">
        <v>0.81159999999999999</v>
      </c>
      <c r="T25">
        <v>2.9672396428079799</v>
      </c>
      <c r="U25">
        <v>9.8569567337073902</v>
      </c>
      <c r="V25">
        <v>3.7580000000000002E-2</v>
      </c>
      <c r="W25">
        <v>6.8080000000000002E-2</v>
      </c>
      <c r="X25">
        <v>1.0309999999999999</v>
      </c>
      <c r="Y25">
        <v>18.444576385309901</v>
      </c>
      <c r="Z25">
        <v>61.271556492656899</v>
      </c>
      <c r="AA25">
        <v>6.7260000000000002E-3</v>
      </c>
      <c r="AB25">
        <v>-8.3080000000000003E-4</v>
      </c>
      <c r="AC25">
        <v>1.006</v>
      </c>
      <c r="AD25">
        <v>103.054888575668</v>
      </c>
      <c r="AE25">
        <v>342.34092967499902</v>
      </c>
    </row>
    <row r="26" spans="1:31" x14ac:dyDescent="0.25">
      <c r="A26">
        <v>125</v>
      </c>
      <c r="B26">
        <v>2.2189999999999999</v>
      </c>
      <c r="C26">
        <v>7.923</v>
      </c>
      <c r="D26">
        <v>0.53859999999999997</v>
      </c>
      <c r="E26">
        <v>0.31236916654346297</v>
      </c>
      <c r="F26">
        <v>1.0376679103172799</v>
      </c>
      <c r="G26">
        <v>3.5020000000000003E-2</v>
      </c>
      <c r="H26">
        <v>7.1129999999999999E-2</v>
      </c>
      <c r="I26">
        <v>0.69740000000000002</v>
      </c>
      <c r="J26">
        <v>19.7928949331795</v>
      </c>
      <c r="K26">
        <v>65.750573757682602</v>
      </c>
      <c r="L26">
        <v>1.192E-2</v>
      </c>
      <c r="M26">
        <v>2.8629999999999999E-2</v>
      </c>
      <c r="N26">
        <v>0.96840000000000004</v>
      </c>
      <c r="O26">
        <v>58.149931255029003</v>
      </c>
      <c r="P26">
        <v>193.16989035184901</v>
      </c>
      <c r="Q26">
        <v>0.21299999999999999</v>
      </c>
      <c r="R26">
        <v>1.677</v>
      </c>
      <c r="S26">
        <v>0.82169999999999999</v>
      </c>
      <c r="T26">
        <v>3.2542121153049099</v>
      </c>
      <c r="U26">
        <v>10.8102586525542</v>
      </c>
      <c r="V26">
        <v>3.6519999999999997E-2</v>
      </c>
      <c r="W26">
        <v>6.3039999999999999E-2</v>
      </c>
      <c r="X26">
        <v>1.0309999999999999</v>
      </c>
      <c r="Y26">
        <v>18.979933750272298</v>
      </c>
      <c r="Z26">
        <v>63.049975164130501</v>
      </c>
      <c r="AA26">
        <v>6.5839999999999996E-3</v>
      </c>
      <c r="AB26">
        <v>-1.214E-3</v>
      </c>
      <c r="AC26">
        <v>1.1919999999999999</v>
      </c>
      <c r="AD26">
        <v>105.27751831104899</v>
      </c>
      <c r="AE26">
        <v>349.72434583749202</v>
      </c>
    </row>
    <row r="27" spans="1:31" x14ac:dyDescent="0.25">
      <c r="A27">
        <v>130</v>
      </c>
      <c r="B27">
        <v>2.17</v>
      </c>
      <c r="C27">
        <v>7.0940000000000003</v>
      </c>
      <c r="D27">
        <v>0.4909</v>
      </c>
      <c r="E27">
        <v>0.319422663852509</v>
      </c>
      <c r="F27">
        <v>1.0610991211954099</v>
      </c>
      <c r="G27">
        <v>3.4450000000000001E-2</v>
      </c>
      <c r="H27">
        <v>7.1599999999999997E-2</v>
      </c>
      <c r="I27">
        <v>0.79690000000000005</v>
      </c>
      <c r="J27">
        <v>20.120382599708101</v>
      </c>
      <c r="K27">
        <v>66.838464237853302</v>
      </c>
      <c r="L27">
        <v>1.155E-2</v>
      </c>
      <c r="M27">
        <v>2.7019999999999999E-2</v>
      </c>
      <c r="N27">
        <v>0.98019999999999996</v>
      </c>
      <c r="O27">
        <v>60.012742905623</v>
      </c>
      <c r="P27">
        <v>199.35801670944099</v>
      </c>
      <c r="Q27">
        <v>0.19689999999999999</v>
      </c>
      <c r="R27">
        <v>1.5569999999999999</v>
      </c>
      <c r="S27">
        <v>0.83089999999999997</v>
      </c>
      <c r="T27">
        <v>3.5203005615030198</v>
      </c>
      <c r="U27">
        <v>11.694185337704701</v>
      </c>
      <c r="V27">
        <v>3.5610000000000003E-2</v>
      </c>
      <c r="W27">
        <v>5.8740000000000001E-2</v>
      </c>
      <c r="X27">
        <v>1.0369999999999999</v>
      </c>
      <c r="Y27">
        <v>19.464958735185199</v>
      </c>
      <c r="Z27">
        <v>64.661193288234898</v>
      </c>
      <c r="AA27">
        <v>6.4720000000000003E-3</v>
      </c>
      <c r="AB27">
        <v>-1.539E-3</v>
      </c>
      <c r="AC27">
        <v>1.2849999999999999</v>
      </c>
      <c r="AD27">
        <v>107.099378949312</v>
      </c>
      <c r="AE27">
        <v>355.77643587670701</v>
      </c>
    </row>
    <row r="28" spans="1:31" x14ac:dyDescent="0.25">
      <c r="A28">
        <v>135</v>
      </c>
      <c r="B28">
        <v>2.1019999999999999</v>
      </c>
      <c r="C28">
        <v>6.45</v>
      </c>
      <c r="D28">
        <v>0.44690000000000002</v>
      </c>
      <c r="E28">
        <v>0.32975603261653003</v>
      </c>
      <c r="F28">
        <v>1.0954258292074399</v>
      </c>
      <c r="G28">
        <v>3.3939999999999998E-2</v>
      </c>
      <c r="H28">
        <v>7.263E-2</v>
      </c>
      <c r="I28">
        <v>0.90990000000000004</v>
      </c>
      <c r="J28">
        <v>20.4227218786077</v>
      </c>
      <c r="K28">
        <v>67.842813582617694</v>
      </c>
      <c r="L28">
        <v>1.1220000000000001E-2</v>
      </c>
      <c r="M28">
        <v>2.5610000000000001E-2</v>
      </c>
      <c r="N28">
        <v>0.99009999999999998</v>
      </c>
      <c r="O28">
        <v>61.777823579317797</v>
      </c>
      <c r="P28">
        <v>205.221487789131</v>
      </c>
      <c r="Q28">
        <v>0.18379999999999999</v>
      </c>
      <c r="R28">
        <v>1.44</v>
      </c>
      <c r="S28">
        <v>0.83909999999999996</v>
      </c>
      <c r="T28">
        <v>3.7712033762782702</v>
      </c>
      <c r="U28">
        <v>12.5276664471929</v>
      </c>
      <c r="V28">
        <v>3.4810000000000001E-2</v>
      </c>
      <c r="W28">
        <v>5.5190000000000003E-2</v>
      </c>
      <c r="X28">
        <v>1.0489999999999999</v>
      </c>
      <c r="Y28">
        <v>19.912300504451199</v>
      </c>
      <c r="Z28">
        <v>66.147230479576194</v>
      </c>
      <c r="AA28">
        <v>6.306E-3</v>
      </c>
      <c r="AB28">
        <v>-1.7309999999999999E-3</v>
      </c>
      <c r="AC28">
        <v>1.4650000000000001</v>
      </c>
      <c r="AD28">
        <v>109.918677538843</v>
      </c>
      <c r="AE28">
        <v>365.141943069148</v>
      </c>
    </row>
    <row r="29" spans="1:31" x14ac:dyDescent="0.25">
      <c r="A29">
        <v>140</v>
      </c>
      <c r="B29">
        <v>2.0089999999999999</v>
      </c>
      <c r="C29">
        <v>5.9160000000000004</v>
      </c>
      <c r="D29">
        <v>0.40179999999999999</v>
      </c>
      <c r="E29">
        <v>0.34502099579887802</v>
      </c>
      <c r="F29">
        <v>1.14613493927031</v>
      </c>
      <c r="G29">
        <v>3.3450000000000001E-2</v>
      </c>
      <c r="H29">
        <v>7.4759999999999993E-2</v>
      </c>
      <c r="I29">
        <v>1.0469999999999999</v>
      </c>
      <c r="J29">
        <v>20.7218888059774</v>
      </c>
      <c r="K29">
        <v>68.836624603708401</v>
      </c>
      <c r="L29">
        <v>1.0880000000000001E-2</v>
      </c>
      <c r="M29">
        <v>2.436E-2</v>
      </c>
      <c r="N29">
        <v>0.99639999999999995</v>
      </c>
      <c r="O29">
        <v>63.7083805661714</v>
      </c>
      <c r="P29">
        <v>211.63465928254101</v>
      </c>
      <c r="Q29">
        <v>0.1724</v>
      </c>
      <c r="R29">
        <v>1.3280000000000001</v>
      </c>
      <c r="S29">
        <v>0.8458</v>
      </c>
      <c r="T29">
        <v>4.0205752932711398</v>
      </c>
      <c r="U29">
        <v>13.3560620243274</v>
      </c>
      <c r="V29">
        <v>3.4070000000000003E-2</v>
      </c>
      <c r="W29">
        <v>5.1450000000000003E-2</v>
      </c>
      <c r="X29">
        <v>1.0569999999999999</v>
      </c>
      <c r="Y29">
        <v>20.3447954376268</v>
      </c>
      <c r="Z29">
        <v>67.583947548988704</v>
      </c>
      <c r="AA29">
        <v>6.1910000000000003E-3</v>
      </c>
      <c r="AB29">
        <v>-1.8489999999999999E-3</v>
      </c>
      <c r="AC29">
        <v>1.53</v>
      </c>
      <c r="AD29">
        <v>111.96045559036401</v>
      </c>
      <c r="AE29">
        <v>371.92458294201998</v>
      </c>
    </row>
    <row r="30" spans="1:31" x14ac:dyDescent="0.25">
      <c r="A30">
        <v>145</v>
      </c>
      <c r="B30">
        <v>1.895</v>
      </c>
      <c r="C30">
        <v>5.4980000000000002</v>
      </c>
      <c r="D30">
        <v>0.35799999999999998</v>
      </c>
      <c r="E30">
        <v>0.365776876284932</v>
      </c>
      <c r="F30">
        <v>1.21508448179105</v>
      </c>
      <c r="G30">
        <v>3.2960000000000003E-2</v>
      </c>
      <c r="H30">
        <v>7.8750000000000001E-2</v>
      </c>
      <c r="I30">
        <v>1.224</v>
      </c>
      <c r="J30">
        <v>21.029950866503199</v>
      </c>
      <c r="K30">
        <v>69.859984617537805</v>
      </c>
      <c r="L30">
        <v>1.056E-2</v>
      </c>
      <c r="M30">
        <v>2.3130000000000001E-2</v>
      </c>
      <c r="N30">
        <v>0.99870000000000003</v>
      </c>
      <c r="O30">
        <v>65.638937553025102</v>
      </c>
      <c r="P30">
        <v>218.04783077595101</v>
      </c>
      <c r="Q30">
        <v>0.16159999999999999</v>
      </c>
      <c r="R30">
        <v>1.2250000000000001</v>
      </c>
      <c r="S30">
        <v>0.85189999999999999</v>
      </c>
      <c r="T30">
        <v>4.2892771074254004</v>
      </c>
      <c r="U30">
        <v>14.2486701299136</v>
      </c>
      <c r="V30">
        <v>3.3360000000000001E-2</v>
      </c>
      <c r="W30">
        <v>4.795E-2</v>
      </c>
      <c r="X30">
        <v>1.0629999999999999</v>
      </c>
      <c r="Y30">
        <v>20.777793182252601</v>
      </c>
      <c r="Z30">
        <v>69.022334921883896</v>
      </c>
      <c r="AA30">
        <v>6.1149999999999998E-3</v>
      </c>
      <c r="AB30">
        <v>-1.869E-3</v>
      </c>
      <c r="AC30">
        <v>1.498</v>
      </c>
      <c r="AD30">
        <v>113.35195103188001</v>
      </c>
      <c r="AE30">
        <v>376.54703074309799</v>
      </c>
    </row>
    <row r="31" spans="1:31" x14ac:dyDescent="0.25">
      <c r="A31">
        <v>150</v>
      </c>
      <c r="B31">
        <v>1.7569999999999999</v>
      </c>
      <c r="C31">
        <v>5.1769999999999996</v>
      </c>
      <c r="D31">
        <v>0.31559999999999999</v>
      </c>
      <c r="E31">
        <v>0.394506078861665</v>
      </c>
      <c r="F31">
        <v>1.31052082697441</v>
      </c>
      <c r="G31">
        <v>3.243E-2</v>
      </c>
      <c r="H31">
        <v>8.5989999999999997E-2</v>
      </c>
      <c r="I31">
        <v>1.4670000000000001</v>
      </c>
      <c r="J31">
        <v>21.373641090346801</v>
      </c>
      <c r="K31">
        <v>71.001698828061905</v>
      </c>
      <c r="L31">
        <v>1.03E-2</v>
      </c>
      <c r="M31">
        <v>2.198E-2</v>
      </c>
      <c r="N31">
        <v>1.0129999999999999</v>
      </c>
      <c r="O31">
        <v>67.295842772810204</v>
      </c>
      <c r="P31">
        <v>223.551950776121</v>
      </c>
      <c r="Q31">
        <v>0.15010000000000001</v>
      </c>
      <c r="R31">
        <v>1.1319999999999999</v>
      </c>
      <c r="S31">
        <v>0.85660000000000003</v>
      </c>
      <c r="T31">
        <v>4.6179026019983</v>
      </c>
      <c r="U31">
        <v>15.3403403930316</v>
      </c>
      <c r="V31">
        <v>3.2660000000000002E-2</v>
      </c>
      <c r="W31">
        <v>4.4909999999999999E-2</v>
      </c>
      <c r="X31">
        <v>1.073</v>
      </c>
      <c r="Y31">
        <v>21.223122491119</v>
      </c>
      <c r="Z31">
        <v>70.501686864483901</v>
      </c>
      <c r="AA31">
        <v>6.0200000000000002E-3</v>
      </c>
      <c r="AB31">
        <v>-1.7520000000000001E-3</v>
      </c>
      <c r="AC31">
        <v>1.4830000000000001</v>
      </c>
      <c r="AD31">
        <v>115.14072766776501</v>
      </c>
      <c r="AE31">
        <v>382.489218105323</v>
      </c>
    </row>
    <row r="34" spans="1:2" x14ac:dyDescent="0.25">
      <c r="A34" s="255" t="s">
        <v>281</v>
      </c>
    </row>
    <row r="35" spans="1:2" x14ac:dyDescent="0.25">
      <c r="A35" t="s">
        <v>37</v>
      </c>
      <c r="B35" t="s">
        <v>97</v>
      </c>
    </row>
    <row r="36" spans="1:2" x14ac:dyDescent="0.25">
      <c r="A36">
        <v>25</v>
      </c>
      <c r="B36" s="28">
        <f>0.1965*A36-3.429</f>
        <v>1.4835000000000007</v>
      </c>
    </row>
    <row r="37" spans="1:2" x14ac:dyDescent="0.25">
      <c r="A37">
        <v>30</v>
      </c>
      <c r="B37" s="28">
        <f t="shared" ref="B37:B38" si="0">0.1965*A37-3.429</f>
        <v>2.4660000000000006</v>
      </c>
    </row>
    <row r="38" spans="1:2" x14ac:dyDescent="0.25">
      <c r="A38">
        <v>35</v>
      </c>
      <c r="B38" s="28">
        <f t="shared" si="0"/>
        <v>3.4485000000000006</v>
      </c>
    </row>
    <row r="39" spans="1:2" x14ac:dyDescent="0.25">
      <c r="A39">
        <v>40</v>
      </c>
      <c r="B39" s="28">
        <f>1.222-0.05664*A39+0.001227*A39^2-0.000003136*A39^3</f>
        <v>0.71889599999999998</v>
      </c>
    </row>
    <row r="40" spans="1:2" x14ac:dyDescent="0.25">
      <c r="A40">
        <v>45</v>
      </c>
      <c r="B40" s="28">
        <f t="shared" ref="B40:B61" si="1">1.222-0.05664*A40+0.001227*A40^2-0.000003136*A40^3</f>
        <v>0.87210700000000019</v>
      </c>
    </row>
    <row r="41" spans="1:2" x14ac:dyDescent="0.25">
      <c r="A41">
        <v>50</v>
      </c>
      <c r="B41" s="28">
        <f t="shared" si="1"/>
        <v>1.0654999999999997</v>
      </c>
    </row>
    <row r="42" spans="1:2" x14ac:dyDescent="0.25">
      <c r="A42">
        <v>55</v>
      </c>
      <c r="B42" s="28">
        <f t="shared" si="1"/>
        <v>1.2967229999999998</v>
      </c>
    </row>
    <row r="43" spans="1:2" x14ac:dyDescent="0.25">
      <c r="A43">
        <v>60</v>
      </c>
      <c r="B43" s="28">
        <f t="shared" si="1"/>
        <v>1.5634240000000001</v>
      </c>
    </row>
    <row r="44" spans="1:2" x14ac:dyDescent="0.25">
      <c r="A44">
        <v>65</v>
      </c>
      <c r="B44" s="28">
        <f t="shared" si="1"/>
        <v>1.863251</v>
      </c>
    </row>
    <row r="45" spans="1:2" x14ac:dyDescent="0.25">
      <c r="A45">
        <v>70</v>
      </c>
      <c r="B45" s="28">
        <f t="shared" si="1"/>
        <v>2.1938519999999997</v>
      </c>
    </row>
    <row r="46" spans="1:2" x14ac:dyDescent="0.25">
      <c r="A46">
        <v>75</v>
      </c>
      <c r="B46" s="28">
        <f t="shared" si="1"/>
        <v>2.5528750000000002</v>
      </c>
    </row>
    <row r="47" spans="1:2" x14ac:dyDescent="0.25">
      <c r="A47">
        <v>80</v>
      </c>
      <c r="B47" s="28">
        <f t="shared" si="1"/>
        <v>2.9379679999999997</v>
      </c>
    </row>
    <row r="48" spans="1:2" x14ac:dyDescent="0.25">
      <c r="A48">
        <v>85</v>
      </c>
      <c r="B48" s="28">
        <f t="shared" si="1"/>
        <v>3.3467790000000015</v>
      </c>
    </row>
    <row r="49" spans="1:2" x14ac:dyDescent="0.25">
      <c r="A49">
        <v>90</v>
      </c>
      <c r="B49" s="28">
        <f t="shared" si="1"/>
        <v>3.7769560000000002</v>
      </c>
    </row>
    <row r="50" spans="1:2" x14ac:dyDescent="0.25">
      <c r="A50">
        <v>95</v>
      </c>
      <c r="B50" s="28">
        <f t="shared" si="1"/>
        <v>4.2261469999999983</v>
      </c>
    </row>
    <row r="51" spans="1:2" x14ac:dyDescent="0.25">
      <c r="A51">
        <v>100</v>
      </c>
      <c r="B51" s="28">
        <f t="shared" si="1"/>
        <v>4.6919999999999993</v>
      </c>
    </row>
    <row r="52" spans="1:2" x14ac:dyDescent="0.25">
      <c r="A52">
        <v>105</v>
      </c>
      <c r="B52" s="28">
        <f t="shared" si="1"/>
        <v>5.1721629999999994</v>
      </c>
    </row>
    <row r="53" spans="1:2" x14ac:dyDescent="0.25">
      <c r="A53">
        <v>110</v>
      </c>
      <c r="B53" s="28">
        <f t="shared" si="1"/>
        <v>5.6642840000000003</v>
      </c>
    </row>
    <row r="54" spans="1:2" x14ac:dyDescent="0.25">
      <c r="A54">
        <v>115</v>
      </c>
      <c r="B54" s="28">
        <f t="shared" si="1"/>
        <v>6.1660109999999984</v>
      </c>
    </row>
    <row r="55" spans="1:2" x14ac:dyDescent="0.25">
      <c r="A55">
        <v>120</v>
      </c>
      <c r="B55" s="28">
        <f t="shared" si="1"/>
        <v>6.6749920000000014</v>
      </c>
    </row>
    <row r="56" spans="1:2" x14ac:dyDescent="0.25">
      <c r="A56">
        <v>125</v>
      </c>
      <c r="B56" s="28">
        <f t="shared" si="1"/>
        <v>7.1888749999999995</v>
      </c>
    </row>
    <row r="57" spans="1:2" x14ac:dyDescent="0.25">
      <c r="A57">
        <v>130</v>
      </c>
      <c r="B57" s="28">
        <f t="shared" si="1"/>
        <v>7.7053080000000005</v>
      </c>
    </row>
    <row r="58" spans="1:2" x14ac:dyDescent="0.25">
      <c r="A58">
        <v>135</v>
      </c>
      <c r="B58" s="28">
        <f t="shared" si="1"/>
        <v>8.221938999999999</v>
      </c>
    </row>
    <row r="59" spans="1:2" x14ac:dyDescent="0.25">
      <c r="A59">
        <v>140</v>
      </c>
      <c r="B59" s="28">
        <f t="shared" si="1"/>
        <v>8.7364160000000002</v>
      </c>
    </row>
    <row r="60" spans="1:2" x14ac:dyDescent="0.25">
      <c r="A60">
        <v>145</v>
      </c>
      <c r="B60" s="28">
        <f t="shared" si="1"/>
        <v>9.2463870000000004</v>
      </c>
    </row>
    <row r="61" spans="1:2" x14ac:dyDescent="0.25">
      <c r="A61">
        <v>150</v>
      </c>
      <c r="B61" s="28">
        <f t="shared" si="1"/>
        <v>9.7495000000000012</v>
      </c>
    </row>
  </sheetData>
  <mergeCells count="6">
    <mergeCell ref="AA4:AE4"/>
    <mergeCell ref="B4:F4"/>
    <mergeCell ref="G4:K4"/>
    <mergeCell ref="L4:P4"/>
    <mergeCell ref="Q4:U4"/>
    <mergeCell ref="V4:Z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13"/>
  <sheetViews>
    <sheetView workbookViewId="0">
      <selection activeCell="H11" sqref="H11:J11"/>
    </sheetView>
  </sheetViews>
  <sheetFormatPr defaultRowHeight="13.2" x14ac:dyDescent="0.25"/>
  <cols>
    <col min="1" max="1" width="27.109375" customWidth="1"/>
  </cols>
  <sheetData>
    <row r="1" spans="1:19" x14ac:dyDescent="0.25">
      <c r="A1" s="255" t="s">
        <v>282</v>
      </c>
    </row>
    <row r="3" spans="1:19" x14ac:dyDescent="0.25">
      <c r="A3" s="287" t="s">
        <v>260</v>
      </c>
      <c r="B3" s="280" t="s">
        <v>94</v>
      </c>
      <c r="C3" s="280"/>
      <c r="D3" s="280"/>
      <c r="E3" s="280" t="s">
        <v>95</v>
      </c>
      <c r="F3" s="280"/>
      <c r="G3" s="280"/>
      <c r="H3" s="280" t="s">
        <v>52</v>
      </c>
      <c r="I3" s="280"/>
      <c r="J3" s="280"/>
      <c r="K3" s="280" t="s">
        <v>54</v>
      </c>
      <c r="L3" s="280"/>
      <c r="M3" s="280"/>
      <c r="N3" s="280" t="s">
        <v>96</v>
      </c>
      <c r="O3" s="280"/>
      <c r="P3" s="280"/>
      <c r="Q3" s="280" t="s">
        <v>58</v>
      </c>
      <c r="R3" s="280"/>
      <c r="S3" s="280"/>
    </row>
    <row r="4" spans="1:19" x14ac:dyDescent="0.25">
      <c r="A4" s="287"/>
      <c r="B4" s="258" t="s">
        <v>40</v>
      </c>
      <c r="C4" s="258" t="s">
        <v>41</v>
      </c>
      <c r="D4" s="258" t="s">
        <v>42</v>
      </c>
      <c r="E4" s="258" t="s">
        <v>40</v>
      </c>
      <c r="F4" s="258" t="s">
        <v>41</v>
      </c>
      <c r="G4" s="258" t="s">
        <v>42</v>
      </c>
      <c r="H4" s="258" t="s">
        <v>40</v>
      </c>
      <c r="I4" s="258" t="s">
        <v>41</v>
      </c>
      <c r="J4" s="258" t="s">
        <v>42</v>
      </c>
      <c r="K4" s="258" t="s">
        <v>40</v>
      </c>
      <c r="L4" s="258" t="s">
        <v>41</v>
      </c>
      <c r="M4" s="258" t="s">
        <v>42</v>
      </c>
      <c r="N4" s="258" t="s">
        <v>40</v>
      </c>
      <c r="O4" s="258" t="s">
        <v>41</v>
      </c>
      <c r="P4" s="258" t="s">
        <v>42</v>
      </c>
      <c r="Q4" s="258" t="s">
        <v>40</v>
      </c>
      <c r="R4" s="258" t="s">
        <v>41</v>
      </c>
      <c r="S4" s="258" t="s">
        <v>42</v>
      </c>
    </row>
    <row r="5" spans="1:19" x14ac:dyDescent="0.25">
      <c r="A5" t="s">
        <v>283</v>
      </c>
      <c r="B5">
        <v>2.3460000000000001</v>
      </c>
      <c r="C5">
        <v>15.9</v>
      </c>
      <c r="D5">
        <v>0.49819999999999998</v>
      </c>
      <c r="E5">
        <v>3.6260000000000001E-2</v>
      </c>
      <c r="F5">
        <v>0.1429</v>
      </c>
      <c r="G5">
        <v>0.49320000000000003</v>
      </c>
      <c r="H5">
        <v>1.4200000000000001E-2</v>
      </c>
      <c r="I5">
        <v>5.781E-2</v>
      </c>
      <c r="J5">
        <v>0.74450000000000005</v>
      </c>
      <c r="K5">
        <v>0.21629999999999999</v>
      </c>
      <c r="L5">
        <v>3.101</v>
      </c>
      <c r="M5">
        <v>0.57450000000000001</v>
      </c>
      <c r="N5">
        <v>3.9070000000000001E-2</v>
      </c>
      <c r="O5">
        <v>0.1069</v>
      </c>
      <c r="P5">
        <v>0.59399999999999997</v>
      </c>
      <c r="Q5">
        <v>7.6160000000000004E-3</v>
      </c>
      <c r="R5">
        <v>7.67E-4</v>
      </c>
      <c r="S5">
        <v>1.0269999999999999</v>
      </c>
    </row>
    <row r="6" spans="1:19" x14ac:dyDescent="0.25">
      <c r="A6" t="s">
        <v>284</v>
      </c>
      <c r="B6">
        <v>2.2639999999999998</v>
      </c>
      <c r="C6">
        <v>13.08</v>
      </c>
      <c r="D6">
        <v>0.56000000000000005</v>
      </c>
      <c r="E6">
        <v>3.5520000000000003E-2</v>
      </c>
      <c r="F6">
        <v>0.1177</v>
      </c>
      <c r="G6">
        <v>0.60070000000000001</v>
      </c>
      <c r="H6">
        <v>1.278E-2</v>
      </c>
      <c r="I6">
        <v>4.8480000000000002E-2</v>
      </c>
      <c r="J6">
        <v>0.8609</v>
      </c>
      <c r="K6">
        <v>0.21790000000000001</v>
      </c>
      <c r="L6">
        <v>2.677</v>
      </c>
      <c r="M6">
        <v>0.72089999999999999</v>
      </c>
      <c r="N6">
        <v>3.7620000000000001E-2</v>
      </c>
      <c r="O6">
        <v>9.7509999999999999E-2</v>
      </c>
      <c r="P6">
        <v>0.78669999999999995</v>
      </c>
      <c r="Q6">
        <v>7.1419999999999999E-3</v>
      </c>
      <c r="R6">
        <v>3.0800000000000001E-4</v>
      </c>
      <c r="S6">
        <v>1.617</v>
      </c>
    </row>
    <row r="7" spans="1:19" x14ac:dyDescent="0.25">
      <c r="A7" t="s">
        <v>285</v>
      </c>
      <c r="B7">
        <v>2.6509999999999998</v>
      </c>
      <c r="C7">
        <v>16.559999999999999</v>
      </c>
      <c r="D7">
        <v>0.45850000000000002</v>
      </c>
      <c r="E7">
        <v>3.9940000000000003E-2</v>
      </c>
      <c r="F7">
        <v>0.14480000000000001</v>
      </c>
      <c r="G7">
        <v>0.42309999999999998</v>
      </c>
      <c r="H7">
        <v>1.6789999999999999E-2</v>
      </c>
      <c r="I7">
        <v>6.1240000000000003E-2</v>
      </c>
      <c r="J7">
        <v>0.73560000000000003</v>
      </c>
      <c r="K7">
        <v>2535</v>
      </c>
      <c r="L7">
        <v>2.74</v>
      </c>
      <c r="M7">
        <v>0.42970000000000003</v>
      </c>
      <c r="N7">
        <v>4.3610000000000003E-2</v>
      </c>
      <c r="O7">
        <v>0.1082</v>
      </c>
      <c r="P7">
        <v>0.54630000000000001</v>
      </c>
      <c r="Q7">
        <v>7.9150000000000002E-3</v>
      </c>
      <c r="R7">
        <v>8.8000000000000003E-4</v>
      </c>
      <c r="S7">
        <v>0.97899999999999998</v>
      </c>
    </row>
    <row r="8" spans="1:19" x14ac:dyDescent="0.25">
      <c r="A8" t="s">
        <v>286</v>
      </c>
      <c r="B8">
        <v>2.347</v>
      </c>
      <c r="C8">
        <v>12.67</v>
      </c>
      <c r="D8">
        <v>0.6149</v>
      </c>
      <c r="E8">
        <v>3.6159999999999998E-2</v>
      </c>
      <c r="F8">
        <v>9.7210000000000005E-2</v>
      </c>
      <c r="G8">
        <v>0.51859999999999995</v>
      </c>
      <c r="H8">
        <v>1.34E-2</v>
      </c>
      <c r="I8">
        <v>4.283E-2</v>
      </c>
      <c r="J8">
        <v>0.87960000000000005</v>
      </c>
      <c r="K8">
        <v>0.23230000000000001</v>
      </c>
      <c r="L8">
        <v>2.19</v>
      </c>
      <c r="M8">
        <v>0.65090000000000003</v>
      </c>
      <c r="N8">
        <v>3.9010000000000003E-2</v>
      </c>
      <c r="O8">
        <v>8.5879999999999998E-2</v>
      </c>
      <c r="P8">
        <v>0.80810000000000004</v>
      </c>
      <c r="Q8">
        <v>7.0889999999999998E-3</v>
      </c>
      <c r="R8">
        <v>4.7399999999999997E-4</v>
      </c>
      <c r="S8">
        <v>1.58</v>
      </c>
    </row>
    <row r="9" spans="1:19" x14ac:dyDescent="0.25">
      <c r="A9" t="s">
        <v>232</v>
      </c>
      <c r="B9">
        <v>2.2949999999999999</v>
      </c>
      <c r="C9">
        <v>13</v>
      </c>
      <c r="D9">
        <v>0.55730000000000002</v>
      </c>
      <c r="E9">
        <v>3.5490000000000001E-2</v>
      </c>
      <c r="F9">
        <v>0.1164</v>
      </c>
      <c r="G9">
        <v>0.57740000000000002</v>
      </c>
      <c r="H9">
        <v>1.2999999999999999E-2</v>
      </c>
      <c r="I9">
        <v>4.7780000000000003E-2</v>
      </c>
      <c r="J9">
        <v>0.84850000000000003</v>
      </c>
      <c r="K9">
        <v>0.21260000000000001</v>
      </c>
      <c r="L9">
        <v>2.5680000000000001</v>
      </c>
      <c r="M9">
        <v>0.67879999999999996</v>
      </c>
      <c r="N9">
        <v>3.7780000000000001E-2</v>
      </c>
      <c r="O9">
        <v>9.3649999999999997E-2</v>
      </c>
      <c r="P9">
        <v>0.74829999999999997</v>
      </c>
      <c r="Q9">
        <v>7.162E-3</v>
      </c>
      <c r="R9">
        <v>4.1100000000000002E-4</v>
      </c>
      <c r="S9">
        <v>1.5409999999999999</v>
      </c>
    </row>
    <row r="10" spans="1:19" x14ac:dyDescent="0.25">
      <c r="A10" t="s">
        <v>287</v>
      </c>
      <c r="B10">
        <v>2.2829999999999999</v>
      </c>
      <c r="C10">
        <v>10.74</v>
      </c>
      <c r="D10">
        <v>0.63700000000000001</v>
      </c>
      <c r="E10">
        <v>3.6220000000000002E-2</v>
      </c>
      <c r="F10">
        <v>7.7660000000000007E-2</v>
      </c>
      <c r="G10">
        <v>0.54039999999999999</v>
      </c>
      <c r="H10">
        <v>1.286E-2</v>
      </c>
      <c r="I10">
        <v>3.5049999999999998E-2</v>
      </c>
      <c r="J10">
        <v>0.93559999999999999</v>
      </c>
      <c r="K10">
        <v>0.25</v>
      </c>
      <c r="L10">
        <v>1.9890000000000001</v>
      </c>
      <c r="M10">
        <v>0.77210000000000001</v>
      </c>
      <c r="N10">
        <v>3.866E-2</v>
      </c>
      <c r="O10">
        <v>7.7210000000000001E-2</v>
      </c>
      <c r="P10">
        <v>0.98429999999999995</v>
      </c>
      <c r="Q10">
        <v>7.6499999999999997E-3</v>
      </c>
      <c r="R10">
        <v>-9.7999999999999997E-4</v>
      </c>
      <c r="S10">
        <v>8.0829999999999999E-2</v>
      </c>
    </row>
    <row r="11" spans="1:19" x14ac:dyDescent="0.25">
      <c r="A11" t="s">
        <v>288</v>
      </c>
      <c r="B11">
        <v>30.6</v>
      </c>
      <c r="C11">
        <v>177.6</v>
      </c>
      <c r="D11">
        <v>0.33079999999999998</v>
      </c>
      <c r="E11">
        <v>0.25769999999999998</v>
      </c>
      <c r="F11">
        <v>1.7649999999999999</v>
      </c>
      <c r="G11">
        <v>0.3644</v>
      </c>
      <c r="H11">
        <v>9.1480000000000006E-2</v>
      </c>
      <c r="I11">
        <v>0.70899999999999996</v>
      </c>
      <c r="J11">
        <v>0.34589999999999999</v>
      </c>
      <c r="K11">
        <v>5.9980000000000002</v>
      </c>
      <c r="L11">
        <v>42.91</v>
      </c>
      <c r="M11">
        <v>0.39269999999999999</v>
      </c>
      <c r="N11">
        <v>0.2467</v>
      </c>
      <c r="O11">
        <v>1.6539999999999999</v>
      </c>
      <c r="P11">
        <v>0.36940000000000001</v>
      </c>
      <c r="Q11">
        <v>1.9140000000000001E-2</v>
      </c>
      <c r="R11">
        <v>4.1660000000000003E-2</v>
      </c>
      <c r="S11">
        <v>0.2858</v>
      </c>
    </row>
    <row r="12" spans="1:19" x14ac:dyDescent="0.25">
      <c r="A12" t="s">
        <v>289</v>
      </c>
      <c r="B12">
        <v>2.3889999999999998</v>
      </c>
      <c r="C12">
        <v>14.26</v>
      </c>
      <c r="D12">
        <v>0.5948</v>
      </c>
      <c r="E12">
        <v>3.7170000000000002E-2</v>
      </c>
      <c r="F12">
        <v>0.1087</v>
      </c>
      <c r="G12">
        <v>0.4879</v>
      </c>
      <c r="H12">
        <v>1.409E-2</v>
      </c>
      <c r="I12">
        <v>4.8140000000000002E-2</v>
      </c>
      <c r="J12">
        <v>0.84189999999999998</v>
      </c>
      <c r="K12">
        <v>0.25330000000000003</v>
      </c>
      <c r="L12">
        <v>2.4609999999999999</v>
      </c>
      <c r="M12">
        <v>0.62429999999999997</v>
      </c>
      <c r="N12">
        <v>4.0250000000000001E-2</v>
      </c>
      <c r="O12">
        <v>9.4820000000000002E-2</v>
      </c>
      <c r="P12">
        <v>0.75229999999999997</v>
      </c>
      <c r="Q12">
        <v>7.3029999999999996E-3</v>
      </c>
      <c r="R12">
        <v>7.2199999999999999E-4</v>
      </c>
      <c r="S12">
        <v>1.204</v>
      </c>
    </row>
    <row r="13" spans="1:19" x14ac:dyDescent="0.25">
      <c r="A13" t="s">
        <v>290</v>
      </c>
      <c r="B13">
        <v>2.7280000000000002</v>
      </c>
      <c r="C13">
        <v>18.52</v>
      </c>
      <c r="D13">
        <v>0.46139999999999998</v>
      </c>
      <c r="E13">
        <v>4.292E-2</v>
      </c>
      <c r="F13">
        <v>0.15379999999999999</v>
      </c>
      <c r="G13">
        <v>0.42359999999999998</v>
      </c>
      <c r="H13">
        <v>1.7739999999999999E-2</v>
      </c>
      <c r="I13">
        <v>6.4490000000000006E-2</v>
      </c>
      <c r="J13">
        <v>0.71579999999999999</v>
      </c>
      <c r="K13">
        <v>0.36699999999999999</v>
      </c>
      <c r="L13">
        <v>3.26</v>
      </c>
      <c r="M13">
        <v>0.50360000000000005</v>
      </c>
      <c r="N13">
        <v>4.6420000000000003E-2</v>
      </c>
      <c r="O13">
        <v>0.1203</v>
      </c>
      <c r="P13">
        <v>0.57630000000000003</v>
      </c>
      <c r="Q13">
        <v>8.1030000000000008E-3</v>
      </c>
      <c r="R13">
        <v>8.4400000000000002E-4</v>
      </c>
      <c r="S13">
        <v>0.97540000000000004</v>
      </c>
    </row>
  </sheetData>
  <mergeCells count="7">
    <mergeCell ref="N3:P3"/>
    <mergeCell ref="Q3:S3"/>
    <mergeCell ref="A3:A4"/>
    <mergeCell ref="B3:D3"/>
    <mergeCell ref="E3:G3"/>
    <mergeCell ref="H3:J3"/>
    <mergeCell ref="K3:M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68"/>
  <sheetViews>
    <sheetView tabSelected="1" topLeftCell="A52" workbookViewId="0">
      <selection activeCell="B65" sqref="B65"/>
    </sheetView>
  </sheetViews>
  <sheetFormatPr defaultRowHeight="13.2" x14ac:dyDescent="0.25"/>
  <cols>
    <col min="1" max="1" width="27.33203125" customWidth="1"/>
    <col min="2" max="2" width="9.21875" bestFit="1" customWidth="1"/>
    <col min="5" max="5" width="10.21875" bestFit="1" customWidth="1"/>
    <col min="8" max="8" width="11" bestFit="1" customWidth="1"/>
  </cols>
  <sheetData>
    <row r="1" spans="1:19" x14ac:dyDescent="0.25">
      <c r="A1" s="255" t="s">
        <v>291</v>
      </c>
    </row>
    <row r="3" spans="1:19" x14ac:dyDescent="0.25">
      <c r="A3" s="287" t="s">
        <v>260</v>
      </c>
      <c r="B3" s="280" t="s">
        <v>94</v>
      </c>
      <c r="C3" s="280"/>
      <c r="D3" s="280"/>
      <c r="E3" s="280" t="s">
        <v>95</v>
      </c>
      <c r="F3" s="280"/>
      <c r="G3" s="280"/>
      <c r="H3" s="280" t="s">
        <v>52</v>
      </c>
      <c r="I3" s="280"/>
      <c r="J3" s="280"/>
      <c r="K3" s="280" t="s">
        <v>54</v>
      </c>
      <c r="L3" s="280"/>
      <c r="M3" s="280"/>
      <c r="N3" s="280" t="s">
        <v>96</v>
      </c>
      <c r="O3" s="280"/>
      <c r="P3" s="280"/>
      <c r="Q3" s="280" t="s">
        <v>58</v>
      </c>
      <c r="R3" s="280"/>
      <c r="S3" s="280"/>
    </row>
    <row r="4" spans="1:19" x14ac:dyDescent="0.25">
      <c r="A4" s="287"/>
      <c r="B4" s="258" t="s">
        <v>40</v>
      </c>
      <c r="C4" s="258" t="s">
        <v>41</v>
      </c>
      <c r="D4" s="258" t="s">
        <v>42</v>
      </c>
      <c r="E4" s="258" t="s">
        <v>40</v>
      </c>
      <c r="F4" s="258" t="s">
        <v>41</v>
      </c>
      <c r="G4" s="258" t="s">
        <v>42</v>
      </c>
      <c r="H4" s="258" t="s">
        <v>40</v>
      </c>
      <c r="I4" s="258" t="s">
        <v>41</v>
      </c>
      <c r="J4" s="258" t="s">
        <v>42</v>
      </c>
      <c r="K4" s="258" t="s">
        <v>40</v>
      </c>
      <c r="L4" s="258" t="s">
        <v>41</v>
      </c>
      <c r="M4" s="258" t="s">
        <v>42</v>
      </c>
      <c r="N4" s="258" t="s">
        <v>40</v>
      </c>
      <c r="O4" s="258" t="s">
        <v>41</v>
      </c>
      <c r="P4" s="258" t="s">
        <v>42</v>
      </c>
      <c r="Q4" s="258" t="s">
        <v>40</v>
      </c>
      <c r="R4" s="258" t="s">
        <v>41</v>
      </c>
      <c r="S4" s="258" t="s">
        <v>42</v>
      </c>
    </row>
    <row r="5" spans="1:19" x14ac:dyDescent="0.25">
      <c r="A5">
        <v>30</v>
      </c>
      <c r="B5">
        <v>38.79</v>
      </c>
      <c r="C5">
        <v>180</v>
      </c>
      <c r="D5">
        <v>0.35599999999999998</v>
      </c>
      <c r="E5">
        <v>0.31740000000000002</v>
      </c>
      <c r="F5">
        <v>1.724</v>
      </c>
      <c r="G5">
        <v>0.3705</v>
      </c>
      <c r="H5">
        <v>0.1198</v>
      </c>
      <c r="I5">
        <v>0.7137</v>
      </c>
      <c r="J5">
        <v>0.37030000000000002</v>
      </c>
      <c r="K5">
        <v>7.4080000000000004</v>
      </c>
      <c r="L5">
        <v>42.49</v>
      </c>
      <c r="M5">
        <v>0.40610000000000002</v>
      </c>
      <c r="N5">
        <v>0.30599999999999999</v>
      </c>
      <c r="O5">
        <v>1.62</v>
      </c>
      <c r="P5">
        <v>0.37930000000000003</v>
      </c>
      <c r="Q5">
        <v>2.1579999999999998E-2</v>
      </c>
      <c r="R5">
        <v>3.9710000000000002E-2</v>
      </c>
      <c r="S5">
        <v>0.28520000000000001</v>
      </c>
    </row>
    <row r="6" spans="1:19" x14ac:dyDescent="0.25">
      <c r="A6">
        <v>50</v>
      </c>
      <c r="B6">
        <v>8.8010000000000002</v>
      </c>
      <c r="C6">
        <v>27.28</v>
      </c>
      <c r="D6">
        <v>0.29570000000000002</v>
      </c>
      <c r="E6">
        <v>9.0300000000000005E-2</v>
      </c>
      <c r="F6">
        <v>0.17119999999999999</v>
      </c>
      <c r="G6">
        <v>0.2324</v>
      </c>
      <c r="H6">
        <v>3.8800000000000001E-2</v>
      </c>
      <c r="I6">
        <v>8.7300000000000003E-2</v>
      </c>
      <c r="J6">
        <v>0.51049999999999995</v>
      </c>
      <c r="K6">
        <v>1.8169999999999999</v>
      </c>
      <c r="L6">
        <v>4.84</v>
      </c>
      <c r="M6">
        <v>0.40210000000000001</v>
      </c>
      <c r="N6">
        <v>9.7210000000000005E-2</v>
      </c>
      <c r="O6">
        <v>0.1799</v>
      </c>
      <c r="P6">
        <v>0.49120000000000003</v>
      </c>
      <c r="Q6">
        <v>1.076E-2</v>
      </c>
      <c r="R6">
        <v>1.8619999999999999E-3</v>
      </c>
      <c r="S6">
        <v>1.17</v>
      </c>
    </row>
    <row r="7" spans="1:19" x14ac:dyDescent="0.25">
      <c r="A7">
        <v>70</v>
      </c>
      <c r="B7">
        <v>5.3689999999999998</v>
      </c>
      <c r="C7">
        <v>23.49</v>
      </c>
      <c r="D7">
        <v>0.58830000000000005</v>
      </c>
      <c r="E7">
        <v>5.0900000000000001E-2</v>
      </c>
      <c r="F7">
        <v>0.16969999999999999</v>
      </c>
      <c r="G7">
        <v>0.38490000000000002</v>
      </c>
      <c r="H7">
        <v>2.3E-2</v>
      </c>
      <c r="I7">
        <v>7.1599999999999997E-2</v>
      </c>
      <c r="J7">
        <v>0.73</v>
      </c>
      <c r="K7">
        <v>0.71489999999999998</v>
      </c>
      <c r="L7">
        <v>3.7890000000000001</v>
      </c>
      <c r="M7">
        <v>0.53810000000000002</v>
      </c>
      <c r="N7">
        <v>5.7910000000000003E-2</v>
      </c>
      <c r="O7">
        <v>0.13569999999999999</v>
      </c>
      <c r="P7">
        <v>0.5968</v>
      </c>
      <c r="Q7">
        <v>8.5500000000000003E-3</v>
      </c>
      <c r="R7">
        <v>5.3899999999999998E-4</v>
      </c>
      <c r="S7">
        <v>1.194</v>
      </c>
    </row>
    <row r="8" spans="1:19" x14ac:dyDescent="0.25">
      <c r="A8">
        <v>100</v>
      </c>
      <c r="B8">
        <v>2.5070000000000001</v>
      </c>
      <c r="C8">
        <v>15.33</v>
      </c>
      <c r="D8">
        <v>0.91239999999999999</v>
      </c>
      <c r="E8">
        <v>3.95E-2</v>
      </c>
      <c r="F8">
        <v>8.4400000000000003E-2</v>
      </c>
      <c r="G8">
        <v>0.51910000000000001</v>
      </c>
      <c r="H8">
        <v>1.47E-2</v>
      </c>
      <c r="I8">
        <v>0.04</v>
      </c>
      <c r="J8">
        <v>0.97519999999999996</v>
      </c>
      <c r="K8">
        <v>0.34239999999999998</v>
      </c>
      <c r="L8">
        <v>2.456</v>
      </c>
      <c r="M8">
        <v>0.93879999999999997</v>
      </c>
      <c r="N8">
        <v>4.2790000000000002E-2</v>
      </c>
      <c r="O8">
        <v>8.9480000000000004E-2</v>
      </c>
      <c r="P8">
        <v>1.0289999999999999</v>
      </c>
      <c r="Q8">
        <v>7.2300000000000003E-3</v>
      </c>
      <c r="R8">
        <v>8.9400000000000005E-4</v>
      </c>
      <c r="S8">
        <v>1.3160000000000001</v>
      </c>
    </row>
    <row r="9" spans="1:19" x14ac:dyDescent="0.25">
      <c r="A9">
        <v>125</v>
      </c>
      <c r="B9">
        <v>2.2330000000000001</v>
      </c>
      <c r="C9">
        <v>7.8879999999999999</v>
      </c>
      <c r="D9">
        <v>0.72950000000000004</v>
      </c>
      <c r="E9">
        <v>3.5099999999999999E-2</v>
      </c>
      <c r="F9">
        <v>6.6000000000000003E-2</v>
      </c>
      <c r="G9">
        <v>0.78320000000000001</v>
      </c>
      <c r="H9">
        <v>1.2E-2</v>
      </c>
      <c r="I9">
        <v>2.6700000000000002E-2</v>
      </c>
      <c r="J9">
        <v>10.79</v>
      </c>
      <c r="K9">
        <v>0.21379999999999999</v>
      </c>
      <c r="L9">
        <v>1.69</v>
      </c>
      <c r="M9">
        <v>1.0860000000000001</v>
      </c>
      <c r="N9">
        <v>3.6540000000000003E-2</v>
      </c>
      <c r="O9">
        <v>5.79E-2</v>
      </c>
      <c r="P9">
        <v>1.093</v>
      </c>
      <c r="Q9">
        <v>6.587E-3</v>
      </c>
      <c r="R9">
        <v>-1.14E-3</v>
      </c>
      <c r="S9">
        <v>1.1719999999999999</v>
      </c>
    </row>
    <row r="10" spans="1:19" x14ac:dyDescent="0.25">
      <c r="A10">
        <v>150</v>
      </c>
      <c r="B10">
        <v>1.7909999999999999</v>
      </c>
      <c r="C10">
        <v>5.4779999999999998</v>
      </c>
      <c r="D10">
        <v>0.56779999999999997</v>
      </c>
      <c r="E10">
        <v>3.2399999999999998E-2</v>
      </c>
      <c r="F10">
        <v>7.7499999999999999E-2</v>
      </c>
      <c r="G10">
        <v>1.5660000000000001</v>
      </c>
      <c r="H10">
        <v>1.04E-2</v>
      </c>
      <c r="I10">
        <v>2.0199999999999999E-2</v>
      </c>
      <c r="J10">
        <v>1.135</v>
      </c>
      <c r="K10">
        <v>0.15110000000000001</v>
      </c>
      <c r="L10">
        <v>1.1240000000000001</v>
      </c>
      <c r="M10">
        <v>1.151</v>
      </c>
      <c r="N10">
        <v>3.2669999999999998E-2</v>
      </c>
      <c r="O10">
        <v>4.0739999999999998E-2</v>
      </c>
      <c r="P10">
        <v>1.1339999999999999</v>
      </c>
      <c r="Q10">
        <v>6.0270000000000002E-3</v>
      </c>
      <c r="R10">
        <v>-1.6299999999999999E-3</v>
      </c>
      <c r="S10">
        <v>1.44</v>
      </c>
    </row>
    <row r="11" spans="1:19" x14ac:dyDescent="0.25">
      <c r="A11" t="s">
        <v>283</v>
      </c>
      <c r="B11">
        <v>2.298</v>
      </c>
      <c r="C11">
        <v>17.38</v>
      </c>
      <c r="D11">
        <v>0.61929999999999996</v>
      </c>
      <c r="E11">
        <v>3.61E-2</v>
      </c>
      <c r="F11">
        <v>0.14330000000000001</v>
      </c>
      <c r="G11">
        <v>0.56000000000000005</v>
      </c>
      <c r="H11">
        <v>1.38E-2</v>
      </c>
      <c r="I11">
        <v>5.7000000000000002E-2</v>
      </c>
      <c r="J11">
        <v>0.79369999999999996</v>
      </c>
      <c r="K11">
        <v>0.21909999999999999</v>
      </c>
      <c r="L11">
        <v>3.49</v>
      </c>
      <c r="M11">
        <v>0.73580000000000001</v>
      </c>
      <c r="N11">
        <v>3.8730000000000001E-2</v>
      </c>
      <c r="O11">
        <v>0.10539999999999999</v>
      </c>
      <c r="P11">
        <v>0.63970000000000005</v>
      </c>
      <c r="Q11">
        <v>7.5519999999999997E-3</v>
      </c>
      <c r="R11">
        <v>7.3700000000000002E-4</v>
      </c>
      <c r="S11">
        <v>1.044</v>
      </c>
    </row>
    <row r="12" spans="1:19" x14ac:dyDescent="0.25">
      <c r="A12" t="s">
        <v>284</v>
      </c>
      <c r="B12">
        <v>2.2559999999999998</v>
      </c>
      <c r="C12">
        <v>13.8</v>
      </c>
      <c r="D12">
        <v>0.88370000000000004</v>
      </c>
      <c r="E12">
        <v>3.56E-2</v>
      </c>
      <c r="F12">
        <v>0.1079</v>
      </c>
      <c r="G12">
        <v>0.77049999999999996</v>
      </c>
      <c r="H12">
        <v>1.2699999999999999E-2</v>
      </c>
      <c r="I12">
        <v>4.4499999999999998E-2</v>
      </c>
      <c r="J12">
        <v>1.0489999999999999</v>
      </c>
      <c r="K12">
        <v>0.22109999999999999</v>
      </c>
      <c r="L12">
        <v>2.8359999999999999</v>
      </c>
      <c r="M12">
        <v>1.123</v>
      </c>
      <c r="N12">
        <v>3.7490000000000002E-2</v>
      </c>
      <c r="O12">
        <v>8.7099999999999997E-2</v>
      </c>
      <c r="P12">
        <v>0.90859999999999996</v>
      </c>
      <c r="Q12">
        <v>7.058E-3</v>
      </c>
      <c r="R12">
        <v>2.2900000000000001E-4</v>
      </c>
      <c r="S12">
        <v>1.875</v>
      </c>
    </row>
    <row r="13" spans="1:19" x14ac:dyDescent="0.25">
      <c r="A13" t="s">
        <v>285</v>
      </c>
      <c r="B13">
        <v>2.5129999999999999</v>
      </c>
      <c r="C13">
        <v>17.34</v>
      </c>
      <c r="D13">
        <v>0.49940000000000001</v>
      </c>
      <c r="E13">
        <v>3.9199999999999999E-2</v>
      </c>
      <c r="F13">
        <v>0.1464</v>
      </c>
      <c r="G13">
        <v>0.4486</v>
      </c>
      <c r="H13">
        <v>1.6400000000000001E-2</v>
      </c>
      <c r="I13">
        <v>6.08E-2</v>
      </c>
      <c r="J13">
        <v>0.74719999999999998</v>
      </c>
      <c r="K13">
        <v>0.24399999999999999</v>
      </c>
      <c r="L13">
        <v>3.012</v>
      </c>
      <c r="M13">
        <v>0.50190000000000001</v>
      </c>
      <c r="N13">
        <v>4.299E-2</v>
      </c>
      <c r="O13">
        <v>0.107</v>
      </c>
      <c r="P13">
        <v>0.55379999999999996</v>
      </c>
      <c r="Q13">
        <v>7.8869999999999999E-3</v>
      </c>
      <c r="R13">
        <v>8.7699999999999996E-4</v>
      </c>
      <c r="S13">
        <v>0.98</v>
      </c>
    </row>
    <row r="14" spans="1:19" x14ac:dyDescent="0.25">
      <c r="A14" t="s">
        <v>286</v>
      </c>
      <c r="B14">
        <v>2.3220000000000001</v>
      </c>
      <c r="C14">
        <v>12.91</v>
      </c>
      <c r="D14">
        <v>0.75749999999999995</v>
      </c>
      <c r="E14">
        <v>3.6299999999999999E-2</v>
      </c>
      <c r="F14">
        <v>9.3600000000000003E-2</v>
      </c>
      <c r="G14">
        <v>0.59550000000000003</v>
      </c>
      <c r="H14">
        <v>1.3299999999999999E-2</v>
      </c>
      <c r="I14">
        <v>4.1000000000000002E-2</v>
      </c>
      <c r="J14">
        <v>0.95660000000000001</v>
      </c>
      <c r="K14">
        <v>0.2331</v>
      </c>
      <c r="L14">
        <v>2.2130000000000001</v>
      </c>
      <c r="M14">
        <v>0.80510000000000004</v>
      </c>
      <c r="N14">
        <v>3.8859999999999999E-2</v>
      </c>
      <c r="O14">
        <v>8.0909999999999996E-2</v>
      </c>
      <c r="P14">
        <v>0.85199999999999998</v>
      </c>
      <c r="Q14">
        <v>7.0569999999999999E-3</v>
      </c>
      <c r="R14">
        <v>4.2200000000000001E-4</v>
      </c>
      <c r="S14">
        <v>1.6639999999999999</v>
      </c>
    </row>
    <row r="15" spans="1:19" x14ac:dyDescent="0.25">
      <c r="A15" t="s">
        <v>232</v>
      </c>
      <c r="B15">
        <v>2.2719999999999998</v>
      </c>
      <c r="C15">
        <v>13.6</v>
      </c>
      <c r="D15">
        <v>0.71840000000000004</v>
      </c>
      <c r="E15">
        <v>3.56E-2</v>
      </c>
      <c r="F15">
        <v>0.1114</v>
      </c>
      <c r="G15">
        <v>0.66200000000000003</v>
      </c>
      <c r="H15">
        <v>1.29E-2</v>
      </c>
      <c r="I15">
        <v>4.5699999999999998E-2</v>
      </c>
      <c r="J15">
        <v>0.9355</v>
      </c>
      <c r="K15">
        <v>0.21490000000000001</v>
      </c>
      <c r="L15">
        <v>2.6949999999999998</v>
      </c>
      <c r="M15">
        <v>0.87680000000000002</v>
      </c>
      <c r="N15">
        <v>3.7620000000000001E-2</v>
      </c>
      <c r="O15">
        <v>8.8569999999999996E-2</v>
      </c>
      <c r="P15">
        <v>0.80869999999999997</v>
      </c>
      <c r="Q15">
        <v>7.1019999999999998E-3</v>
      </c>
      <c r="R15">
        <v>3.4499999999999998E-4</v>
      </c>
      <c r="S15">
        <v>1.698</v>
      </c>
    </row>
    <row r="16" spans="1:19" x14ac:dyDescent="0.25">
      <c r="A16" t="s">
        <v>287</v>
      </c>
      <c r="B16">
        <v>2.2879999999999998</v>
      </c>
      <c r="C16">
        <v>9.8480000000000008</v>
      </c>
      <c r="D16">
        <v>1.054</v>
      </c>
      <c r="E16">
        <v>3.6400000000000002E-2</v>
      </c>
      <c r="F16">
        <v>6.59E-2</v>
      </c>
      <c r="G16">
        <v>0.75429999999999997</v>
      </c>
      <c r="H16">
        <v>1.2999999999999999E-2</v>
      </c>
      <c r="I16">
        <v>2.9700000000000001E-2</v>
      </c>
      <c r="J16">
        <v>1.1950000000000001</v>
      </c>
      <c r="K16">
        <v>0.25180000000000002</v>
      </c>
      <c r="L16">
        <v>1.829</v>
      </c>
      <c r="M16">
        <v>1.2729999999999999</v>
      </c>
      <c r="N16">
        <v>3.866E-2</v>
      </c>
      <c r="O16">
        <v>6.2700000000000006E-2</v>
      </c>
      <c r="P16">
        <v>1.1279999999999999</v>
      </c>
      <c r="Q16">
        <v>7.4850000000000003E-3</v>
      </c>
      <c r="R16">
        <v>-8.0999999999999996E-4</v>
      </c>
      <c r="S16">
        <v>9.4589999999999994E-2</v>
      </c>
    </row>
    <row r="17" spans="1:19" x14ac:dyDescent="0.25">
      <c r="A17" t="s">
        <v>288</v>
      </c>
      <c r="B17">
        <v>29.91</v>
      </c>
      <c r="C17">
        <v>184.4</v>
      </c>
      <c r="D17">
        <v>0.35499999999999998</v>
      </c>
      <c r="E17">
        <v>0.25390000000000001</v>
      </c>
      <c r="F17">
        <v>1.8411</v>
      </c>
      <c r="G17">
        <v>0.39240000000000003</v>
      </c>
      <c r="H17">
        <v>8.8300000000000003E-2</v>
      </c>
      <c r="I17">
        <v>0.75260000000000005</v>
      </c>
      <c r="J17">
        <v>0.37859999999999999</v>
      </c>
      <c r="K17">
        <v>5.7889999999999997</v>
      </c>
      <c r="L17">
        <v>44.12</v>
      </c>
      <c r="M17">
        <v>0.41239999999999999</v>
      </c>
      <c r="N17">
        <v>0.2404</v>
      </c>
      <c r="O17">
        <v>1.7090000000000001</v>
      </c>
      <c r="P17">
        <v>0.39179999999999998</v>
      </c>
      <c r="Q17">
        <v>1.8880000000000001E-2</v>
      </c>
      <c r="R17">
        <v>4.172E-2</v>
      </c>
      <c r="S17">
        <v>0.2903</v>
      </c>
    </row>
    <row r="18" spans="1:19" x14ac:dyDescent="0.25">
      <c r="A18" t="s">
        <v>289</v>
      </c>
      <c r="B18">
        <v>2.3540000000000001</v>
      </c>
      <c r="C18">
        <v>14.94</v>
      </c>
      <c r="D18">
        <v>0.74809999999999999</v>
      </c>
      <c r="E18">
        <v>3.7100000000000001E-2</v>
      </c>
      <c r="F18">
        <v>0.1067</v>
      </c>
      <c r="G18">
        <v>0.57330000000000003</v>
      </c>
      <c r="H18">
        <v>1.3899999999999999E-2</v>
      </c>
      <c r="I18">
        <v>4.6399999999999997E-2</v>
      </c>
      <c r="J18">
        <v>0.91849999999999998</v>
      </c>
      <c r="K18">
        <v>0.253</v>
      </c>
      <c r="L18">
        <v>2.5920000000000001</v>
      </c>
      <c r="M18">
        <v>0.79990000000000006</v>
      </c>
      <c r="N18">
        <v>4.0009999999999997E-2</v>
      </c>
      <c r="O18">
        <v>9.0300000000000005E-2</v>
      </c>
      <c r="P18">
        <v>0.80189999999999995</v>
      </c>
      <c r="Q18">
        <v>7.2659999999999999E-3</v>
      </c>
      <c r="R18">
        <v>6.7400000000000001E-4</v>
      </c>
      <c r="S18">
        <v>1.2335</v>
      </c>
    </row>
    <row r="19" spans="1:19" x14ac:dyDescent="0.25">
      <c r="A19" t="s">
        <v>290</v>
      </c>
      <c r="B19">
        <v>2.661</v>
      </c>
      <c r="C19">
        <v>19.54</v>
      </c>
      <c r="D19">
        <v>0.50939999999999996</v>
      </c>
      <c r="E19">
        <v>4.2189999999999998E-2</v>
      </c>
      <c r="F19">
        <v>0.15590000000000001</v>
      </c>
      <c r="G19">
        <v>0.44719999999999999</v>
      </c>
      <c r="H19">
        <v>1.7469999999999999E-2</v>
      </c>
      <c r="I19">
        <v>6.4219999999999999E-2</v>
      </c>
      <c r="J19">
        <v>0.72989999999999999</v>
      </c>
      <c r="K19">
        <v>0.3579</v>
      </c>
      <c r="L19">
        <v>3.4660000000000002</v>
      </c>
      <c r="M19">
        <v>0.56000000000000005</v>
      </c>
      <c r="N19">
        <v>4.6120000000000001E-2</v>
      </c>
      <c r="O19">
        <v>0.1198</v>
      </c>
      <c r="P19">
        <v>0.5907</v>
      </c>
      <c r="Q19">
        <v>8.0789999999999994E-3</v>
      </c>
      <c r="R19">
        <v>8.4699999999999999E-4</v>
      </c>
      <c r="S19">
        <v>0.97419999999999995</v>
      </c>
    </row>
    <row r="56" spans="2:10" x14ac:dyDescent="0.25">
      <c r="B56" t="s">
        <v>327</v>
      </c>
      <c r="E56" t="s">
        <v>328</v>
      </c>
      <c r="H56" t="s">
        <v>329</v>
      </c>
    </row>
    <row r="57" spans="2:10" x14ac:dyDescent="0.25">
      <c r="B57" cm="1">
        <f t="array" ref="B57:D61">LINEST(B8:B10,A8:A10^{1,2},TRUE,TRUE)</f>
        <v>-1.3440000000000045E-4</v>
      </c>
      <c r="C57">
        <v>1.9280000000000116E-2</v>
      </c>
      <c r="D57">
        <v>1.9229999999999929</v>
      </c>
      <c r="E57" cm="1">
        <f t="array" ref="E57:G61">LINEST(C8:C10,A8:A10^{1,2},TRUE,TRUE)</f>
        <v>4.0256000000000215E-3</v>
      </c>
      <c r="F57">
        <v>-1.2034400000000061</v>
      </c>
      <c r="G57">
        <v>95.418000000000418</v>
      </c>
      <c r="H57" cm="1">
        <f t="array" ref="H57:J61">LINEST(D8:D10,A8:A10^{1,2},TRUE,TRUE)</f>
        <v>1.6960000000000004E-5</v>
      </c>
      <c r="I57">
        <v>-1.1132000000000005E-2</v>
      </c>
      <c r="J57">
        <v>1.8560000000000005</v>
      </c>
    </row>
    <row r="58" spans="2:10" x14ac:dyDescent="0.2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2:10" x14ac:dyDescent="0.25">
      <c r="B59">
        <v>1</v>
      </c>
      <c r="C59">
        <v>0</v>
      </c>
      <c r="D59" t="e">
        <v>#N/A</v>
      </c>
      <c r="E59">
        <v>1</v>
      </c>
      <c r="F59">
        <v>0</v>
      </c>
      <c r="G59" t="e">
        <v>#N/A</v>
      </c>
      <c r="H59">
        <v>1</v>
      </c>
      <c r="I59">
        <v>0</v>
      </c>
      <c r="J59" t="e">
        <v>#N/A</v>
      </c>
    </row>
    <row r="60" spans="2:10" x14ac:dyDescent="0.25">
      <c r="B60" t="e">
        <v>#NUM!</v>
      </c>
      <c r="C60">
        <v>0</v>
      </c>
      <c r="D60" t="e">
        <v>#N/A</v>
      </c>
      <c r="E60" t="e">
        <v>#NUM!</v>
      </c>
      <c r="F60">
        <v>0</v>
      </c>
      <c r="G60" t="e">
        <v>#N/A</v>
      </c>
      <c r="H60" t="e">
        <v>#NUM!</v>
      </c>
      <c r="I60">
        <v>0</v>
      </c>
      <c r="J60" t="e">
        <v>#N/A</v>
      </c>
    </row>
    <row r="61" spans="2:10" x14ac:dyDescent="0.25">
      <c r="B61">
        <v>0.26103200000000015</v>
      </c>
      <c r="C61">
        <v>0</v>
      </c>
      <c r="D61" t="e">
        <v>#N/A</v>
      </c>
      <c r="E61">
        <v>52.751122666666667</v>
      </c>
      <c r="F61">
        <v>0</v>
      </c>
      <c r="G61" t="e">
        <v>#N/A</v>
      </c>
      <c r="H61">
        <v>5.9449486666666669E-2</v>
      </c>
      <c r="I61">
        <v>0</v>
      </c>
      <c r="J61" t="e">
        <v>#N/A</v>
      </c>
    </row>
    <row r="63" spans="2:10" x14ac:dyDescent="0.25">
      <c r="B63" t="s">
        <v>330</v>
      </c>
      <c r="E63" t="s">
        <v>331</v>
      </c>
      <c r="H63" t="s">
        <v>332</v>
      </c>
    </row>
    <row r="64" spans="2:10" x14ac:dyDescent="0.25">
      <c r="B64" cm="1">
        <f t="array" ref="B64:D68">LINEST(E8:E10,A8:A10^{1,2},TRUE,TRUE)</f>
        <v>1.3600000000000075E-6</v>
      </c>
      <c r="C64">
        <v>-4.8200000000000212E-4</v>
      </c>
      <c r="D64">
        <v>7.4100000000000138E-2</v>
      </c>
      <c r="E64" cm="1">
        <f t="array" ref="E64:G68">LINEST(F8:F10,A8:A10^{1,2},TRUE,TRUE)</f>
        <v>2.39200000000001E-5</v>
      </c>
      <c r="F64">
        <v>-6.1180000000000279E-3</v>
      </c>
      <c r="G64">
        <v>0.45700000000000185</v>
      </c>
      <c r="H64" cm="1">
        <f t="array" ref="H64:J68">LINEST(G8:G10,A8:A10^{1,2},TRUE,TRUE)</f>
        <v>4.1496000000000149E-4</v>
      </c>
      <c r="I64">
        <v>-8.2802000000000431E-2</v>
      </c>
      <c r="J64">
        <v>4.6497000000000295</v>
      </c>
    </row>
    <row r="65" spans="2:10" x14ac:dyDescent="0.2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2:10" x14ac:dyDescent="0.25">
      <c r="B66">
        <v>1</v>
      </c>
      <c r="C66">
        <v>0</v>
      </c>
      <c r="D66" t="e">
        <v>#N/A</v>
      </c>
      <c r="E66">
        <v>1</v>
      </c>
      <c r="F66">
        <v>0</v>
      </c>
      <c r="G66" t="e">
        <v>#N/A</v>
      </c>
      <c r="H66">
        <v>1</v>
      </c>
      <c r="I66">
        <v>0</v>
      </c>
      <c r="J66" t="e">
        <v>#N/A</v>
      </c>
    </row>
    <row r="67" spans="2:10" x14ac:dyDescent="0.25">
      <c r="B67" t="e">
        <v>#NUM!</v>
      </c>
      <c r="C67">
        <v>0</v>
      </c>
      <c r="D67" t="e">
        <v>#N/A</v>
      </c>
      <c r="E67" t="e">
        <v>#NUM!</v>
      </c>
      <c r="F67">
        <v>0</v>
      </c>
      <c r="G67" t="e">
        <v>#N/A</v>
      </c>
      <c r="H67" t="e">
        <v>#NUM!</v>
      </c>
      <c r="I67">
        <v>0</v>
      </c>
      <c r="J67" t="e">
        <v>#N/A</v>
      </c>
    </row>
    <row r="68" spans="2:10" x14ac:dyDescent="0.25">
      <c r="B68">
        <v>2.5686666666666683E-5</v>
      </c>
      <c r="C68">
        <v>0</v>
      </c>
      <c r="D68" t="e">
        <v>#N/A</v>
      </c>
      <c r="E68">
        <v>1.7280666666666665E-4</v>
      </c>
      <c r="F68">
        <v>0</v>
      </c>
      <c r="G68" t="e">
        <v>#N/A</v>
      </c>
      <c r="H68">
        <v>0.59284142000000006</v>
      </c>
      <c r="I68">
        <v>0</v>
      </c>
      <c r="J68" t="e">
        <v>#N/A</v>
      </c>
    </row>
  </sheetData>
  <mergeCells count="7">
    <mergeCell ref="N3:P3"/>
    <mergeCell ref="Q3:S3"/>
    <mergeCell ref="A3:A4"/>
    <mergeCell ref="B3:D3"/>
    <mergeCell ref="E3:G3"/>
    <mergeCell ref="H3:J3"/>
    <mergeCell ref="K3:M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39"/>
  <sheetViews>
    <sheetView topLeftCell="A25" workbookViewId="0">
      <selection activeCell="A39" sqref="A39:B39"/>
    </sheetView>
  </sheetViews>
  <sheetFormatPr defaultRowHeight="13.2" x14ac:dyDescent="0.25"/>
  <sheetData>
    <row r="1" spans="1:19" x14ac:dyDescent="0.25">
      <c r="A1" s="255" t="s">
        <v>302</v>
      </c>
    </row>
    <row r="2" spans="1:19" x14ac:dyDescent="0.25">
      <c r="A2" s="267" t="s">
        <v>300</v>
      </c>
      <c r="B2" s="280" t="s">
        <v>94</v>
      </c>
      <c r="C2" s="280"/>
      <c r="D2" s="280"/>
      <c r="E2" s="280" t="s">
        <v>95</v>
      </c>
      <c r="F2" s="280"/>
      <c r="G2" s="280"/>
      <c r="H2" s="280" t="s">
        <v>52</v>
      </c>
      <c r="I2" s="280"/>
      <c r="J2" s="280"/>
      <c r="K2" s="280" t="s">
        <v>54</v>
      </c>
      <c r="L2" s="280"/>
      <c r="M2" s="280"/>
      <c r="N2" s="280" t="s">
        <v>96</v>
      </c>
      <c r="O2" s="280"/>
      <c r="P2" s="280"/>
      <c r="Q2" s="280" t="s">
        <v>58</v>
      </c>
      <c r="R2" s="280"/>
      <c r="S2" s="280"/>
    </row>
    <row r="3" spans="1:19" x14ac:dyDescent="0.25">
      <c r="A3" t="s">
        <v>37</v>
      </c>
      <c r="B3" s="258" t="s">
        <v>40</v>
      </c>
      <c r="C3" s="258" t="s">
        <v>41</v>
      </c>
      <c r="D3" s="258" t="s">
        <v>42</v>
      </c>
      <c r="E3" s="258" t="s">
        <v>40</v>
      </c>
      <c r="F3" s="258" t="s">
        <v>41</v>
      </c>
      <c r="G3" s="258" t="s">
        <v>42</v>
      </c>
      <c r="H3" s="258" t="s">
        <v>40</v>
      </c>
      <c r="I3" s="258" t="s">
        <v>41</v>
      </c>
      <c r="J3" s="258" t="s">
        <v>42</v>
      </c>
      <c r="K3" s="258" t="s">
        <v>40</v>
      </c>
      <c r="L3" s="258" t="s">
        <v>41</v>
      </c>
      <c r="M3" s="258" t="s">
        <v>42</v>
      </c>
      <c r="N3" s="258" t="s">
        <v>40</v>
      </c>
      <c r="O3" s="258" t="s">
        <v>41</v>
      </c>
      <c r="P3" s="258" t="s">
        <v>42</v>
      </c>
      <c r="Q3" s="258" t="s">
        <v>40</v>
      </c>
      <c r="R3" s="258" t="s">
        <v>41</v>
      </c>
      <c r="S3" s="258" t="s">
        <v>42</v>
      </c>
    </row>
    <row r="4" spans="1:19" x14ac:dyDescent="0.25">
      <c r="A4">
        <v>25</v>
      </c>
      <c r="B4">
        <v>67</v>
      </c>
      <c r="C4">
        <v>21.26</v>
      </c>
      <c r="D4">
        <v>0.2288</v>
      </c>
      <c r="E4">
        <v>0.42880000000000001</v>
      </c>
      <c r="F4">
        <v>0.55259999999999998</v>
      </c>
      <c r="G4">
        <v>0.43590000000000001</v>
      </c>
      <c r="H4">
        <v>0.21740000000000001</v>
      </c>
      <c r="I4">
        <v>0.27739999999999998</v>
      </c>
      <c r="J4">
        <v>0.37069999999999997</v>
      </c>
      <c r="K4">
        <v>11.15</v>
      </c>
      <c r="L4">
        <v>7.133</v>
      </c>
      <c r="M4">
        <v>0.18840000000000001</v>
      </c>
      <c r="N4">
        <v>0.48120000000000002</v>
      </c>
      <c r="O4">
        <v>0.60099999999999998</v>
      </c>
      <c r="P4">
        <v>0.47199999999999998</v>
      </c>
      <c r="Q4">
        <v>2.2009999999999998E-2</v>
      </c>
      <c r="R4">
        <v>1.0109999999999999E-2</v>
      </c>
      <c r="S4">
        <v>0.30830000000000002</v>
      </c>
    </row>
    <row r="5" spans="1:19" x14ac:dyDescent="0.25">
      <c r="A5">
        <v>30</v>
      </c>
      <c r="B5">
        <v>46.95</v>
      </c>
      <c r="C5">
        <v>33.729999999999997</v>
      </c>
      <c r="D5">
        <v>0.1923</v>
      </c>
      <c r="E5">
        <v>0.28910000000000002</v>
      </c>
      <c r="F5">
        <v>0.4375</v>
      </c>
      <c r="G5">
        <v>0.2742</v>
      </c>
      <c r="H5">
        <v>0.1384</v>
      </c>
      <c r="I5">
        <v>0.2394</v>
      </c>
      <c r="J5">
        <v>0.2387</v>
      </c>
      <c r="K5">
        <v>8.2949999999999999</v>
      </c>
      <c r="L5">
        <v>8.6549999999999994</v>
      </c>
      <c r="M5">
        <v>0.25269999999999998</v>
      </c>
      <c r="N5">
        <v>0.31969999999999998</v>
      </c>
      <c r="O5">
        <v>0.50009999999999999</v>
      </c>
      <c r="P5">
        <v>0.2888</v>
      </c>
      <c r="Q5">
        <v>1.7559999999999999E-2</v>
      </c>
      <c r="R5">
        <v>8.7860000000000004E-3</v>
      </c>
      <c r="S5">
        <v>0.1797</v>
      </c>
    </row>
    <row r="6" spans="1:19" x14ac:dyDescent="0.25">
      <c r="A6">
        <v>35</v>
      </c>
      <c r="B6">
        <v>28.41</v>
      </c>
      <c r="C6">
        <v>62.94</v>
      </c>
      <c r="D6">
        <v>0.3201</v>
      </c>
      <c r="E6">
        <v>0.15409999999999999</v>
      </c>
      <c r="F6">
        <v>0.59740000000000004</v>
      </c>
      <c r="G6">
        <v>0.309</v>
      </c>
      <c r="H6">
        <v>6.5570000000000003E-2</v>
      </c>
      <c r="I6">
        <v>0.30309999999999998</v>
      </c>
      <c r="J6">
        <v>0.25929999999999997</v>
      </c>
      <c r="K6">
        <v>5.4020000000000001</v>
      </c>
      <c r="L6">
        <v>16.809999999999999</v>
      </c>
      <c r="M6">
        <v>0.50860000000000005</v>
      </c>
      <c r="N6">
        <v>0.15140000000000001</v>
      </c>
      <c r="O6">
        <v>0.63429999999999997</v>
      </c>
      <c r="P6">
        <v>0.27250000000000002</v>
      </c>
      <c r="Q6">
        <v>1.1860000000000001E-2</v>
      </c>
      <c r="R6">
        <v>1.312E-2</v>
      </c>
      <c r="S6">
        <v>0.1603</v>
      </c>
    </row>
    <row r="7" spans="1:19" x14ac:dyDescent="0.25">
      <c r="A7">
        <v>39</v>
      </c>
      <c r="B7">
        <v>15.44</v>
      </c>
      <c r="C7">
        <v>67.38</v>
      </c>
      <c r="D7">
        <v>0.28610000000000002</v>
      </c>
      <c r="E7">
        <v>0.12920000000000001</v>
      </c>
      <c r="F7">
        <v>0.67179999999999995</v>
      </c>
      <c r="G7">
        <v>0.44750000000000001</v>
      </c>
      <c r="H7">
        <v>6.4269999999999994E-2</v>
      </c>
      <c r="I7">
        <v>0.37090000000000001</v>
      </c>
      <c r="J7">
        <v>0.46279999999999999</v>
      </c>
      <c r="K7">
        <v>2.956</v>
      </c>
      <c r="L7">
        <v>14.31</v>
      </c>
      <c r="M7">
        <v>0.37059999999999998</v>
      </c>
      <c r="N7">
        <v>0.14430000000000001</v>
      </c>
      <c r="O7">
        <v>0.75049999999999994</v>
      </c>
      <c r="P7">
        <v>0.46029999999999999</v>
      </c>
      <c r="Q7">
        <v>1.0710000000000001E-2</v>
      </c>
      <c r="R7">
        <v>1.3729999999999999E-2</v>
      </c>
      <c r="S7">
        <v>0.2387</v>
      </c>
    </row>
    <row r="9" spans="1:19" x14ac:dyDescent="0.25">
      <c r="A9" s="267" t="s">
        <v>292</v>
      </c>
      <c r="B9" s="255" t="s">
        <v>293</v>
      </c>
    </row>
    <row r="11" spans="1:19" x14ac:dyDescent="0.25">
      <c r="A11" s="255" t="s">
        <v>303</v>
      </c>
    </row>
    <row r="12" spans="1:19" x14ac:dyDescent="0.25">
      <c r="A12" s="267" t="s">
        <v>299</v>
      </c>
      <c r="B12" s="280" t="s">
        <v>94</v>
      </c>
      <c r="C12" s="280"/>
      <c r="D12" s="280"/>
      <c r="E12" s="280" t="s">
        <v>95</v>
      </c>
      <c r="F12" s="280"/>
      <c r="G12" s="280"/>
      <c r="H12" s="280" t="s">
        <v>52</v>
      </c>
      <c r="I12" s="280"/>
      <c r="J12" s="280"/>
      <c r="K12" s="280" t="s">
        <v>54</v>
      </c>
      <c r="L12" s="280"/>
      <c r="M12" s="280"/>
      <c r="N12" s="280" t="s">
        <v>96</v>
      </c>
      <c r="O12" s="280"/>
      <c r="P12" s="280"/>
      <c r="Q12" s="280" t="s">
        <v>58</v>
      </c>
      <c r="R12" s="280"/>
      <c r="S12" s="280"/>
    </row>
    <row r="13" spans="1:19" x14ac:dyDescent="0.25">
      <c r="A13" t="s">
        <v>37</v>
      </c>
      <c r="B13" s="258" t="s">
        <v>40</v>
      </c>
      <c r="C13" s="258" t="s">
        <v>41</v>
      </c>
      <c r="D13" s="258" t="s">
        <v>42</v>
      </c>
      <c r="E13" s="258" t="s">
        <v>40</v>
      </c>
      <c r="F13" s="258" t="s">
        <v>41</v>
      </c>
      <c r="G13" s="258" t="s">
        <v>42</v>
      </c>
      <c r="H13" s="258" t="s">
        <v>40</v>
      </c>
      <c r="I13" s="258" t="s">
        <v>41</v>
      </c>
      <c r="J13" s="258" t="s">
        <v>42</v>
      </c>
      <c r="K13" s="258" t="s">
        <v>40</v>
      </c>
      <c r="L13" s="258" t="s">
        <v>41</v>
      </c>
      <c r="M13" s="258" t="s">
        <v>42</v>
      </c>
      <c r="N13" s="258" t="s">
        <v>40</v>
      </c>
      <c r="O13" s="258" t="s">
        <v>41</v>
      </c>
      <c r="P13" s="258" t="s">
        <v>42</v>
      </c>
      <c r="Q13" s="258" t="s">
        <v>40</v>
      </c>
      <c r="R13" s="258" t="s">
        <v>41</v>
      </c>
      <c r="S13" s="258" t="s">
        <v>42</v>
      </c>
    </row>
    <row r="14" spans="1:19" x14ac:dyDescent="0.25">
      <c r="A14">
        <v>25</v>
      </c>
      <c r="B14">
        <v>63.06</v>
      </c>
      <c r="C14">
        <v>27.09</v>
      </c>
      <c r="D14">
        <v>0.14899999999999999</v>
      </c>
      <c r="E14">
        <v>0.42830000000000001</v>
      </c>
      <c r="F14">
        <v>0.64500000000000002</v>
      </c>
      <c r="G14">
        <v>0.434</v>
      </c>
      <c r="H14">
        <v>0.218</v>
      </c>
      <c r="I14">
        <v>0.33079999999999998</v>
      </c>
      <c r="J14">
        <v>0.37980000000000003</v>
      </c>
      <c r="K14">
        <v>11.44</v>
      </c>
      <c r="L14">
        <v>8.9670000000000005</v>
      </c>
      <c r="M14">
        <v>0.2344</v>
      </c>
      <c r="N14">
        <v>0.4733</v>
      </c>
      <c r="O14">
        <v>0.75749999999999995</v>
      </c>
      <c r="P14">
        <v>0.44540000000000002</v>
      </c>
      <c r="Q14">
        <v>2.1899999999999999E-2</v>
      </c>
      <c r="R14">
        <v>1.372E-2</v>
      </c>
      <c r="S14">
        <v>0.31809999999999999</v>
      </c>
    </row>
    <row r="15" spans="1:19" x14ac:dyDescent="0.25">
      <c r="A15">
        <v>30</v>
      </c>
      <c r="B15">
        <v>25.72</v>
      </c>
      <c r="C15">
        <v>49.12</v>
      </c>
      <c r="D15">
        <v>0.1217</v>
      </c>
      <c r="E15">
        <v>0.2545</v>
      </c>
      <c r="F15">
        <v>0.49880000000000002</v>
      </c>
      <c r="G15">
        <v>0.37819999999999998</v>
      </c>
      <c r="H15">
        <v>0.1391</v>
      </c>
      <c r="I15">
        <v>0.29449999999999998</v>
      </c>
      <c r="J15">
        <v>0.45190000000000002</v>
      </c>
      <c r="K15">
        <v>5.8310000000000004</v>
      </c>
      <c r="L15">
        <v>9.782</v>
      </c>
      <c r="M15">
        <v>0.21659999999999999</v>
      </c>
      <c r="N15">
        <v>0.29189999999999999</v>
      </c>
      <c r="O15">
        <v>0.61050000000000004</v>
      </c>
      <c r="P15">
        <v>0.44429999999999997</v>
      </c>
      <c r="Q15">
        <v>1.7229999999999999E-2</v>
      </c>
      <c r="R15">
        <v>1.196E-2</v>
      </c>
      <c r="S15">
        <v>0.4733</v>
      </c>
    </row>
    <row r="16" spans="1:19" x14ac:dyDescent="0.25">
      <c r="A16">
        <v>35</v>
      </c>
      <c r="B16">
        <v>22.2</v>
      </c>
      <c r="C16">
        <v>42.34</v>
      </c>
      <c r="D16">
        <v>0.2152</v>
      </c>
      <c r="E16">
        <v>0.18260000000000001</v>
      </c>
      <c r="F16">
        <v>0.49669999999999997</v>
      </c>
      <c r="G16">
        <v>0.48280000000000001</v>
      </c>
      <c r="H16">
        <v>9.1999999999999998E-2</v>
      </c>
      <c r="I16">
        <v>0.26939999999999997</v>
      </c>
      <c r="J16">
        <v>0.48930000000000001</v>
      </c>
      <c r="K16">
        <v>4.3440000000000003</v>
      </c>
      <c r="L16">
        <v>9.4359999999999999</v>
      </c>
      <c r="M16">
        <v>0.33100000000000002</v>
      </c>
      <c r="N16">
        <v>0.19750000000000001</v>
      </c>
      <c r="O16">
        <v>0.52839999999999998</v>
      </c>
      <c r="P16">
        <v>0.46560000000000001</v>
      </c>
      <c r="Q16">
        <v>1.417E-2</v>
      </c>
      <c r="R16">
        <v>9.502E-3</v>
      </c>
      <c r="S16">
        <v>0.46300000000000002</v>
      </c>
    </row>
    <row r="17" spans="1:19" x14ac:dyDescent="0.25">
      <c r="A17">
        <v>40</v>
      </c>
      <c r="B17">
        <v>17.920000000000002</v>
      </c>
      <c r="C17">
        <v>41.58</v>
      </c>
      <c r="D17">
        <v>0.3201</v>
      </c>
      <c r="E17">
        <v>0.13789999999999999</v>
      </c>
      <c r="F17">
        <v>0.46200000000000002</v>
      </c>
      <c r="G17">
        <v>0.54820000000000002</v>
      </c>
      <c r="H17">
        <v>6.7269999999999996E-2</v>
      </c>
      <c r="I17">
        <v>0.251</v>
      </c>
      <c r="J17">
        <v>0.54679999999999995</v>
      </c>
      <c r="K17">
        <v>2.9569999999999999</v>
      </c>
      <c r="L17">
        <v>8.5410000000000004</v>
      </c>
      <c r="M17">
        <v>0.3569</v>
      </c>
      <c r="N17">
        <v>0.1492</v>
      </c>
      <c r="O17">
        <v>0.44919999999999999</v>
      </c>
      <c r="P17">
        <v>0.50280000000000002</v>
      </c>
      <c r="Q17">
        <v>1.244E-2</v>
      </c>
      <c r="R17">
        <v>8.4399999999999996E-3</v>
      </c>
      <c r="S17">
        <v>0.53559999999999997</v>
      </c>
    </row>
    <row r="18" spans="1:19" x14ac:dyDescent="0.25">
      <c r="A18">
        <v>45</v>
      </c>
      <c r="B18">
        <v>12.97</v>
      </c>
      <c r="C18">
        <v>39.85</v>
      </c>
      <c r="D18">
        <v>0.35139999999999999</v>
      </c>
      <c r="E18">
        <v>0.10929999999999999</v>
      </c>
      <c r="F18">
        <v>0.40649999999999997</v>
      </c>
      <c r="G18">
        <v>0.5917</v>
      </c>
      <c r="H18">
        <v>5.1150000000000001E-2</v>
      </c>
      <c r="I18">
        <v>0.221</v>
      </c>
      <c r="J18">
        <v>0.58299999999999996</v>
      </c>
      <c r="K18">
        <v>2.2970000000000002</v>
      </c>
      <c r="L18">
        <v>8.032</v>
      </c>
      <c r="M18">
        <v>0.44209999999999999</v>
      </c>
      <c r="N18">
        <v>0.1173</v>
      </c>
      <c r="O18">
        <v>0.43909999999999999</v>
      </c>
      <c r="P18">
        <v>0.57909999999999995</v>
      </c>
      <c r="Q18">
        <v>1.142E-2</v>
      </c>
      <c r="R18">
        <v>8.2850000000000007E-3</v>
      </c>
      <c r="S18">
        <v>0.7651</v>
      </c>
    </row>
    <row r="19" spans="1:19" x14ac:dyDescent="0.25">
      <c r="A19">
        <v>49</v>
      </c>
      <c r="B19">
        <v>11.5</v>
      </c>
      <c r="C19">
        <v>37.07</v>
      </c>
      <c r="D19">
        <v>0.41010000000000002</v>
      </c>
      <c r="E19">
        <v>9.2670000000000002E-2</v>
      </c>
      <c r="F19">
        <v>0.40310000000000001</v>
      </c>
      <c r="G19">
        <v>0.62949999999999995</v>
      </c>
      <c r="H19">
        <v>4.267E-2</v>
      </c>
      <c r="I19">
        <v>0.22520000000000001</v>
      </c>
      <c r="J19">
        <v>0.6361</v>
      </c>
      <c r="K19">
        <v>1.752</v>
      </c>
      <c r="L19">
        <v>8.3320000000000007</v>
      </c>
      <c r="M19">
        <v>0.47039999999999998</v>
      </c>
      <c r="N19">
        <v>0.1007</v>
      </c>
      <c r="O19">
        <v>0.44779999999999998</v>
      </c>
      <c r="P19">
        <v>0.64300000000000002</v>
      </c>
      <c r="Q19">
        <v>1.073E-2</v>
      </c>
      <c r="R19">
        <v>8.1580000000000003E-3</v>
      </c>
      <c r="S19">
        <v>0.85489999999999999</v>
      </c>
    </row>
    <row r="21" spans="1:19" x14ac:dyDescent="0.25">
      <c r="A21" s="267" t="s">
        <v>292</v>
      </c>
      <c r="B21" s="255" t="s">
        <v>294</v>
      </c>
    </row>
    <row r="23" spans="1:19" x14ac:dyDescent="0.25">
      <c r="A23" s="255" t="s">
        <v>297</v>
      </c>
    </row>
    <row r="24" spans="1:19" x14ac:dyDescent="0.25">
      <c r="A24" s="267" t="s">
        <v>298</v>
      </c>
      <c r="B24" s="280" t="s">
        <v>94</v>
      </c>
      <c r="C24" s="280"/>
      <c r="D24" s="280"/>
      <c r="E24" s="280" t="s">
        <v>95</v>
      </c>
      <c r="F24" s="280"/>
      <c r="G24" s="280"/>
      <c r="H24" s="280" t="s">
        <v>52</v>
      </c>
      <c r="I24" s="280"/>
      <c r="J24" s="280"/>
      <c r="K24" s="280" t="s">
        <v>54</v>
      </c>
      <c r="L24" s="280"/>
      <c r="M24" s="280"/>
      <c r="N24" s="280" t="s">
        <v>96</v>
      </c>
      <c r="O24" s="280"/>
      <c r="P24" s="280"/>
      <c r="Q24" s="280" t="s">
        <v>58</v>
      </c>
      <c r="R24" s="280"/>
      <c r="S24" s="280"/>
    </row>
    <row r="25" spans="1:19" x14ac:dyDescent="0.25">
      <c r="A25" t="s">
        <v>37</v>
      </c>
      <c r="B25" s="258" t="s">
        <v>40</v>
      </c>
      <c r="C25" s="258" t="s">
        <v>41</v>
      </c>
      <c r="D25" s="258" t="s">
        <v>42</v>
      </c>
      <c r="E25" s="258" t="s">
        <v>40</v>
      </c>
      <c r="F25" s="258" t="s">
        <v>41</v>
      </c>
      <c r="G25" s="258" t="s">
        <v>42</v>
      </c>
      <c r="H25" s="258" t="s">
        <v>40</v>
      </c>
      <c r="I25" s="258" t="s">
        <v>41</v>
      </c>
      <c r="J25" s="258" t="s">
        <v>42</v>
      </c>
      <c r="K25" s="258" t="s">
        <v>40</v>
      </c>
      <c r="L25" s="258" t="s">
        <v>41</v>
      </c>
      <c r="M25" s="258" t="s">
        <v>42</v>
      </c>
      <c r="N25" s="258" t="s">
        <v>40</v>
      </c>
      <c r="O25" s="258" t="s">
        <v>41</v>
      </c>
      <c r="P25" s="258" t="s">
        <v>42</v>
      </c>
      <c r="Q25" s="258" t="s">
        <v>40</v>
      </c>
      <c r="R25" s="258" t="s">
        <v>41</v>
      </c>
      <c r="S25" s="258" t="s">
        <v>42</v>
      </c>
    </row>
    <row r="26" spans="1:19" x14ac:dyDescent="0.25">
      <c r="A26">
        <v>25</v>
      </c>
      <c r="B26">
        <v>67.94</v>
      </c>
      <c r="C26">
        <v>20.96</v>
      </c>
      <c r="D26">
        <v>8.5029999999999994E-2</v>
      </c>
      <c r="E26">
        <v>0.49059999999999998</v>
      </c>
      <c r="F26">
        <v>0.46679999999999999</v>
      </c>
      <c r="G26">
        <v>0.38779999999999998</v>
      </c>
      <c r="H26">
        <v>0.2432</v>
      </c>
      <c r="I26">
        <v>0.25390000000000001</v>
      </c>
      <c r="J26">
        <v>0.31530000000000002</v>
      </c>
      <c r="K26">
        <v>13.71</v>
      </c>
      <c r="L26">
        <v>4.7720000000000002</v>
      </c>
      <c r="M26">
        <v>0.17710000000000001</v>
      </c>
      <c r="N26">
        <v>0.53080000000000005</v>
      </c>
      <c r="O26">
        <v>0.52010000000000001</v>
      </c>
      <c r="P26">
        <v>0.36259999999999998</v>
      </c>
      <c r="Q26">
        <v>2.4289999999999999E-2</v>
      </c>
      <c r="R26">
        <v>9.8390000000000005E-3</v>
      </c>
      <c r="S26">
        <v>0.33139999999999997</v>
      </c>
    </row>
    <row r="27" spans="1:19" x14ac:dyDescent="0.25">
      <c r="A27">
        <v>30</v>
      </c>
      <c r="B27">
        <v>49.72</v>
      </c>
      <c r="C27">
        <v>45.85</v>
      </c>
      <c r="D27">
        <v>0.22309999999999999</v>
      </c>
      <c r="E27">
        <v>0.27210000000000001</v>
      </c>
      <c r="F27">
        <v>0.65990000000000004</v>
      </c>
      <c r="G27">
        <v>0.28270000000000001</v>
      </c>
      <c r="H27">
        <v>0.15379999999999999</v>
      </c>
      <c r="I27">
        <v>0.35649999999999998</v>
      </c>
      <c r="J27">
        <v>0.3216</v>
      </c>
      <c r="K27">
        <v>7.87</v>
      </c>
      <c r="L27">
        <v>12.8</v>
      </c>
      <c r="M27">
        <v>0.25330000000000003</v>
      </c>
      <c r="N27">
        <v>0.31009999999999999</v>
      </c>
      <c r="O27">
        <v>0.74729999999999996</v>
      </c>
      <c r="P27">
        <v>0.3029</v>
      </c>
      <c r="Q27">
        <v>1.8550000000000001E-2</v>
      </c>
      <c r="R27">
        <v>1.307E-2</v>
      </c>
      <c r="S27">
        <v>0.22670000000000001</v>
      </c>
    </row>
    <row r="28" spans="1:19" x14ac:dyDescent="0.25">
      <c r="A28">
        <v>35</v>
      </c>
      <c r="B28">
        <v>25.61</v>
      </c>
      <c r="C28">
        <v>82.42</v>
      </c>
      <c r="D28">
        <v>0.33069999999999999</v>
      </c>
      <c r="E28">
        <v>0.158</v>
      </c>
      <c r="F28">
        <v>0.82540000000000002</v>
      </c>
      <c r="G28">
        <v>0.39079999999999998</v>
      </c>
      <c r="H28">
        <v>7.4469999999999995E-2</v>
      </c>
      <c r="I28">
        <v>0.44090000000000001</v>
      </c>
      <c r="J28">
        <v>0.37390000000000001</v>
      </c>
      <c r="K28">
        <v>3.1989999999999998</v>
      </c>
      <c r="L28">
        <v>17.11</v>
      </c>
      <c r="M28">
        <v>0.28139999999999998</v>
      </c>
      <c r="N28">
        <v>0.17019999999999999</v>
      </c>
      <c r="O28">
        <v>0.92120000000000002</v>
      </c>
      <c r="P28">
        <v>0.39079999999999998</v>
      </c>
      <c r="Q28">
        <v>1.3780000000000001E-2</v>
      </c>
      <c r="R28">
        <v>2.0240000000000001E-2</v>
      </c>
      <c r="S28">
        <v>0.3624</v>
      </c>
    </row>
    <row r="29" spans="1:19" x14ac:dyDescent="0.25">
      <c r="A29">
        <v>39</v>
      </c>
      <c r="B29">
        <v>17.96</v>
      </c>
      <c r="C29">
        <v>81.680000000000007</v>
      </c>
      <c r="D29">
        <v>0.3821</v>
      </c>
      <c r="E29">
        <v>0.1376</v>
      </c>
      <c r="F29">
        <v>0.96109999999999995</v>
      </c>
      <c r="G29">
        <v>0.59570000000000001</v>
      </c>
      <c r="H29">
        <v>6.6559999999999994E-2</v>
      </c>
      <c r="I29">
        <v>0.50800000000000001</v>
      </c>
      <c r="J29">
        <v>0.57909999999999995</v>
      </c>
      <c r="K29">
        <v>3.1339999999999999</v>
      </c>
      <c r="L29">
        <v>18.14</v>
      </c>
      <c r="M29">
        <v>0.46779999999999999</v>
      </c>
      <c r="N29">
        <v>0.14849999999999999</v>
      </c>
      <c r="O29">
        <v>1.079</v>
      </c>
      <c r="P29">
        <v>0.5887</v>
      </c>
      <c r="Q29">
        <v>1.154E-2</v>
      </c>
      <c r="R29">
        <v>1.9959999999999999E-2</v>
      </c>
      <c r="S29">
        <v>0.4113</v>
      </c>
    </row>
    <row r="31" spans="1:19" x14ac:dyDescent="0.25">
      <c r="A31" s="267" t="s">
        <v>292</v>
      </c>
      <c r="B31" s="255" t="s">
        <v>294</v>
      </c>
    </row>
    <row r="33" spans="1:20" x14ac:dyDescent="0.25">
      <c r="A33" s="255" t="s">
        <v>301</v>
      </c>
    </row>
    <row r="34" spans="1:20" x14ac:dyDescent="0.25">
      <c r="C34" s="280" t="s">
        <v>94</v>
      </c>
      <c r="D34" s="280"/>
      <c r="E34" s="280"/>
      <c r="F34" s="280" t="s">
        <v>95</v>
      </c>
      <c r="G34" s="280"/>
      <c r="H34" s="280"/>
      <c r="I34" s="280" t="s">
        <v>52</v>
      </c>
      <c r="J34" s="280"/>
      <c r="K34" s="280"/>
      <c r="L34" s="280" t="s">
        <v>54</v>
      </c>
      <c r="M34" s="280"/>
      <c r="N34" s="280"/>
      <c r="O34" s="280" t="s">
        <v>96</v>
      </c>
      <c r="P34" s="280"/>
      <c r="Q34" s="280"/>
      <c r="R34" s="280" t="s">
        <v>58</v>
      </c>
      <c r="S34" s="280"/>
      <c r="T34" s="280"/>
    </row>
    <row r="35" spans="1:20" x14ac:dyDescent="0.25">
      <c r="C35" s="258" t="s">
        <v>40</v>
      </c>
      <c r="D35" s="258" t="s">
        <v>41</v>
      </c>
      <c r="E35" s="258" t="s">
        <v>42</v>
      </c>
      <c r="F35" s="258" t="s">
        <v>40</v>
      </c>
      <c r="G35" s="258" t="s">
        <v>41</v>
      </c>
      <c r="H35" s="258" t="s">
        <v>42</v>
      </c>
      <c r="I35" s="258" t="s">
        <v>40</v>
      </c>
      <c r="J35" s="258" t="s">
        <v>41</v>
      </c>
      <c r="K35" s="258" t="s">
        <v>42</v>
      </c>
      <c r="L35" s="258" t="s">
        <v>40</v>
      </c>
      <c r="M35" s="258" t="s">
        <v>41</v>
      </c>
      <c r="N35" s="258" t="s">
        <v>42</v>
      </c>
      <c r="O35" s="258" t="s">
        <v>40</v>
      </c>
      <c r="P35" s="258" t="s">
        <v>41</v>
      </c>
      <c r="Q35" s="258" t="s">
        <v>42</v>
      </c>
      <c r="R35" s="258" t="s">
        <v>40</v>
      </c>
      <c r="S35" s="258" t="s">
        <v>41</v>
      </c>
      <c r="T35" s="258" t="s">
        <v>42</v>
      </c>
    </row>
    <row r="36" spans="1:20" x14ac:dyDescent="0.25">
      <c r="A36" s="9" t="s">
        <v>304</v>
      </c>
      <c r="C36">
        <v>13.33</v>
      </c>
      <c r="D36">
        <v>65.260000000000005</v>
      </c>
      <c r="E36">
        <v>0.21190000000000001</v>
      </c>
      <c r="F36">
        <v>0.1338</v>
      </c>
      <c r="G36">
        <v>0.63460000000000005</v>
      </c>
      <c r="H36">
        <v>0.37769999999999998</v>
      </c>
      <c r="I36">
        <v>6.343E-2</v>
      </c>
      <c r="J36">
        <v>0.34150000000000003</v>
      </c>
      <c r="K36">
        <v>0.37080000000000002</v>
      </c>
      <c r="L36">
        <v>2.56</v>
      </c>
      <c r="M36">
        <v>13.66</v>
      </c>
      <c r="N36">
        <v>0.27239999999999998</v>
      </c>
      <c r="O36">
        <v>0.1444</v>
      </c>
      <c r="P36">
        <v>0.68579999999999997</v>
      </c>
      <c r="Q36">
        <v>0.37140000000000001</v>
      </c>
      <c r="R36">
        <v>1.285E-2</v>
      </c>
      <c r="S36">
        <v>1.41E-2</v>
      </c>
      <c r="T36">
        <v>0.3422</v>
      </c>
    </row>
    <row r="37" spans="1:20" x14ac:dyDescent="0.25">
      <c r="B37" t="s">
        <v>299</v>
      </c>
      <c r="C37">
        <v>12.22</v>
      </c>
      <c r="D37">
        <v>53.6</v>
      </c>
      <c r="E37">
        <v>0.1948</v>
      </c>
      <c r="F37">
        <v>0.13400000000000001</v>
      </c>
      <c r="G37">
        <v>0.50849999999999995</v>
      </c>
      <c r="H37">
        <v>0.39279999999999998</v>
      </c>
      <c r="I37">
        <v>6.3539999999999999E-2</v>
      </c>
      <c r="J37">
        <v>0.27439999999999998</v>
      </c>
      <c r="K37">
        <v>0.38429999999999997</v>
      </c>
      <c r="L37">
        <v>2.4220000000000002</v>
      </c>
      <c r="M37">
        <v>10.91</v>
      </c>
      <c r="N37">
        <v>0.2576</v>
      </c>
      <c r="O37">
        <v>0.14399999999999999</v>
      </c>
      <c r="P37">
        <v>0.54120000000000001</v>
      </c>
      <c r="Q37">
        <v>0.37990000000000002</v>
      </c>
      <c r="R37">
        <v>1.2970000000000001E-2</v>
      </c>
      <c r="S37">
        <v>1.057E-2</v>
      </c>
      <c r="T37">
        <v>0.40100000000000002</v>
      </c>
    </row>
    <row r="39" spans="1:20" x14ac:dyDescent="0.25">
      <c r="A39" s="267" t="s">
        <v>292</v>
      </c>
      <c r="B39" s="255" t="s">
        <v>293</v>
      </c>
    </row>
  </sheetData>
  <mergeCells count="24">
    <mergeCell ref="R34:T34"/>
    <mergeCell ref="C34:E34"/>
    <mergeCell ref="F34:H34"/>
    <mergeCell ref="I34:K34"/>
    <mergeCell ref="L34:N34"/>
    <mergeCell ref="O34:Q34"/>
    <mergeCell ref="Q2:S2"/>
    <mergeCell ref="B2:D2"/>
    <mergeCell ref="E2:G2"/>
    <mergeCell ref="H2:J2"/>
    <mergeCell ref="K2:M2"/>
    <mergeCell ref="N2:P2"/>
    <mergeCell ref="Q24:S24"/>
    <mergeCell ref="B12:D12"/>
    <mergeCell ref="E12:G12"/>
    <mergeCell ref="H12:J12"/>
    <mergeCell ref="K12:M12"/>
    <mergeCell ref="N12:P12"/>
    <mergeCell ref="Q12:S12"/>
    <mergeCell ref="B24:D24"/>
    <mergeCell ref="E24:G24"/>
    <mergeCell ref="H24:J24"/>
    <mergeCell ref="K24:M24"/>
    <mergeCell ref="N24:P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</vt:i4>
      </vt:variant>
    </vt:vector>
  </HeadingPairs>
  <TitlesOfParts>
    <vt:vector size="28" baseType="lpstr">
      <vt:lpstr>Table</vt:lpstr>
      <vt:lpstr>RadFluoro</vt:lpstr>
      <vt:lpstr>CT</vt:lpstr>
      <vt:lpstr>ShieldEvaluation</vt:lpstr>
      <vt:lpstr>FitParameters</vt:lpstr>
      <vt:lpstr>NCRP147_4.1</vt:lpstr>
      <vt:lpstr>NCRP147_4.2</vt:lpstr>
      <vt:lpstr>NCRP147_4.3</vt:lpstr>
      <vt:lpstr>NCRP147_4.4</vt:lpstr>
      <vt:lpstr>NCRP147_4.5</vt:lpstr>
      <vt:lpstr>NCRP147_4.7</vt:lpstr>
      <vt:lpstr>NCRP147_5.2</vt:lpstr>
      <vt:lpstr>NCRP147_A1</vt:lpstr>
      <vt:lpstr>NCRP147_B1</vt:lpstr>
      <vt:lpstr>NCRP147_C1</vt:lpstr>
      <vt:lpstr>W_Rh_Al_Ag</vt:lpstr>
      <vt:lpstr>FitParams</vt:lpstr>
      <vt:lpstr>inch_value</vt:lpstr>
      <vt:lpstr>minimum_Pb</vt:lpstr>
      <vt:lpstr>mm_value</vt:lpstr>
      <vt:lpstr>CT!Print_Area</vt:lpstr>
      <vt:lpstr>RadFluoro!Print_Area</vt:lpstr>
      <vt:lpstr>ShieldEvaluation!Print_Area</vt:lpstr>
      <vt:lpstr>Table!Print_Area</vt:lpstr>
      <vt:lpstr>RefDist</vt:lpstr>
      <vt:lpstr>RefExp</vt:lpstr>
      <vt:lpstr>RefkV</vt:lpstr>
      <vt:lpstr>RefOutput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J. Peck</dc:creator>
  <cp:lastModifiedBy>Mah, Eugene</cp:lastModifiedBy>
  <cp:lastPrinted>2019-02-28T18:07:27Z</cp:lastPrinted>
  <dcterms:created xsi:type="dcterms:W3CDTF">1996-02-05T18:29:10Z</dcterms:created>
  <dcterms:modified xsi:type="dcterms:W3CDTF">2025-02-14T16:30:16Z</dcterms:modified>
</cp:coreProperties>
</file>