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 activeTab="2"/>
  </bookViews>
  <sheets>
    <sheet name="Table" sheetId="1" r:id="rId1"/>
    <sheet name="RadFluoro" sheetId="5" r:id="rId2"/>
    <sheet name="NM" sheetId="27" r:id="rId3"/>
    <sheet name="CT" sheetId="4" r:id="rId4"/>
    <sheet name="ShieldEvaluation" sheetId="2" r:id="rId5"/>
    <sheet name="FitParameters" sheetId="3" r:id="rId6"/>
    <sheet name="NCRP147_4.1" sheetId="16" r:id="rId7"/>
    <sheet name="NCRP147_4.2" sheetId="17" r:id="rId8"/>
    <sheet name="NCRP147_4.3" sheetId="18" r:id="rId9"/>
    <sheet name="NCRP147_4.4" sheetId="19" r:id="rId10"/>
    <sheet name="NCRP147_4.5" sheetId="26" r:id="rId11"/>
    <sheet name="NCRP147_4.7" sheetId="20" r:id="rId12"/>
    <sheet name="NCRP147_5.2" sheetId="21" r:id="rId13"/>
    <sheet name="NCRP147_A1" sheetId="22" r:id="rId14"/>
    <sheet name="NCRP147_B1" sheetId="23" r:id="rId15"/>
    <sheet name="NCRP147_C1" sheetId="24" r:id="rId16"/>
    <sheet name="W_Rh_Al_Ag" sheetId="25" r:id="rId17"/>
  </sheets>
  <externalReferences>
    <externalReference r:id="rId18"/>
  </externalReference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3">CT!$A$1:$H$50</definedName>
    <definedName name="_xlnm.Print_Area" localSheetId="2">NM!$A$1:$Q$73</definedName>
    <definedName name="_xlnm.Print_Area" localSheetId="1">RadFluoro!$A$1:$N$66</definedName>
    <definedName name="_xlnm.Print_Area" localSheetId="4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D8" i="27" l="1"/>
  <c r="D9" i="27"/>
  <c r="D10" i="27"/>
  <c r="D11" i="27"/>
  <c r="D12" i="27"/>
  <c r="D13" i="27"/>
  <c r="D14" i="27"/>
  <c r="D7" i="27"/>
  <c r="B7" i="27"/>
  <c r="B3" i="27"/>
  <c r="B76" i="27"/>
  <c r="B75" i="27"/>
  <c r="B74" i="27"/>
  <c r="B73" i="27"/>
  <c r="B72" i="27"/>
  <c r="B71" i="27"/>
  <c r="B70" i="27"/>
  <c r="B69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55" i="27"/>
  <c r="B54" i="27"/>
  <c r="B53" i="27"/>
  <c r="B52" i="27"/>
  <c r="B51" i="27"/>
  <c r="B50" i="27"/>
  <c r="B49" i="27"/>
  <c r="B48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E29" i="27"/>
  <c r="F29" i="27" s="1"/>
  <c r="M61" i="27" s="1"/>
  <c r="E28" i="27"/>
  <c r="F28" i="27" s="1"/>
  <c r="L61" i="27" s="1"/>
  <c r="E27" i="27"/>
  <c r="F27" i="27" s="1"/>
  <c r="K61" i="27" s="1"/>
  <c r="E26" i="27"/>
  <c r="F26" i="27" s="1"/>
  <c r="J61" i="27" s="1"/>
  <c r="E25" i="27"/>
  <c r="F25" i="27" s="1"/>
  <c r="I61" i="27" s="1"/>
  <c r="E24" i="27"/>
  <c r="F24" i="27" s="1"/>
  <c r="H61" i="27" s="1"/>
  <c r="E23" i="27"/>
  <c r="F23" i="27" s="1"/>
  <c r="G61" i="27" s="1"/>
  <c r="E22" i="27"/>
  <c r="F22" i="27" s="1"/>
  <c r="F61" i="27" s="1"/>
  <c r="E21" i="27"/>
  <c r="F21" i="27" s="1"/>
  <c r="E61" i="27" s="1"/>
  <c r="E20" i="27"/>
  <c r="F20" i="27" s="1"/>
  <c r="D61" i="27" s="1"/>
  <c r="E19" i="27"/>
  <c r="F19" i="27" s="1"/>
  <c r="C61" i="27" s="1"/>
  <c r="F18" i="27"/>
  <c r="B61" i="27" s="1"/>
  <c r="E18" i="27"/>
  <c r="M17" i="27"/>
  <c r="M18" i="27" s="1"/>
  <c r="M4" i="27"/>
  <c r="B12" i="27" s="1"/>
  <c r="E12" i="27" s="1"/>
  <c r="L4" i="27"/>
  <c r="L7" i="27" s="1"/>
  <c r="L8" i="27" s="1"/>
  <c r="M3" i="27"/>
  <c r="E7" i="27" s="1"/>
  <c r="C2" i="27"/>
  <c r="K53" i="27" l="1"/>
  <c r="K74" i="27" s="1"/>
  <c r="G53" i="27"/>
  <c r="G74" i="27" s="1"/>
  <c r="C53" i="27"/>
  <c r="C74" i="27" s="1"/>
  <c r="M53" i="27"/>
  <c r="M74" i="27" s="1"/>
  <c r="I53" i="27"/>
  <c r="I74" i="27" s="1"/>
  <c r="E53" i="27"/>
  <c r="E74" i="27" s="1"/>
  <c r="N53" i="27"/>
  <c r="N74" i="27" s="1"/>
  <c r="F53" i="27"/>
  <c r="F74" i="27" s="1"/>
  <c r="L53" i="27"/>
  <c r="L74" i="27" s="1"/>
  <c r="D53" i="27"/>
  <c r="D74" i="27" s="1"/>
  <c r="J53" i="27"/>
  <c r="J74" i="27" s="1"/>
  <c r="H53" i="27"/>
  <c r="H74" i="27" s="1"/>
  <c r="L11" i="27"/>
  <c r="L10" i="27"/>
  <c r="M48" i="27"/>
  <c r="M69" i="27" s="1"/>
  <c r="I48" i="27"/>
  <c r="I69" i="27" s="1"/>
  <c r="E48" i="27"/>
  <c r="E69" i="27" s="1"/>
  <c r="K48" i="27"/>
  <c r="K69" i="27" s="1"/>
  <c r="G48" i="27"/>
  <c r="G69" i="27" s="1"/>
  <c r="C48" i="27"/>
  <c r="C69" i="27" s="1"/>
  <c r="L48" i="27"/>
  <c r="L69" i="27" s="1"/>
  <c r="D48" i="27"/>
  <c r="D69" i="27" s="1"/>
  <c r="N48" i="27"/>
  <c r="N69" i="27" s="1"/>
  <c r="F48" i="27"/>
  <c r="F69" i="27" s="1"/>
  <c r="J48" i="27"/>
  <c r="J69" i="27" s="1"/>
  <c r="H48" i="27"/>
  <c r="H69" i="27" s="1"/>
  <c r="L6" i="27"/>
  <c r="M6" i="27"/>
  <c r="B14" i="27" s="1"/>
  <c r="E14" i="27" s="1"/>
  <c r="M7" i="27"/>
  <c r="B8" i="27"/>
  <c r="E8" i="27" s="1"/>
  <c r="B9" i="27"/>
  <c r="E9" i="27" s="1"/>
  <c r="AF37" i="25"/>
  <c r="AE37" i="25"/>
  <c r="AF36" i="25"/>
  <c r="AE36" i="25"/>
  <c r="AA37" i="25"/>
  <c r="Z37" i="25"/>
  <c r="AA36" i="25"/>
  <c r="Z36" i="25"/>
  <c r="V37" i="25"/>
  <c r="U37" i="25"/>
  <c r="V36" i="25"/>
  <c r="U36" i="25"/>
  <c r="Q37" i="25"/>
  <c r="P37" i="25"/>
  <c r="Q36" i="25"/>
  <c r="P36" i="25"/>
  <c r="L37" i="25"/>
  <c r="K37" i="25"/>
  <c r="L36" i="25"/>
  <c r="K36" i="25"/>
  <c r="G37" i="25"/>
  <c r="F37" i="25"/>
  <c r="G36" i="25"/>
  <c r="F36" i="25"/>
  <c r="F29" i="25"/>
  <c r="E29" i="25"/>
  <c r="F28" i="25"/>
  <c r="E28" i="25"/>
  <c r="F27" i="25"/>
  <c r="E27" i="25"/>
  <c r="F26" i="25"/>
  <c r="E26" i="25"/>
  <c r="K29" i="25"/>
  <c r="J29" i="25"/>
  <c r="K28" i="25"/>
  <c r="J28" i="25"/>
  <c r="K27" i="25"/>
  <c r="J27" i="25"/>
  <c r="K26" i="25"/>
  <c r="J26" i="25"/>
  <c r="P29" i="25"/>
  <c r="O29" i="25"/>
  <c r="P28" i="25"/>
  <c r="O28" i="25"/>
  <c r="P27" i="25"/>
  <c r="O27" i="25"/>
  <c r="P26" i="25"/>
  <c r="O26" i="25"/>
  <c r="U29" i="25"/>
  <c r="T29" i="25"/>
  <c r="U28" i="25"/>
  <c r="T28" i="25"/>
  <c r="U27" i="25"/>
  <c r="T27" i="25"/>
  <c r="U26" i="25"/>
  <c r="T26" i="25"/>
  <c r="Z29" i="25"/>
  <c r="Y29" i="25"/>
  <c r="Z28" i="25"/>
  <c r="Y28" i="25"/>
  <c r="Z27" i="25"/>
  <c r="Y27" i="25"/>
  <c r="Z26" i="25"/>
  <c r="Y26" i="25"/>
  <c r="AE29" i="25"/>
  <c r="AD29" i="25"/>
  <c r="AE28" i="25"/>
  <c r="AD28" i="25"/>
  <c r="AE27" i="25"/>
  <c r="AD27" i="25"/>
  <c r="AE26" i="25"/>
  <c r="AD26" i="25"/>
  <c r="AE19" i="25"/>
  <c r="AD19" i="25"/>
  <c r="AE18" i="25"/>
  <c r="AD18" i="25"/>
  <c r="AE17" i="25"/>
  <c r="AD17" i="25"/>
  <c r="AE16" i="25"/>
  <c r="AD16" i="25"/>
  <c r="AE15" i="25"/>
  <c r="AD15" i="25"/>
  <c r="AE14" i="25"/>
  <c r="AD14" i="25"/>
  <c r="Z19" i="25"/>
  <c r="Y19" i="25"/>
  <c r="Z18" i="25"/>
  <c r="Y18" i="25"/>
  <c r="Z17" i="25"/>
  <c r="Y17" i="25"/>
  <c r="Z16" i="25"/>
  <c r="Y16" i="25"/>
  <c r="Z15" i="25"/>
  <c r="Y15" i="25"/>
  <c r="Z14" i="25"/>
  <c r="Y14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AE7" i="25"/>
  <c r="AD7" i="25"/>
  <c r="AE6" i="25"/>
  <c r="AD6" i="25"/>
  <c r="AE5" i="25"/>
  <c r="AD5" i="25"/>
  <c r="AE4" i="25"/>
  <c r="AD4" i="25"/>
  <c r="Z7" i="25"/>
  <c r="Y7" i="25"/>
  <c r="Z6" i="25"/>
  <c r="Y6" i="25"/>
  <c r="Z5" i="25"/>
  <c r="Y5" i="25"/>
  <c r="Z4" i="25"/>
  <c r="Y4" i="25"/>
  <c r="U7" i="25"/>
  <c r="T7" i="25"/>
  <c r="U6" i="25"/>
  <c r="T6" i="25"/>
  <c r="U5" i="25"/>
  <c r="T5" i="25"/>
  <c r="U4" i="25"/>
  <c r="T4" i="25"/>
  <c r="P7" i="25"/>
  <c r="O7" i="25"/>
  <c r="P6" i="25"/>
  <c r="O6" i="25"/>
  <c r="P5" i="25"/>
  <c r="O5" i="25"/>
  <c r="P4" i="25"/>
  <c r="O4" i="25"/>
  <c r="K7" i="25"/>
  <c r="J7" i="25"/>
  <c r="K6" i="25"/>
  <c r="J6" i="25"/>
  <c r="K5" i="25"/>
  <c r="J5" i="25"/>
  <c r="K4" i="25"/>
  <c r="J4" i="25"/>
  <c r="F7" i="25"/>
  <c r="E7" i="25"/>
  <c r="F6" i="25"/>
  <c r="E6" i="25"/>
  <c r="F5" i="25"/>
  <c r="E5" i="25"/>
  <c r="F4" i="25"/>
  <c r="E4" i="25"/>
  <c r="K49" i="27" l="1"/>
  <c r="K70" i="27" s="1"/>
  <c r="G49" i="27"/>
  <c r="G70" i="27" s="1"/>
  <c r="C49" i="27"/>
  <c r="C70" i="27" s="1"/>
  <c r="M49" i="27"/>
  <c r="M70" i="27" s="1"/>
  <c r="I49" i="27"/>
  <c r="I70" i="27" s="1"/>
  <c r="E49" i="27"/>
  <c r="E70" i="27" s="1"/>
  <c r="N49" i="27"/>
  <c r="N70" i="27" s="1"/>
  <c r="F49" i="27"/>
  <c r="F70" i="27" s="1"/>
  <c r="L49" i="27"/>
  <c r="L70" i="27" s="1"/>
  <c r="D49" i="27"/>
  <c r="D70" i="27" s="1"/>
  <c r="H49" i="27"/>
  <c r="H70" i="27" s="1"/>
  <c r="J49" i="27"/>
  <c r="J70" i="27" s="1"/>
  <c r="M50" i="27"/>
  <c r="M71" i="27" s="1"/>
  <c r="I50" i="27"/>
  <c r="I71" i="27" s="1"/>
  <c r="E50" i="27"/>
  <c r="E71" i="27" s="1"/>
  <c r="K50" i="27"/>
  <c r="K71" i="27" s="1"/>
  <c r="G50" i="27"/>
  <c r="G71" i="27" s="1"/>
  <c r="C50" i="27"/>
  <c r="C71" i="27" s="1"/>
  <c r="H50" i="27"/>
  <c r="H71" i="27" s="1"/>
  <c r="J50" i="27"/>
  <c r="J71" i="27" s="1"/>
  <c r="N50" i="27"/>
  <c r="N71" i="27" s="1"/>
  <c r="F50" i="27"/>
  <c r="F71" i="27" s="1"/>
  <c r="L50" i="27"/>
  <c r="L71" i="27" s="1"/>
  <c r="D50" i="27"/>
  <c r="D71" i="27" s="1"/>
  <c r="K55" i="27"/>
  <c r="K76" i="27" s="1"/>
  <c r="G55" i="27"/>
  <c r="G76" i="27" s="1"/>
  <c r="C55" i="27"/>
  <c r="C76" i="27" s="1"/>
  <c r="M55" i="27"/>
  <c r="M76" i="27" s="1"/>
  <c r="I55" i="27"/>
  <c r="I76" i="27" s="1"/>
  <c r="E55" i="27"/>
  <c r="E76" i="27" s="1"/>
  <c r="J55" i="27"/>
  <c r="J76" i="27" s="1"/>
  <c r="H55" i="27"/>
  <c r="H76" i="27" s="1"/>
  <c r="N55" i="27"/>
  <c r="N76" i="27" s="1"/>
  <c r="F55" i="27"/>
  <c r="F76" i="27" s="1"/>
  <c r="L55" i="27"/>
  <c r="L76" i="27" s="1"/>
  <c r="D55" i="27"/>
  <c r="D76" i="27" s="1"/>
  <c r="M8" i="27"/>
  <c r="B13" i="27"/>
  <c r="E13" i="27" s="1"/>
  <c r="A66" i="5"/>
  <c r="A55" i="5"/>
  <c r="A56" i="5"/>
  <c r="A57" i="5"/>
  <c r="A58" i="5"/>
  <c r="A59" i="5"/>
  <c r="A60" i="5"/>
  <c r="A61" i="5"/>
  <c r="A62" i="5"/>
  <c r="A63" i="5"/>
  <c r="A64" i="5"/>
  <c r="A65" i="5"/>
  <c r="A54" i="5"/>
  <c r="A40" i="5"/>
  <c r="A41" i="5"/>
  <c r="A42" i="5"/>
  <c r="A43" i="5"/>
  <c r="A44" i="5"/>
  <c r="A45" i="5"/>
  <c r="A46" i="5"/>
  <c r="A47" i="5"/>
  <c r="A48" i="5"/>
  <c r="A49" i="5"/>
  <c r="A50" i="5"/>
  <c r="A51" i="5"/>
  <c r="A39" i="5"/>
  <c r="G11" i="5"/>
  <c r="F11" i="5"/>
  <c r="E11" i="5"/>
  <c r="G10" i="5"/>
  <c r="F10" i="5"/>
  <c r="J61" i="5" s="1"/>
  <c r="E10" i="5"/>
  <c r="J57" i="5" s="1"/>
  <c r="G9" i="5"/>
  <c r="F9" i="5"/>
  <c r="E9" i="5"/>
  <c r="G8" i="5"/>
  <c r="F8" i="5"/>
  <c r="J49" i="5" s="1"/>
  <c r="E8" i="5"/>
  <c r="G7" i="5"/>
  <c r="F7" i="5"/>
  <c r="E7" i="5"/>
  <c r="J34" i="5" s="1"/>
  <c r="M54" i="27" l="1"/>
  <c r="M75" i="27" s="1"/>
  <c r="I54" i="27"/>
  <c r="I75" i="27" s="1"/>
  <c r="E54" i="27"/>
  <c r="E75" i="27" s="1"/>
  <c r="K54" i="27"/>
  <c r="K75" i="27" s="1"/>
  <c r="G54" i="27"/>
  <c r="G75" i="27" s="1"/>
  <c r="C54" i="27"/>
  <c r="C75" i="27" s="1"/>
  <c r="H54" i="27"/>
  <c r="H75" i="27" s="1"/>
  <c r="N54" i="27"/>
  <c r="N75" i="27" s="1"/>
  <c r="F54" i="27"/>
  <c r="F75" i="27" s="1"/>
  <c r="J54" i="27"/>
  <c r="J75" i="27" s="1"/>
  <c r="L54" i="27"/>
  <c r="L75" i="27" s="1"/>
  <c r="D54" i="27"/>
  <c r="D75" i="27" s="1"/>
  <c r="M10" i="27"/>
  <c r="B10" i="27"/>
  <c r="E10" i="27" s="1"/>
  <c r="B11" i="27"/>
  <c r="E11" i="27" s="1"/>
  <c r="M11" i="27"/>
  <c r="J47" i="5"/>
  <c r="J46" i="5"/>
  <c r="J64" i="5"/>
  <c r="L34" i="5" s="1"/>
  <c r="M34" i="5" s="1"/>
  <c r="J65" i="5"/>
  <c r="J32" i="5"/>
  <c r="J54" i="5"/>
  <c r="J58" i="5"/>
  <c r="J62" i="5"/>
  <c r="J66" i="5"/>
  <c r="J31" i="5"/>
  <c r="L31" i="5" s="1"/>
  <c r="M31" i="5" s="1"/>
  <c r="J33" i="5"/>
  <c r="J45" i="5"/>
  <c r="J55" i="5"/>
  <c r="J59" i="5"/>
  <c r="J63" i="5"/>
  <c r="J30" i="5"/>
  <c r="J48" i="5"/>
  <c r="J56" i="5"/>
  <c r="J60" i="5"/>
  <c r="M52" i="27" l="1"/>
  <c r="M73" i="27" s="1"/>
  <c r="I52" i="27"/>
  <c r="I73" i="27" s="1"/>
  <c r="E52" i="27"/>
  <c r="E73" i="27" s="1"/>
  <c r="K52" i="27"/>
  <c r="K73" i="27" s="1"/>
  <c r="G52" i="27"/>
  <c r="G73" i="27" s="1"/>
  <c r="C52" i="27"/>
  <c r="C73" i="27" s="1"/>
  <c r="L52" i="27"/>
  <c r="L73" i="27" s="1"/>
  <c r="D52" i="27"/>
  <c r="D73" i="27" s="1"/>
  <c r="F52" i="27"/>
  <c r="F73" i="27" s="1"/>
  <c r="J52" i="27"/>
  <c r="J73" i="27" s="1"/>
  <c r="H52" i="27"/>
  <c r="H73" i="27" s="1"/>
  <c r="N52" i="27"/>
  <c r="N73" i="27" s="1"/>
  <c r="K51" i="27"/>
  <c r="K72" i="27" s="1"/>
  <c r="G51" i="27"/>
  <c r="G72" i="27" s="1"/>
  <c r="C51" i="27"/>
  <c r="C72" i="27" s="1"/>
  <c r="M51" i="27"/>
  <c r="M72" i="27" s="1"/>
  <c r="I51" i="27"/>
  <c r="I72" i="27" s="1"/>
  <c r="E51" i="27"/>
  <c r="E72" i="27" s="1"/>
  <c r="J51" i="27"/>
  <c r="J72" i="27" s="1"/>
  <c r="H51" i="27"/>
  <c r="H72" i="27" s="1"/>
  <c r="N51" i="27"/>
  <c r="N72" i="27" s="1"/>
  <c r="F51" i="27"/>
  <c r="F72" i="27" s="1"/>
  <c r="L51" i="27"/>
  <c r="L72" i="27" s="1"/>
  <c r="D51" i="27"/>
  <c r="D72" i="27" s="1"/>
  <c r="L30" i="5"/>
  <c r="M30" i="5" s="1"/>
  <c r="L33" i="5"/>
  <c r="M33" i="5" s="1"/>
  <c r="L32" i="5"/>
  <c r="M32" i="5" s="1"/>
  <c r="L47" i="27" l="1"/>
  <c r="K60" i="27" s="1"/>
  <c r="K62" i="27" s="1"/>
  <c r="K63" i="27" s="1"/>
  <c r="K64" i="27" s="1"/>
  <c r="J47" i="27"/>
  <c r="I60" i="27" s="1"/>
  <c r="I62" i="27" s="1"/>
  <c r="I63" i="27" s="1"/>
  <c r="I64" i="27" s="1"/>
  <c r="C47" i="27"/>
  <c r="B60" i="27" s="1"/>
  <c r="B62" i="27" s="1"/>
  <c r="B63" i="27" s="1"/>
  <c r="B64" i="27" s="1"/>
  <c r="H47" i="27"/>
  <c r="G60" i="27" s="1"/>
  <c r="G62" i="27" s="1"/>
  <c r="G63" i="27" s="1"/>
  <c r="G64" i="27" s="1"/>
  <c r="M47" i="27"/>
  <c r="L60" i="27" s="1"/>
  <c r="L62" i="27" s="1"/>
  <c r="L63" i="27" s="1"/>
  <c r="L64" i="27" s="1"/>
  <c r="F47" i="27"/>
  <c r="E60" i="27" s="1"/>
  <c r="E62" i="27" s="1"/>
  <c r="E63" i="27" s="1"/>
  <c r="E64" i="27" s="1"/>
  <c r="E47" i="27"/>
  <c r="D60" i="27" s="1"/>
  <c r="D62" i="27" s="1"/>
  <c r="D63" i="27" s="1"/>
  <c r="D64" i="27" s="1"/>
  <c r="G47" i="27"/>
  <c r="F60" i="27" s="1"/>
  <c r="F62" i="27" s="1"/>
  <c r="F63" i="27" s="1"/>
  <c r="F64" i="27" s="1"/>
  <c r="D47" i="27"/>
  <c r="C60" i="27" s="1"/>
  <c r="C62" i="27" s="1"/>
  <c r="C63" i="27" s="1"/>
  <c r="C64" i="27" s="1"/>
  <c r="N47" i="27"/>
  <c r="M60" i="27" s="1"/>
  <c r="M62" i="27" s="1"/>
  <c r="M63" i="27" s="1"/>
  <c r="M64" i="27" s="1"/>
  <c r="I47" i="27"/>
  <c r="H60" i="27" s="1"/>
  <c r="H62" i="27" s="1"/>
  <c r="H63" i="27" s="1"/>
  <c r="H64" i="27" s="1"/>
  <c r="K47" i="27"/>
  <c r="J60" i="27" s="1"/>
  <c r="J62" i="27" s="1"/>
  <c r="J63" i="27" s="1"/>
  <c r="J64" i="27" s="1"/>
  <c r="C7" i="5"/>
  <c r="J44" i="5"/>
  <c r="J43" i="5"/>
  <c r="J42" i="5"/>
  <c r="J41" i="5"/>
  <c r="J40" i="5"/>
  <c r="J39" i="5"/>
  <c r="J51" i="5"/>
  <c r="J50" i="5"/>
  <c r="J36" i="5"/>
  <c r="J35" i="5"/>
  <c r="L35" i="5" l="1"/>
  <c r="M35" i="5" s="1"/>
  <c r="L36" i="5"/>
  <c r="M36" i="5" s="1"/>
  <c r="J29" i="5"/>
  <c r="L29" i="5" s="1"/>
  <c r="M29" i="5" s="1"/>
  <c r="J28" i="5"/>
  <c r="L28" i="5" s="1"/>
  <c r="M28" i="5" s="1"/>
  <c r="J25" i="5"/>
  <c r="L25" i="5" s="1"/>
  <c r="M25" i="5" s="1"/>
  <c r="J24" i="5"/>
  <c r="L24" i="5" s="1"/>
  <c r="M24" i="5" s="1"/>
  <c r="D78" i="5"/>
  <c r="E78" i="5" s="1"/>
  <c r="F78" i="5" s="1"/>
  <c r="G78" i="5" s="1"/>
  <c r="I78" i="5" s="1"/>
  <c r="D79" i="5"/>
  <c r="E79" i="5" s="1"/>
  <c r="F79" i="5" s="1"/>
  <c r="G79" i="5" s="1"/>
  <c r="I79" i="5" s="1"/>
  <c r="A71" i="5"/>
  <c r="A72" i="5"/>
  <c r="A73" i="5"/>
  <c r="A74" i="5"/>
  <c r="A75" i="5"/>
  <c r="A76" i="5"/>
  <c r="A77" i="5"/>
  <c r="A78" i="5"/>
  <c r="A79" i="5"/>
  <c r="A80" i="5"/>
  <c r="A81" i="5"/>
  <c r="A82" i="5"/>
  <c r="G26" i="5" l="1"/>
  <c r="H26" i="5" s="1"/>
  <c r="J26" i="5"/>
  <c r="L26" i="5" s="1"/>
  <c r="M26" i="5" s="1"/>
  <c r="G27" i="5"/>
  <c r="H27" i="5" s="1"/>
  <c r="J27" i="5"/>
  <c r="L27" i="5" s="1"/>
  <c r="M27" i="5" s="1"/>
  <c r="C8" i="5"/>
  <c r="G41" i="5" s="1"/>
  <c r="H41" i="5" s="1"/>
  <c r="B9" i="5"/>
  <c r="B8" i="5"/>
  <c r="B7" i="5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AO31" i="22"/>
  <c r="AN31" i="22"/>
  <c r="AO30" i="22"/>
  <c r="AN30" i="22"/>
  <c r="AO29" i="22"/>
  <c r="AN29" i="22"/>
  <c r="AO28" i="22"/>
  <c r="AN28" i="22"/>
  <c r="AO27" i="22"/>
  <c r="AN27" i="22"/>
  <c r="AO26" i="22"/>
  <c r="AN26" i="22"/>
  <c r="AO25" i="22"/>
  <c r="AN25" i="22"/>
  <c r="AO24" i="22"/>
  <c r="AN24" i="22"/>
  <c r="AO23" i="22"/>
  <c r="AN23" i="22"/>
  <c r="AO22" i="22"/>
  <c r="AN22" i="22"/>
  <c r="AO21" i="22"/>
  <c r="AN21" i="22"/>
  <c r="AO20" i="22"/>
  <c r="AN20" i="22"/>
  <c r="AO19" i="22"/>
  <c r="AN19" i="22"/>
  <c r="AO18" i="22"/>
  <c r="AN18" i="22"/>
  <c r="AO17" i="22"/>
  <c r="AN17" i="22"/>
  <c r="AO16" i="22"/>
  <c r="AN16" i="22"/>
  <c r="AO15" i="22"/>
  <c r="AN15" i="22"/>
  <c r="AO14" i="22"/>
  <c r="AN14" i="22"/>
  <c r="AO13" i="22"/>
  <c r="AN13" i="22"/>
  <c r="AO12" i="22"/>
  <c r="AN12" i="22"/>
  <c r="AO11" i="22"/>
  <c r="AN11" i="22"/>
  <c r="AO8" i="22"/>
  <c r="AN8" i="22"/>
  <c r="AO7" i="22"/>
  <c r="AN7" i="22"/>
  <c r="AO6" i="22"/>
  <c r="AN6" i="22"/>
  <c r="AH31" i="22"/>
  <c r="AG31" i="22"/>
  <c r="AH30" i="22"/>
  <c r="AG30" i="22"/>
  <c r="AH29" i="22"/>
  <c r="AG29" i="22"/>
  <c r="AH28" i="22"/>
  <c r="AG28" i="22"/>
  <c r="AH27" i="22"/>
  <c r="AG27" i="22"/>
  <c r="AH26" i="22"/>
  <c r="AG26" i="22"/>
  <c r="AH25" i="22"/>
  <c r="AG25" i="22"/>
  <c r="AH24" i="22"/>
  <c r="AG24" i="22"/>
  <c r="AH23" i="22"/>
  <c r="AG23" i="22"/>
  <c r="AH22" i="22"/>
  <c r="AG22" i="22"/>
  <c r="AH21" i="22"/>
  <c r="AG21" i="22"/>
  <c r="AH20" i="22"/>
  <c r="AG20" i="22"/>
  <c r="AH19" i="22"/>
  <c r="AG19" i="22"/>
  <c r="AH18" i="22"/>
  <c r="AG18" i="22"/>
  <c r="AH17" i="22"/>
  <c r="AG17" i="22"/>
  <c r="AH16" i="22"/>
  <c r="AG16" i="22"/>
  <c r="AH15" i="22"/>
  <c r="AG15" i="22"/>
  <c r="AH14" i="22"/>
  <c r="AG14" i="22"/>
  <c r="AH13" i="22"/>
  <c r="AG13" i="22"/>
  <c r="AH12" i="22"/>
  <c r="AG12" i="22"/>
  <c r="AH11" i="22"/>
  <c r="AG11" i="22"/>
  <c r="AH8" i="22"/>
  <c r="AG8" i="22"/>
  <c r="AH7" i="22"/>
  <c r="AG7" i="22"/>
  <c r="AH6" i="22"/>
  <c r="AG6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8" i="22"/>
  <c r="Z8" i="22"/>
  <c r="AA7" i="22"/>
  <c r="Z7" i="22"/>
  <c r="AA6" i="22"/>
  <c r="Z6" i="22"/>
  <c r="T31" i="22"/>
  <c r="S31" i="22"/>
  <c r="T30" i="22"/>
  <c r="S30" i="22"/>
  <c r="T29" i="22"/>
  <c r="S29" i="22"/>
  <c r="T28" i="22"/>
  <c r="S28" i="22"/>
  <c r="T27" i="22"/>
  <c r="S27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T20" i="22"/>
  <c r="S20" i="22"/>
  <c r="T19" i="22"/>
  <c r="S19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12" i="22"/>
  <c r="S12" i="22"/>
  <c r="T11" i="22"/>
  <c r="S11" i="22"/>
  <c r="T8" i="22"/>
  <c r="S8" i="22"/>
  <c r="T7" i="22"/>
  <c r="S7" i="22"/>
  <c r="T6" i="22"/>
  <c r="S6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8" i="22"/>
  <c r="E8" i="22"/>
  <c r="F7" i="22"/>
  <c r="E7" i="22"/>
  <c r="F6" i="22"/>
  <c r="E6" i="22"/>
  <c r="AE13" i="23"/>
  <c r="AD13" i="23"/>
  <c r="AE12" i="23"/>
  <c r="AD12" i="23"/>
  <c r="AE11" i="23"/>
  <c r="AD11" i="23"/>
  <c r="AE10" i="23"/>
  <c r="AD10" i="23"/>
  <c r="AE9" i="23"/>
  <c r="AD9" i="23"/>
  <c r="AE8" i="23"/>
  <c r="AD8" i="23"/>
  <c r="AE7" i="23"/>
  <c r="AD7" i="23"/>
  <c r="AE6" i="23"/>
  <c r="AD6" i="23"/>
  <c r="AE5" i="23"/>
  <c r="AD5" i="23"/>
  <c r="Z13" i="23"/>
  <c r="Y13" i="23"/>
  <c r="Z12" i="23"/>
  <c r="Y12" i="23"/>
  <c r="Z11" i="23"/>
  <c r="Y11" i="23"/>
  <c r="Z10" i="23"/>
  <c r="Y10" i="23"/>
  <c r="Z9" i="23"/>
  <c r="Y9" i="23"/>
  <c r="Z8" i="23"/>
  <c r="Y8" i="23"/>
  <c r="Z7" i="23"/>
  <c r="Y7" i="23"/>
  <c r="Z6" i="23"/>
  <c r="Y6" i="23"/>
  <c r="Z5" i="23"/>
  <c r="Y5" i="23"/>
  <c r="U13" i="23"/>
  <c r="T13" i="23"/>
  <c r="U12" i="23"/>
  <c r="T12" i="23"/>
  <c r="U11" i="23"/>
  <c r="T11" i="23"/>
  <c r="U10" i="23"/>
  <c r="T10" i="23"/>
  <c r="U9" i="23"/>
  <c r="T9" i="23"/>
  <c r="U8" i="23"/>
  <c r="T8" i="23"/>
  <c r="U7" i="23"/>
  <c r="T7" i="23"/>
  <c r="U6" i="23"/>
  <c r="T6" i="23"/>
  <c r="U5" i="23"/>
  <c r="T5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F5" i="23"/>
  <c r="E5" i="23"/>
  <c r="AE19" i="24"/>
  <c r="AD19" i="24"/>
  <c r="AE18" i="24"/>
  <c r="AD18" i="24"/>
  <c r="AE17" i="24"/>
  <c r="AD17" i="24"/>
  <c r="AE16" i="24"/>
  <c r="AD16" i="24"/>
  <c r="AE15" i="24"/>
  <c r="AD15" i="24"/>
  <c r="AE14" i="24"/>
  <c r="AD14" i="24"/>
  <c r="AE13" i="24"/>
  <c r="AD13" i="24"/>
  <c r="AE12" i="24"/>
  <c r="AD12" i="24"/>
  <c r="AE11" i="24"/>
  <c r="AD11" i="24"/>
  <c r="AE10" i="24"/>
  <c r="AD10" i="24"/>
  <c r="AE9" i="24"/>
  <c r="AD9" i="24"/>
  <c r="AE8" i="24"/>
  <c r="AD8" i="24"/>
  <c r="AE7" i="24"/>
  <c r="AD7" i="24"/>
  <c r="AE6" i="24"/>
  <c r="AD6" i="24"/>
  <c r="AE5" i="24"/>
  <c r="AD5" i="24"/>
  <c r="Z19" i="24"/>
  <c r="Y19" i="24"/>
  <c r="Z18" i="24"/>
  <c r="Y18" i="24"/>
  <c r="Z17" i="24"/>
  <c r="Y17" i="24"/>
  <c r="Z16" i="24"/>
  <c r="Y16" i="24"/>
  <c r="Z15" i="24"/>
  <c r="Y15" i="24"/>
  <c r="Z14" i="24"/>
  <c r="Y14" i="24"/>
  <c r="Z13" i="24"/>
  <c r="Y13" i="24"/>
  <c r="Z12" i="24"/>
  <c r="Y12" i="24"/>
  <c r="Z11" i="24"/>
  <c r="Y11" i="24"/>
  <c r="Z10" i="24"/>
  <c r="Y10" i="24"/>
  <c r="Z9" i="24"/>
  <c r="Y9" i="24"/>
  <c r="Z8" i="24"/>
  <c r="Y8" i="24"/>
  <c r="Z7" i="24"/>
  <c r="Y7" i="24"/>
  <c r="Z6" i="24"/>
  <c r="Y6" i="24"/>
  <c r="Z5" i="24"/>
  <c r="Y5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U12" i="24"/>
  <c r="T12" i="24"/>
  <c r="U11" i="24"/>
  <c r="T11" i="24"/>
  <c r="U10" i="24"/>
  <c r="T10" i="24"/>
  <c r="U9" i="24"/>
  <c r="T9" i="24"/>
  <c r="U8" i="24"/>
  <c r="T8" i="24"/>
  <c r="U7" i="24"/>
  <c r="T7" i="24"/>
  <c r="U6" i="24"/>
  <c r="T6" i="24"/>
  <c r="U5" i="24"/>
  <c r="T5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P8" i="24"/>
  <c r="O8" i="24"/>
  <c r="P7" i="24"/>
  <c r="O7" i="24"/>
  <c r="P6" i="24"/>
  <c r="O6" i="24"/>
  <c r="P5" i="24"/>
  <c r="O5" i="24"/>
  <c r="J5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D11" i="5"/>
  <c r="D10" i="5"/>
  <c r="C11" i="5"/>
  <c r="B11" i="5"/>
  <c r="B10" i="5"/>
  <c r="G35" i="5" l="1"/>
  <c r="N20" i="5"/>
  <c r="M20" i="5"/>
  <c r="N19" i="5"/>
  <c r="M19" i="5"/>
  <c r="N16" i="5"/>
  <c r="M16" i="5"/>
  <c r="N15" i="5"/>
  <c r="M15" i="5"/>
  <c r="D70" i="5"/>
  <c r="N36" i="5" l="1"/>
  <c r="N35" i="5"/>
  <c r="N31" i="5"/>
  <c r="N26" i="5"/>
  <c r="N34" i="5"/>
  <c r="N32" i="5"/>
  <c r="N27" i="5"/>
  <c r="N33" i="5"/>
  <c r="N29" i="5"/>
  <c r="N28" i="5"/>
  <c r="N30" i="5"/>
  <c r="E70" i="5"/>
  <c r="D80" i="5"/>
  <c r="E80" i="5" s="1"/>
  <c r="H35" i="5"/>
  <c r="D21" i="24"/>
  <c r="B21" i="24"/>
  <c r="C21" i="24"/>
  <c r="J39" i="4" l="1"/>
  <c r="K39" i="4" s="1"/>
  <c r="N12" i="5" l="1"/>
  <c r="M12" i="5"/>
  <c r="N11" i="5"/>
  <c r="M11" i="5"/>
  <c r="N8" i="5"/>
  <c r="M8" i="5"/>
  <c r="N7" i="5"/>
  <c r="M7" i="5"/>
  <c r="N24" i="5" l="1"/>
  <c r="I41" i="5"/>
  <c r="I26" i="5"/>
  <c r="I27" i="5"/>
  <c r="N25" i="5"/>
  <c r="I35" i="5"/>
  <c r="D77" i="5"/>
  <c r="D76" i="5"/>
  <c r="D75" i="5"/>
  <c r="D74" i="5"/>
  <c r="D73" i="5"/>
  <c r="D72" i="5"/>
  <c r="D82" i="5" s="1"/>
  <c r="E82" i="5" s="1"/>
  <c r="D71" i="5"/>
  <c r="D81" i="5" s="1"/>
  <c r="E81" i="5" s="1"/>
  <c r="A70" i="5" l="1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E72" i="5" l="1"/>
  <c r="F72" i="5" s="1"/>
  <c r="E75" i="5"/>
  <c r="F75" i="5" s="1"/>
  <c r="G75" i="5" s="1"/>
  <c r="I75" i="5" s="1"/>
  <c r="E74" i="5"/>
  <c r="F74" i="5" s="1"/>
  <c r="G74" i="5" s="1"/>
  <c r="I74" i="5" s="1"/>
  <c r="E71" i="5"/>
  <c r="F71" i="5" s="1"/>
  <c r="F70" i="5"/>
  <c r="G71" i="5" l="1"/>
  <c r="I71" i="5" s="1"/>
  <c r="G70" i="5"/>
  <c r="I70" i="5" s="1"/>
  <c r="G72" i="5"/>
  <c r="I72" i="5" s="1"/>
  <c r="E76" i="5"/>
  <c r="F76" i="5" s="1"/>
  <c r="G76" i="5" s="1"/>
  <c r="I76" i="5" s="1"/>
  <c r="E73" i="5"/>
  <c r="F73" i="5" s="1"/>
  <c r="G73" i="5" s="1"/>
  <c r="I73" i="5" s="1"/>
  <c r="E77" i="5"/>
  <c r="F77" i="5" s="1"/>
  <c r="G77" i="5" s="1"/>
  <c r="I77" i="5" s="1"/>
  <c r="F80" i="5" l="1"/>
  <c r="G80" i="5" s="1"/>
  <c r="I80" i="5" s="1"/>
  <c r="F82" i="5"/>
  <c r="G82" i="5" s="1"/>
  <c r="I82" i="5" s="1"/>
  <c r="F81" i="5"/>
  <c r="G81" i="5" s="1"/>
  <c r="I81" i="5" s="1"/>
  <c r="A2" i="2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V22" i="4"/>
  <c r="U22" i="4"/>
  <c r="T22" i="4"/>
  <c r="S22" i="4"/>
  <c r="R22" i="4"/>
  <c r="Q22" i="4"/>
  <c r="F19" i="4"/>
  <c r="F20" i="4" s="1"/>
  <c r="F21" i="4" s="1"/>
  <c r="L44" i="4" l="1"/>
  <c r="L40" i="4"/>
  <c r="M40" i="4" s="1"/>
  <c r="L36" i="4"/>
  <c r="M36" i="4" s="1"/>
  <c r="L32" i="4"/>
  <c r="M32" i="4" s="1"/>
  <c r="L43" i="4"/>
  <c r="L31" i="4"/>
  <c r="M31" i="4" s="1"/>
  <c r="L42" i="4"/>
  <c r="M42" i="4" s="1"/>
  <c r="L38" i="4"/>
  <c r="M38" i="4" s="1"/>
  <c r="L34" i="4"/>
  <c r="M34" i="4" s="1"/>
  <c r="L30" i="4"/>
  <c r="M30" i="4" s="1"/>
  <c r="L39" i="4"/>
  <c r="L41" i="4"/>
  <c r="M41" i="4" s="1"/>
  <c r="L37" i="4"/>
  <c r="M37" i="4" s="1"/>
  <c r="L33" i="4"/>
  <c r="M33" i="4" s="1"/>
  <c r="L29" i="4"/>
  <c r="M29" i="4" s="1"/>
  <c r="L35" i="4"/>
  <c r="M35" i="4" s="1"/>
  <c r="M43" i="4"/>
  <c r="M44" i="4"/>
  <c r="F22" i="4"/>
  <c r="O35" i="4" l="1"/>
  <c r="N35" i="4"/>
  <c r="O32" i="4"/>
  <c r="N32" i="4"/>
  <c r="O42" i="4"/>
  <c r="N42" i="4"/>
  <c r="O36" i="4"/>
  <c r="N36" i="4"/>
  <c r="O38" i="4"/>
  <c r="N38" i="4"/>
  <c r="O44" i="4"/>
  <c r="N44" i="4"/>
  <c r="O33" i="4"/>
  <c r="N33" i="4"/>
  <c r="O30" i="4"/>
  <c r="N30" i="4"/>
  <c r="O31" i="4"/>
  <c r="N31" i="4"/>
  <c r="O40" i="4"/>
  <c r="N40" i="4"/>
  <c r="O41" i="4"/>
  <c r="N41" i="4"/>
  <c r="O29" i="4"/>
  <c r="N29" i="4"/>
  <c r="O43" i="4"/>
  <c r="N43" i="4"/>
  <c r="O37" i="4"/>
  <c r="N37" i="4"/>
  <c r="O34" i="4"/>
  <c r="N34" i="4"/>
  <c r="M39" i="4"/>
  <c r="N39" i="4" s="1"/>
  <c r="H37" i="4"/>
  <c r="P37" i="4"/>
  <c r="H33" i="4"/>
  <c r="P33" i="4"/>
  <c r="P32" i="4"/>
  <c r="H32" i="4"/>
  <c r="P42" i="4"/>
  <c r="H42" i="4"/>
  <c r="P40" i="4"/>
  <c r="H40" i="4"/>
  <c r="P29" i="4"/>
  <c r="H29" i="4"/>
  <c r="P31" i="4"/>
  <c r="H31" i="4"/>
  <c r="P30" i="4"/>
  <c r="H30" i="4"/>
  <c r="P35" i="4"/>
  <c r="H35" i="4"/>
  <c r="P44" i="4"/>
  <c r="H44" i="4"/>
  <c r="H41" i="4"/>
  <c r="P41" i="4"/>
  <c r="P36" i="4"/>
  <c r="H36" i="4"/>
  <c r="P38" i="4"/>
  <c r="H38" i="4"/>
  <c r="P34" i="4"/>
  <c r="H34" i="4"/>
  <c r="P43" i="4"/>
  <c r="H43" i="4"/>
  <c r="P39" i="4" l="1"/>
  <c r="O39" i="4"/>
  <c r="H39" i="4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Gamma ray exposure constant from Table 22-4, Cherry, Sorenson, Phelps, Physics in Nuclear Medicine 3ed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activity in patient is attenuated by ~1 HVL of soft tissue (about 5 cm)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Fraction of hour @ avg. activity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0.15 voided activity factor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C - Controlled
U - Uncontrolled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Sum of the exposures from the source areas to each target area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5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<sst xmlns="http://schemas.openxmlformats.org/spreadsheetml/2006/main" count="1031" uniqueCount="392">
  <si>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</si>
  <si>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</si>
  <si>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</si>
  <si>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</si>
  <si>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</si>
  <si>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</si>
  <si>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</si>
  <si>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</si>
  <si>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</si>
  <si>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</si>
  <si>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</si>
  <si>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</si>
  <si>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</si>
  <si>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</si>
  <si>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</si>
  <si>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</si>
  <si>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</si>
  <si>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</si>
  <si>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</si>
  <si>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</si>
  <si>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</si>
  <si>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</si>
  <si>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</si>
  <si>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</si>
  <si>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</si>
  <si>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</si>
  <si>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</si>
  <si>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</si>
  <si>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</si>
  <si>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</si>
  <si>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</si>
  <si>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</si>
  <si>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</si>
  <si>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</si>
  <si>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</si>
  <si>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</si>
  <si>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</si>
  <si>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</si>
  <si>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</si>
  <si>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</si>
  <si>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</si>
  <si>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</si>
  <si>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</si>
  <si>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</si>
  <si>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</si>
  <si>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</si>
  <si>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</si>
  <si>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</si>
  <si>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</si>
  <si>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</si>
  <si>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</si>
  <si>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</si>
  <si>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</si>
  <si>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</si>
  <si>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</si>
  <si>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</si>
  <si>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</si>
  <si>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</si>
  <si>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</si>
  <si>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</si>
  <si>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</si>
  <si>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</si>
  <si>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</si>
  <si>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</si>
  <si>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</si>
  <si>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</si>
  <si>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</si>
  <si>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</si>
  <si>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</si>
  <si>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</si>
  <si>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</si>
  <si>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</si>
  <si>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</si>
  <si>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</si>
  <si>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</si>
  <si>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</si>
  <si>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</si>
  <si>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</si>
  <si>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</si>
  <si>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</si>
  <si>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</si>
  <si>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</si>
  <si>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</si>
  <si>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</si>
  <si>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</si>
  <si>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</si>
  <si>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</si>
  <si>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</si>
  <si>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</si>
  <si>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</si>
  <si>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</si>
  <si>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</si>
  <si>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</si>
  <si>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</si>
  <si>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</si>
  <si>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</si>
  <si>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</si>
  <si>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</si>
  <si>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</si>
  <si>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</si>
  <si>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</si>
  <si>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</si>
  <si>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</si>
  <si>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</si>
  <si>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</si>
  <si>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</si>
  <si>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</si>
  <si>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</si>
  <si>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</si>
  <si>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</si>
  <si>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</si>
  <si>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</si>
  <si>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</si>
  <si>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</si>
  <si>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</si>
  <si>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</si>
  <si>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</si>
  <si>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</si>
  <si>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</si>
  <si>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</si>
  <si>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</si>
  <si>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</si>
  <si>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</si>
  <si>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</si>
  <si>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</si>
  <si>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</si>
  <si>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</si>
  <si>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</si>
  <si>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</si>
  <si>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</si>
  <si>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</si>
  <si>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</si>
  <si>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</si>
  <si>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</si>
  <si>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</si>
  <si>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</si>
  <si>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</si>
  <si>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</si>
  <si>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</si>
  <si>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</si>
  <si>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</si>
  <si>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</si>
  <si>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</si>
  <si>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</si>
  <si>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</si>
  <si>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</si>
  <si>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</si>
  <si>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</si>
  <si>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</si>
  <si>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</si>
  <si>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</si>
  <si>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</si>
  <si>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</si>
  <si>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</si>
  <si>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</si>
  <si>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</si>
  <si>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</si>
  <si>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</si>
  <si>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</si>
  <si>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</si>
  <si>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</si>
  <si>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</si>
  <si>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</si>
  <si>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</si>
  <si>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</si>
  <si>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</si>
  <si>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</si>
  <si>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</si>
  <si>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</si>
  <si>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</si>
  <si>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</si>
  <si>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</si>
  <si>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</si>
  <si>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</si>
  <si>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</si>
  <si>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</si>
  <si>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</si>
  <si>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</si>
  <si>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</si>
  <si>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</si>
  <si>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</si>
  <si>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</si>
  <si>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</si>
  <si>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</si>
  <si>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</si>
  <si>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</si>
  <si>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</si>
  <si>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</si>
  <si>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</si>
  <si>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</si>
  <si>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</si>
  <si>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</si>
  <si>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</si>
  <si>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</si>
  <si>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</si>
  <si>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</si>
  <si>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</si>
  <si>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</si>
  <si>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</si>
  <si>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</si>
  <si>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</si>
  <si>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</si>
  <si>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</si>
  <si>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</si>
  <si>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</si>
  <si>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</si>
  <si>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</si>
  <si>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</si>
  <si>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</si>
  <si>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</si>
  <si>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</si>
  <si>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</si>
  <si>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</si>
  <si>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</si>
  <si>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</si>
  <si>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</si>
  <si>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</si>
  <si>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</si>
  <si>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</si>
  <si>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</si>
  <si>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</si>
  <si>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</si>
  <si>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</si>
  <si>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</si>
  <si>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</si>
  <si>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</si>
  <si>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</si>
  <si>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</si>
  <si>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</si>
  <si>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</si>
  <si>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</si>
  <si>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</si>
  <si>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</si>
  <si>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</si>
  <si>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</si>
  <si>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</si>
  <si>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</si>
  <si>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</si>
  <si>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</si>
  <si>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</si>
  <si>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</si>
  <si>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</si>
  <si>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</si>
  <si>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</si>
  <si>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</si>
  <si>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</si>
  <si>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</si>
  <si>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</si>
  <si>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</si>
  <si>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</si>
  <si>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</si>
  <si>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</si>
  <si>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</si>
  <si>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</si>
  <si>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</si>
  <si>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</si>
  <si>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</si>
  <si>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</si>
  <si>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</si>
  <si>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</si>
  <si>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</si>
  <si>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</si>
  <si>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</si>
  <si>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</si>
  <si>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</si>
  <si>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</si>
  <si>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</si>
  <si>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</si>
  <si>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</si>
  <si>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</si>
  <si>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</si>
  <si>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</si>
  <si>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</si>
  <si>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</si>
  <si>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</si>
  <si>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</si>
  <si>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</si>
  <si>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</si>
  <si>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</si>
  <si>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</si>
  <si>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</si>
  <si>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</si>
  <si>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</si>
  <si>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</si>
  <si>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</si>
  <si>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</si>
  <si>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</si>
  <si>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</si>
  <si>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</si>
  <si>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</si>
  <si>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</si>
  <si>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</si>
  <si>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</si>
  <si>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</si>
  <si>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</si>
  <si>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</si>
  <si>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</si>
  <si>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</si>
  <si>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</si>
  <si>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</si>
  <si>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</si>
  <si>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</si>
  <si>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</si>
  <si>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</si>
  <si>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</si>
  <si>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</si>
  <si>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</si>
  <si>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</si>
  <si>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</si>
  <si>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</si>
  <si>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</si>
  <si>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</si>
  <si>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</si>
  <si>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</si>
  <si>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</si>
  <si>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</si>
  <si>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</si>
  <si>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</si>
  <si>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</si>
  <si>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</si>
  <si>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</si>
  <si>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</si>
  <si>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</si>
  <si>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</si>
  <si>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</si>
  <si>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</si>
  <si>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</si>
  <si>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</si>
  <si>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</si>
  <si>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</si>
  <si>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</si>
  <si>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</si>
  <si>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</si>
  <si>
    <t>Tc-99m</t>
  </si>
  <si>
    <t>mSv-m^2/MBq-h</t>
  </si>
  <si>
    <t>Activity Calculations</t>
  </si>
  <si>
    <t>N/day</t>
  </si>
  <si>
    <t>mCi</t>
  </si>
  <si>
    <t>MBq</t>
  </si>
  <si>
    <t>N/week</t>
  </si>
  <si>
    <t>Patients per week</t>
  </si>
  <si>
    <t>Administered activity</t>
  </si>
  <si>
    <t>Sources</t>
  </si>
  <si>
    <t>Avg activity (MBq)</t>
  </si>
  <si>
    <t>Work factor</t>
  </si>
  <si>
    <t>MBq-h/wk</t>
  </si>
  <si>
    <t>mSv-m^2/wk</t>
  </si>
  <si>
    <t>Equivalent unshielded activity in patient</t>
  </si>
  <si>
    <t>Hot lab</t>
  </si>
  <si>
    <t>Uptake duration (minutes)</t>
  </si>
  <si>
    <t>NM Hold 1</t>
  </si>
  <si>
    <t>Avg activity during uptake</t>
  </si>
  <si>
    <t>NM Hold 2</t>
  </si>
  <si>
    <t>Activity at end of uptake</t>
  </si>
  <si>
    <t>NM Camera 1</t>
  </si>
  <si>
    <t>Activity following void</t>
  </si>
  <si>
    <t>NM Camera 2</t>
  </si>
  <si>
    <t>Scan duration (minutes)</t>
  </si>
  <si>
    <t>Stress Lab</t>
  </si>
  <si>
    <t>Avg activity during scan</t>
  </si>
  <si>
    <t>Hot Toilet</t>
  </si>
  <si>
    <t>Activty at end of scan</t>
  </si>
  <si>
    <t>Radiology Waiting</t>
  </si>
  <si>
    <t>Lead mass attenuation coeff</t>
  </si>
  <si>
    <t>Lead density</t>
  </si>
  <si>
    <t>Areas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</si>
  <si>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</si>
  <si>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</si>
  <si>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</si>
  <si>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</si>
  <si>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</si>
  <si>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</si>
  <si>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</si>
  <si>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</si>
  <si>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</si>
  <si>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</si>
  <si>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</si>
  <si>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</si>
  <si>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</si>
  <si>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</si>
  <si>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</si>
  <si>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</si>
  <si>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</si>
  <si>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</si>
  <si>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</si>
  <si>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</si>
  <si>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</si>
  <si>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</si>
  <si>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</si>
  <si>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Target area</t>
  </si>
  <si>
    <t>Source area</t>
  </si>
  <si>
    <t>Required shielding for each target area from each source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</si>
</sst>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72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165" fontId="8" fillId="0" borderId="24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95250</xdr:rowOff>
    </xdr:from>
    <xdr:to>
      <xdr:col>4</xdr:col>
      <xdr:colOff>0</xdr:colOff>
      <xdr:row>77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ART/ARTNM/NM01/ARTNM01_Shield_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CT"/>
      <sheetName val="NM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</row>
      </sheetData>
      <sheetData sheetId="1">
        <row r="7">
          <cell r="C7">
            <v>5.2</v>
          </cell>
        </row>
      </sheetData>
      <sheetData sheetId="2">
        <row r="19">
          <cell r="B19" t="str">
            <v>Patients per day</v>
          </cell>
        </row>
      </sheetData>
      <sheetData sheetId="3"/>
      <sheetData sheetId="4">
        <row r="16">
          <cell r="H16" t="str">
            <v/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7" sqref="E7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46" t="s">
        <v>248</v>
      </c>
      <c r="F6" s="346"/>
      <c r="G6" s="346"/>
      <c r="H6" s="346"/>
      <c r="I6" s="346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46" t="s">
        <v>94</v>
      </c>
      <c r="C4" s="346"/>
      <c r="D4" s="346"/>
      <c r="E4" s="346"/>
      <c r="F4" s="346"/>
      <c r="G4" s="346"/>
      <c r="H4" s="346"/>
      <c r="I4" s="346" t="s">
        <v>95</v>
      </c>
      <c r="J4" s="346"/>
      <c r="K4" s="346"/>
      <c r="L4" s="346"/>
      <c r="M4" s="346"/>
      <c r="N4" s="346"/>
      <c r="O4" s="346"/>
      <c r="P4" s="346" t="s">
        <v>52</v>
      </c>
      <c r="Q4" s="346"/>
      <c r="R4" s="346"/>
      <c r="S4" s="346"/>
      <c r="T4" s="346"/>
      <c r="U4" s="346"/>
      <c r="V4" s="346"/>
      <c r="W4" s="346" t="s">
        <v>54</v>
      </c>
      <c r="X4" s="346"/>
      <c r="Y4" s="346"/>
      <c r="Z4" s="346"/>
      <c r="AA4" s="346"/>
      <c r="AB4" s="346"/>
      <c r="AC4" s="346"/>
      <c r="AD4" s="346" t="s">
        <v>96</v>
      </c>
      <c r="AE4" s="346"/>
      <c r="AF4" s="346"/>
      <c r="AG4" s="346"/>
      <c r="AH4" s="346"/>
      <c r="AI4" s="346"/>
      <c r="AJ4" s="346"/>
      <c r="AK4" s="346" t="s">
        <v>58</v>
      </c>
      <c r="AL4" s="346"/>
      <c r="AM4" s="346"/>
      <c r="AN4" s="346"/>
      <c r="AO4" s="346"/>
      <c r="AP4" s="346"/>
      <c r="AQ4" s="346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/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46" t="s">
        <v>94</v>
      </c>
      <c r="C2" s="346"/>
      <c r="D2" s="346"/>
      <c r="E2" s="323"/>
      <c r="F2" s="323"/>
      <c r="G2" s="346" t="s">
        <v>95</v>
      </c>
      <c r="H2" s="346"/>
      <c r="I2" s="346"/>
      <c r="J2" s="323"/>
      <c r="K2" s="323"/>
      <c r="L2" s="346" t="s">
        <v>52</v>
      </c>
      <c r="M2" s="346"/>
      <c r="N2" s="346"/>
      <c r="O2" s="323"/>
      <c r="P2" s="323"/>
      <c r="Q2" s="346" t="s">
        <v>54</v>
      </c>
      <c r="R2" s="346"/>
      <c r="S2" s="346"/>
      <c r="T2" s="323"/>
      <c r="U2" s="323"/>
      <c r="V2" s="346" t="s">
        <v>96</v>
      </c>
      <c r="W2" s="346"/>
      <c r="X2" s="346"/>
      <c r="Y2" s="323"/>
      <c r="Z2" s="323"/>
      <c r="AA2" s="346" t="s">
        <v>58</v>
      </c>
      <c r="AB2" s="346"/>
      <c r="AC2" s="346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46" t="s">
        <v>94</v>
      </c>
      <c r="C12" s="346"/>
      <c r="D12" s="346"/>
      <c r="E12" s="323"/>
      <c r="F12" s="323"/>
      <c r="G12" s="346" t="s">
        <v>95</v>
      </c>
      <c r="H12" s="346"/>
      <c r="I12" s="346"/>
      <c r="J12" s="323"/>
      <c r="K12" s="323"/>
      <c r="L12" s="346" t="s">
        <v>52</v>
      </c>
      <c r="M12" s="346"/>
      <c r="N12" s="346"/>
      <c r="O12" s="323"/>
      <c r="P12" s="323"/>
      <c r="Q12" s="346" t="s">
        <v>54</v>
      </c>
      <c r="R12" s="346"/>
      <c r="S12" s="346"/>
      <c r="T12" s="323"/>
      <c r="U12" s="323"/>
      <c r="V12" s="346" t="s">
        <v>96</v>
      </c>
      <c r="W12" s="346"/>
      <c r="X12" s="346"/>
      <c r="Y12" s="323"/>
      <c r="Z12" s="323"/>
      <c r="AA12" s="346" t="s">
        <v>58</v>
      </c>
      <c r="AB12" s="346"/>
      <c r="AC12" s="346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46" t="s">
        <v>94</v>
      </c>
      <c r="C24" s="346"/>
      <c r="D24" s="346"/>
      <c r="E24" s="323"/>
      <c r="F24" s="323"/>
      <c r="G24" s="346" t="s">
        <v>95</v>
      </c>
      <c r="H24" s="346"/>
      <c r="I24" s="346"/>
      <c r="J24" s="323"/>
      <c r="K24" s="323"/>
      <c r="L24" s="346" t="s">
        <v>52</v>
      </c>
      <c r="M24" s="346"/>
      <c r="N24" s="346"/>
      <c r="O24" s="323"/>
      <c r="P24" s="323"/>
      <c r="Q24" s="346" t="s">
        <v>54</v>
      </c>
      <c r="R24" s="346"/>
      <c r="S24" s="346"/>
      <c r="T24" s="323"/>
      <c r="U24" s="323"/>
      <c r="V24" s="346" t="s">
        <v>96</v>
      </c>
      <c r="W24" s="346"/>
      <c r="X24" s="346"/>
      <c r="Y24" s="323"/>
      <c r="Z24" s="323"/>
      <c r="AA24" s="346" t="s">
        <v>58</v>
      </c>
      <c r="AB24" s="346"/>
      <c r="AC24" s="346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46" t="s">
        <v>94</v>
      </c>
      <c r="D34" s="346"/>
      <c r="E34" s="346"/>
      <c r="F34" s="346"/>
      <c r="G34" s="346"/>
      <c r="H34" s="346" t="s">
        <v>95</v>
      </c>
      <c r="I34" s="346"/>
      <c r="J34" s="346"/>
      <c r="K34" s="346"/>
      <c r="L34" s="346"/>
      <c r="M34" s="346" t="s">
        <v>52</v>
      </c>
      <c r="N34" s="346"/>
      <c r="O34" s="346"/>
      <c r="P34" s="346"/>
      <c r="Q34" s="346"/>
      <c r="R34" s="346" t="s">
        <v>54</v>
      </c>
      <c r="S34" s="346"/>
      <c r="T34" s="346"/>
      <c r="U34" s="346"/>
      <c r="V34" s="346"/>
      <c r="W34" s="346" t="s">
        <v>96</v>
      </c>
      <c r="X34" s="346"/>
      <c r="Y34" s="346"/>
      <c r="Z34" s="346"/>
      <c r="AA34" s="346"/>
      <c r="AB34" s="346" t="s">
        <v>58</v>
      </c>
      <c r="AC34" s="346"/>
      <c r="AD34" s="346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mergeCells count="24"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  <mergeCell ref="AA2:AC2"/>
    <mergeCell ref="B2:D2"/>
    <mergeCell ref="G2:I2"/>
    <mergeCell ref="L2:N2"/>
    <mergeCell ref="Q2:S2"/>
    <mergeCell ref="V2:X2"/>
    <mergeCell ref="AB34:AD34"/>
    <mergeCell ref="C34:G34"/>
    <mergeCell ref="H34:L34"/>
    <mergeCell ref="M34:Q34"/>
    <mergeCell ref="R34:V34"/>
    <mergeCell ref="W34:A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zoomScaleNormal="100" workbookViewId="0"/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20" width="8.6640625" style="306" customWidth="1"/>
    <col min="21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33"/>
      <c r="C2" s="334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35" t="s">
        <v>59</v>
      </c>
      <c r="C5" s="335"/>
      <c r="D5" s="335" t="s">
        <v>328</v>
      </c>
      <c r="E5" s="335"/>
      <c r="F5" s="335"/>
      <c r="J5" s="336" t="s">
        <v>305</v>
      </c>
      <c r="K5" s="335"/>
      <c r="L5" s="335"/>
      <c r="M5" s="335"/>
      <c r="N5" s="335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31" t="s">
        <v>306</v>
      </c>
      <c r="K9" s="332"/>
      <c r="L9" s="332"/>
      <c r="M9" s="332"/>
      <c r="N9" s="332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31" t="s">
        <v>303</v>
      </c>
      <c r="K13" s="332"/>
      <c r="L13" s="332"/>
      <c r="M13" s="332"/>
      <c r="N13" s="332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31" t="s">
        <v>304</v>
      </c>
      <c r="K17" s="332"/>
      <c r="L17" s="332"/>
      <c r="M17" s="332"/>
      <c r="N17" s="332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</sheetData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workbookViewId="0"/>
  </sheetViews>
  <sheetFormatPr defaultRowHeight="12.75" x14ac:dyDescent="0.2"/>
  <cols>
    <col min="1" max="1" width="16.83203125" style="349" customWidth="1"/>
    <col min="2" max="2" width="12.5" style="349" customWidth="1"/>
    <col min="3" max="3" width="12.1640625" style="349" customWidth="1"/>
    <col min="4" max="4" width="11" style="349" customWidth="1"/>
    <col min="5" max="5" width="12.6640625" style="349" customWidth="1"/>
    <col min="6" max="11" width="10.6640625" style="349" bestFit="1" customWidth="1"/>
    <col min="12" max="12" width="11.83203125" style="349" bestFit="1" customWidth="1"/>
    <col min="13" max="13" width="12.6640625" style="349" bestFit="1" customWidth="1"/>
    <col min="14" max="16384" width="9.33203125" style="349"/>
  </cols>
  <sheetData>
    <row r="1" spans="1:14" x14ac:dyDescent="0.2">
      <c r="A1" s="349" t="s">
        <v>333</v>
      </c>
      <c r="B1" s="350">
        <v>3.3170000000000003E-5</v>
      </c>
      <c r="C1" s="349" t="s">
        <v>334</v>
      </c>
      <c r="H1" s="351"/>
      <c r="L1" s="351" t="s">
        <v>335</v>
      </c>
    </row>
    <row r="2" spans="1:14" x14ac:dyDescent="0.2">
      <c r="A2" s="349" t="s">
        <v>336</v>
      </c>
      <c r="B2" s="349">
        <v>20</v>
      </c>
      <c r="C2" s="349" t="str">
        <f>[1]CT!B19</f>
        <v>Patients per day</v>
      </c>
      <c r="L2" s="349" t="s">
        <v>337</v>
      </c>
      <c r="M2" s="349" t="s">
        <v>338</v>
      </c>
    </row>
    <row r="3" spans="1:14" x14ac:dyDescent="0.2">
      <c r="A3" s="349" t="s">
        <v>339</v>
      </c>
      <c r="B3" s="349">
        <f>NDAY*5</f>
        <v>100</v>
      </c>
      <c r="C3" s="349" t="s">
        <v>340</v>
      </c>
      <c r="L3" s="352">
        <v>30</v>
      </c>
      <c r="M3" s="352">
        <f>L3*37</f>
        <v>1110</v>
      </c>
      <c r="N3" s="349" t="s">
        <v>341</v>
      </c>
    </row>
    <row r="4" spans="1:14" x14ac:dyDescent="0.2">
      <c r="L4" s="355">
        <f>L3/(2^1)</f>
        <v>15</v>
      </c>
      <c r="M4" s="355">
        <f>M3/(2^1)</f>
        <v>555</v>
      </c>
      <c r="N4" s="349" t="s">
        <v>347</v>
      </c>
    </row>
    <row r="5" spans="1:14" x14ac:dyDescent="0.2">
      <c r="A5" s="353" t="s">
        <v>342</v>
      </c>
      <c r="L5" s="352"/>
      <c r="M5" s="352">
        <v>60</v>
      </c>
      <c r="N5" s="349" t="s">
        <v>349</v>
      </c>
    </row>
    <row r="6" spans="1:14" s="354" customFormat="1" ht="25.5" x14ac:dyDescent="0.2">
      <c r="B6" s="363" t="s">
        <v>343</v>
      </c>
      <c r="C6" s="363" t="s">
        <v>344</v>
      </c>
      <c r="D6" s="363" t="s">
        <v>345</v>
      </c>
      <c r="E6" s="363" t="s">
        <v>346</v>
      </c>
      <c r="L6" s="352">
        <f>L4*1.443*109.8*(1-EXP(-LN(2)*M5/109.8))/M5</f>
        <v>12.488993056193506</v>
      </c>
      <c r="M6" s="352">
        <f>M4*1.443*109.8*(1-EXP(-LN(2)*M5/109.8))/M5</f>
        <v>462.09274307915973</v>
      </c>
      <c r="N6" s="349" t="s">
        <v>351</v>
      </c>
    </row>
    <row r="7" spans="1:14" x14ac:dyDescent="0.2">
      <c r="A7" s="359" t="s">
        <v>348</v>
      </c>
      <c r="B7" s="361">
        <f>M3</f>
        <v>1110</v>
      </c>
      <c r="C7" s="360">
        <v>0.05</v>
      </c>
      <c r="D7" s="361">
        <f>B7*C7*40*NWEEK</f>
        <v>222000</v>
      </c>
      <c r="E7" s="362">
        <f>D7*$B$1</f>
        <v>7.3637400000000008</v>
      </c>
      <c r="L7" s="352">
        <f>L4*EXP(-LN(2)*M5/109.8)</f>
        <v>10.270556916490195</v>
      </c>
      <c r="M7" s="352">
        <f>M4*EXP(-LN(2)*M5/109.8)</f>
        <v>380.01060591013726</v>
      </c>
      <c r="N7" s="349" t="s">
        <v>353</v>
      </c>
    </row>
    <row r="8" spans="1:14" x14ac:dyDescent="0.2">
      <c r="A8" s="359" t="s">
        <v>350</v>
      </c>
      <c r="B8" s="361">
        <f>M4</f>
        <v>555</v>
      </c>
      <c r="C8" s="360">
        <v>0.2</v>
      </c>
      <c r="D8" s="361">
        <f>B8*C8*40*NWEEK</f>
        <v>444000</v>
      </c>
      <c r="E8" s="362">
        <f t="shared" ref="E8:E14" si="0">D8*$B$1</f>
        <v>14.727480000000002</v>
      </c>
      <c r="L8" s="352">
        <f>L7*0.85</f>
        <v>8.7299733790166663</v>
      </c>
      <c r="M8" s="352">
        <f>M7*0.85</f>
        <v>323.00901502361666</v>
      </c>
      <c r="N8" s="349" t="s">
        <v>355</v>
      </c>
    </row>
    <row r="9" spans="1:14" x14ac:dyDescent="0.2">
      <c r="A9" s="359" t="s">
        <v>352</v>
      </c>
      <c r="B9" s="361">
        <f>M4</f>
        <v>555</v>
      </c>
      <c r="C9" s="360">
        <v>0.2</v>
      </c>
      <c r="D9" s="361">
        <f>B9*C9*40*NWEEK</f>
        <v>444000</v>
      </c>
      <c r="E9" s="362">
        <f t="shared" si="0"/>
        <v>14.727480000000002</v>
      </c>
      <c r="L9" s="352"/>
      <c r="M9" s="352">
        <v>15</v>
      </c>
      <c r="N9" s="349" t="s">
        <v>357</v>
      </c>
    </row>
    <row r="10" spans="1:14" x14ac:dyDescent="0.2">
      <c r="A10" s="359" t="s">
        <v>354</v>
      </c>
      <c r="B10" s="361">
        <f>M8</f>
        <v>323.00901502361666</v>
      </c>
      <c r="C10" s="360">
        <v>0.4</v>
      </c>
      <c r="D10" s="361">
        <f>B10*C10*40*NWEEK</f>
        <v>516814.42403778672</v>
      </c>
      <c r="E10" s="362">
        <f t="shared" si="0"/>
        <v>17.142734445333389</v>
      </c>
      <c r="L10" s="352">
        <f>L8*1.443*109.8*(1-EXP(-LN(2)*M9/109.8))/M9</f>
        <v>8.3311470022494643</v>
      </c>
      <c r="M10" s="352">
        <f>M8*1.443*109.8*(1-EXP(-LN(2)*M9/109.8))/M9</f>
        <v>308.25243908323023</v>
      </c>
      <c r="N10" s="349" t="s">
        <v>359</v>
      </c>
    </row>
    <row r="11" spans="1:14" x14ac:dyDescent="0.2">
      <c r="A11" s="359" t="s">
        <v>356</v>
      </c>
      <c r="B11" s="361">
        <f>M8</f>
        <v>323.00901502361666</v>
      </c>
      <c r="C11" s="360">
        <v>0.4</v>
      </c>
      <c r="D11" s="361">
        <f>B11*C11*40*NWEEK</f>
        <v>516814.42403778672</v>
      </c>
      <c r="E11" s="362">
        <f t="shared" si="0"/>
        <v>17.142734445333389</v>
      </c>
      <c r="L11" s="352">
        <f>L8*EXP(-LN(2)*M9/109.8)</f>
        <v>7.9412451486820315</v>
      </c>
      <c r="M11" s="352">
        <f>M8*EXP(-LN(2)*M9/109.8)</f>
        <v>293.82607050123517</v>
      </c>
      <c r="N11" s="349" t="s">
        <v>361</v>
      </c>
    </row>
    <row r="12" spans="1:14" x14ac:dyDescent="0.2">
      <c r="A12" s="359" t="s">
        <v>358</v>
      </c>
      <c r="B12" s="361">
        <f>M4</f>
        <v>555</v>
      </c>
      <c r="C12" s="360">
        <v>0.4</v>
      </c>
      <c r="D12" s="361">
        <f>B12*C12*40*NWEEK</f>
        <v>888000</v>
      </c>
      <c r="E12" s="362">
        <f t="shared" si="0"/>
        <v>29.454960000000003</v>
      </c>
    </row>
    <row r="13" spans="1:14" x14ac:dyDescent="0.2">
      <c r="A13" s="359" t="s">
        <v>360</v>
      </c>
      <c r="B13" s="361">
        <f>M7</f>
        <v>380.01060591013726</v>
      </c>
      <c r="C13" s="360">
        <v>0.3</v>
      </c>
      <c r="D13" s="361">
        <f>B13*C13*40*NWEEK</f>
        <v>456012.72709216474</v>
      </c>
      <c r="E13" s="362">
        <f t="shared" si="0"/>
        <v>15.125942157647106</v>
      </c>
    </row>
    <row r="14" spans="1:14" x14ac:dyDescent="0.2">
      <c r="A14" s="359" t="s">
        <v>362</v>
      </c>
      <c r="B14" s="361">
        <f>M6</f>
        <v>462.09274307915973</v>
      </c>
      <c r="C14" s="360">
        <v>0.75</v>
      </c>
      <c r="D14" s="361">
        <f>B14*C14*40*NWEEK</f>
        <v>1386278.2292374792</v>
      </c>
      <c r="E14" s="362">
        <f t="shared" si="0"/>
        <v>45.982848863807185</v>
      </c>
    </row>
    <row r="15" spans="1:14" x14ac:dyDescent="0.2">
      <c r="M15" s="349">
        <v>2.2650000000000001</v>
      </c>
      <c r="N15" s="349" t="s">
        <v>363</v>
      </c>
    </row>
    <row r="16" spans="1:14" x14ac:dyDescent="0.2">
      <c r="A16" s="351" t="s">
        <v>365</v>
      </c>
      <c r="M16" s="349">
        <v>11.34</v>
      </c>
      <c r="N16" s="349" t="s">
        <v>364</v>
      </c>
    </row>
    <row r="17" spans="1:14" x14ac:dyDescent="0.2">
      <c r="B17" s="360" t="s">
        <v>128</v>
      </c>
      <c r="C17" s="360" t="s">
        <v>74</v>
      </c>
      <c r="D17" s="360" t="s">
        <v>162</v>
      </c>
      <c r="E17" s="360" t="s">
        <v>366</v>
      </c>
      <c r="F17" s="360" t="s">
        <v>367</v>
      </c>
      <c r="M17" s="349">
        <f>M15*M16</f>
        <v>25.685100000000002</v>
      </c>
      <c r="N17" s="349" t="s">
        <v>368</v>
      </c>
    </row>
    <row r="18" spans="1:14" x14ac:dyDescent="0.2">
      <c r="A18" s="360">
        <v>1</v>
      </c>
      <c r="B18" s="360" t="s">
        <v>369</v>
      </c>
      <c r="C18" s="360" t="s">
        <v>191</v>
      </c>
      <c r="D18" s="360">
        <v>1</v>
      </c>
      <c r="E18" s="360">
        <f>IF(C18="U",0.02,IF(C18="C",0.1,""))</f>
        <v>0.02</v>
      </c>
      <c r="F18" s="359">
        <f>E18/D18</f>
        <v>0.02</v>
      </c>
      <c r="M18" s="356">
        <f>LN(2)/M17*10</f>
        <v>0.26986353199323548</v>
      </c>
      <c r="N18" s="349" t="s">
        <v>370</v>
      </c>
    </row>
    <row r="19" spans="1:14" x14ac:dyDescent="0.2">
      <c r="A19" s="360">
        <v>2</v>
      </c>
      <c r="B19" s="360" t="s">
        <v>371</v>
      </c>
      <c r="C19" s="360" t="s">
        <v>372</v>
      </c>
      <c r="D19" s="360">
        <v>1</v>
      </c>
      <c r="E19" s="360">
        <f t="shared" ref="E19:E29" si="1">IF(C19="U",0.02,IF(C19="C",0.1,""))</f>
        <v>0.1</v>
      </c>
      <c r="F19" s="359">
        <f t="shared" ref="F19:F29" si="2">E19/D19</f>
        <v>0.1</v>
      </c>
    </row>
    <row r="20" spans="1:14" x14ac:dyDescent="0.2">
      <c r="A20" s="360">
        <v>3</v>
      </c>
      <c r="B20" s="360" t="s">
        <v>373</v>
      </c>
      <c r="C20" s="360" t="s">
        <v>191</v>
      </c>
      <c r="D20" s="360">
        <v>0.5</v>
      </c>
      <c r="E20" s="360">
        <f t="shared" si="1"/>
        <v>0.02</v>
      </c>
      <c r="F20" s="359">
        <f t="shared" si="2"/>
        <v>0.04</v>
      </c>
    </row>
    <row r="21" spans="1:14" x14ac:dyDescent="0.2">
      <c r="A21" s="360">
        <v>4</v>
      </c>
      <c r="B21" s="360" t="s">
        <v>374</v>
      </c>
      <c r="C21" s="360" t="s">
        <v>191</v>
      </c>
      <c r="D21" s="360">
        <v>0.5</v>
      </c>
      <c r="E21" s="360">
        <f t="shared" si="1"/>
        <v>0.02</v>
      </c>
      <c r="F21" s="359">
        <f t="shared" si="2"/>
        <v>0.04</v>
      </c>
    </row>
    <row r="22" spans="1:14" x14ac:dyDescent="0.2">
      <c r="A22" s="360">
        <v>5</v>
      </c>
      <c r="B22" s="360" t="s">
        <v>375</v>
      </c>
      <c r="C22" s="360" t="s">
        <v>191</v>
      </c>
      <c r="D22" s="360">
        <v>0.5</v>
      </c>
      <c r="E22" s="360">
        <f t="shared" si="1"/>
        <v>0.02</v>
      </c>
      <c r="F22" s="359">
        <f t="shared" si="2"/>
        <v>0.04</v>
      </c>
    </row>
    <row r="23" spans="1:14" x14ac:dyDescent="0.2">
      <c r="A23" s="360">
        <v>6</v>
      </c>
      <c r="B23" s="360" t="s">
        <v>376</v>
      </c>
      <c r="C23" s="360" t="s">
        <v>191</v>
      </c>
      <c r="D23" s="360">
        <v>0.5</v>
      </c>
      <c r="E23" s="360">
        <f t="shared" si="1"/>
        <v>0.02</v>
      </c>
      <c r="F23" s="359">
        <f t="shared" si="2"/>
        <v>0.04</v>
      </c>
    </row>
    <row r="24" spans="1:14" x14ac:dyDescent="0.2">
      <c r="A24" s="360">
        <v>7</v>
      </c>
      <c r="B24" s="360" t="s">
        <v>377</v>
      </c>
      <c r="C24" s="360" t="s">
        <v>191</v>
      </c>
      <c r="D24" s="360">
        <v>0.1</v>
      </c>
      <c r="E24" s="360">
        <f t="shared" si="1"/>
        <v>0.02</v>
      </c>
      <c r="F24" s="359">
        <f t="shared" si="2"/>
        <v>0.19999999999999998</v>
      </c>
    </row>
    <row r="25" spans="1:14" x14ac:dyDescent="0.2">
      <c r="A25" s="360">
        <v>8</v>
      </c>
      <c r="B25" s="360" t="s">
        <v>378</v>
      </c>
      <c r="C25" s="360" t="s">
        <v>191</v>
      </c>
      <c r="D25" s="360">
        <v>0.1</v>
      </c>
      <c r="E25" s="360">
        <f t="shared" si="1"/>
        <v>0.02</v>
      </c>
      <c r="F25" s="359">
        <f t="shared" si="2"/>
        <v>0.19999999999999998</v>
      </c>
    </row>
    <row r="26" spans="1:14" x14ac:dyDescent="0.2">
      <c r="A26" s="360">
        <v>9</v>
      </c>
      <c r="B26" s="360" t="s">
        <v>379</v>
      </c>
      <c r="C26" s="360" t="s">
        <v>191</v>
      </c>
      <c r="D26" s="360">
        <v>0.1</v>
      </c>
      <c r="E26" s="360">
        <f t="shared" si="1"/>
        <v>0.02</v>
      </c>
      <c r="F26" s="359">
        <f t="shared" si="2"/>
        <v>0.19999999999999998</v>
      </c>
    </row>
    <row r="27" spans="1:14" x14ac:dyDescent="0.2">
      <c r="A27" s="360">
        <v>10</v>
      </c>
      <c r="B27" s="360" t="s">
        <v>380</v>
      </c>
      <c r="C27" s="360" t="s">
        <v>372</v>
      </c>
      <c r="D27" s="360">
        <v>1</v>
      </c>
      <c r="E27" s="360">
        <f t="shared" si="1"/>
        <v>0.1</v>
      </c>
      <c r="F27" s="359">
        <f t="shared" si="2"/>
        <v>0.1</v>
      </c>
    </row>
    <row r="28" spans="1:14" x14ac:dyDescent="0.2">
      <c r="A28" s="360">
        <v>11</v>
      </c>
      <c r="B28" s="360" t="s">
        <v>196</v>
      </c>
      <c r="C28" s="360" t="s">
        <v>191</v>
      </c>
      <c r="D28" s="360">
        <v>0.5</v>
      </c>
      <c r="E28" s="360">
        <f t="shared" si="1"/>
        <v>0.02</v>
      </c>
      <c r="F28" s="359">
        <f t="shared" si="2"/>
        <v>0.04</v>
      </c>
    </row>
    <row r="29" spans="1:14" x14ac:dyDescent="0.2">
      <c r="A29" s="360">
        <v>12</v>
      </c>
      <c r="B29" s="360" t="s">
        <v>197</v>
      </c>
      <c r="C29" s="360" t="s">
        <v>191</v>
      </c>
      <c r="D29" s="360">
        <v>0.5</v>
      </c>
      <c r="E29" s="360">
        <f t="shared" si="1"/>
        <v>0.02</v>
      </c>
      <c r="F29" s="359">
        <f t="shared" si="2"/>
        <v>0.04</v>
      </c>
    </row>
    <row r="31" spans="1:14" x14ac:dyDescent="0.2">
      <c r="A31" s="358" t="s">
        <v>381</v>
      </c>
    </row>
    <row r="32" spans="1:14" x14ac:dyDescent="0.2">
      <c r="C32" s="364" t="s">
        <v>389</v>
      </c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</row>
    <row r="33" spans="1:15" x14ac:dyDescent="0.2">
      <c r="C33" s="360" t="s">
        <v>369</v>
      </c>
      <c r="D33" s="360" t="s">
        <v>371</v>
      </c>
      <c r="E33" s="360" t="s">
        <v>373</v>
      </c>
      <c r="F33" s="360" t="s">
        <v>374</v>
      </c>
      <c r="G33" s="360" t="s">
        <v>375</v>
      </c>
      <c r="H33" s="360" t="s">
        <v>376</v>
      </c>
      <c r="I33" s="360" t="s">
        <v>377</v>
      </c>
      <c r="J33" s="360" t="s">
        <v>378</v>
      </c>
      <c r="K33" s="360" t="s">
        <v>379</v>
      </c>
      <c r="L33" s="360" t="s">
        <v>380</v>
      </c>
      <c r="M33" s="359" t="s">
        <v>196</v>
      </c>
      <c r="N33" s="359" t="s">
        <v>197</v>
      </c>
    </row>
    <row r="34" spans="1:15" x14ac:dyDescent="0.2">
      <c r="A34" s="364" t="s">
        <v>390</v>
      </c>
      <c r="B34" s="359" t="str">
        <f>A7</f>
        <v>Hot lab</v>
      </c>
      <c r="C34" s="361">
        <f>48*12*0.0254</f>
        <v>14.6304</v>
      </c>
      <c r="D34" s="361">
        <f>39*12*0.0254</f>
        <v>11.8872</v>
      </c>
      <c r="E34" s="361">
        <f>29*12*0.0254</f>
        <v>8.8391999999999999</v>
      </c>
      <c r="F34" s="361">
        <f>44*12*0.0254</f>
        <v>13.411199999999999</v>
      </c>
      <c r="G34" s="361">
        <f>24*12*0.0254</f>
        <v>7.3151999999999999</v>
      </c>
      <c r="H34" s="361">
        <f>34*12*0.0254</f>
        <v>10.363199999999999</v>
      </c>
      <c r="I34" s="361">
        <f>23*12*0.0254</f>
        <v>7.0103999999999997</v>
      </c>
      <c r="J34" s="361">
        <f>20*12*0.0254</f>
        <v>6.0960000000000001</v>
      </c>
      <c r="K34" s="361">
        <f>22*12*0.0254</f>
        <v>6.7055999999999996</v>
      </c>
      <c r="L34" s="361">
        <f>9*12*0.0254</f>
        <v>2.7431999999999999</v>
      </c>
      <c r="M34" s="361">
        <f>20*12*0.0254</f>
        <v>6.0960000000000001</v>
      </c>
      <c r="N34" s="361">
        <f t="shared" ref="N34:N41" si="3">SQRT(2*(18^2))*12*0.0254</f>
        <v>7.7589412886037472</v>
      </c>
    </row>
    <row r="35" spans="1:15" x14ac:dyDescent="0.2">
      <c r="A35" s="364"/>
      <c r="B35" s="359" t="str">
        <f>A8</f>
        <v>NM Hold 1</v>
      </c>
      <c r="C35" s="361">
        <f>39*12*0.0254</f>
        <v>11.8872</v>
      </c>
      <c r="D35" s="361">
        <f>52*12*0.0254</f>
        <v>15.849599999999999</v>
      </c>
      <c r="E35" s="361">
        <f>57.5*12*0.0254</f>
        <v>17.526</v>
      </c>
      <c r="F35" s="361">
        <f>74*12*0.0254</f>
        <v>22.555199999999999</v>
      </c>
      <c r="G35" s="361">
        <f>56*12*0.0254</f>
        <v>17.0688</v>
      </c>
      <c r="H35" s="361">
        <f>65*12*0.0254</f>
        <v>19.811999999999998</v>
      </c>
      <c r="I35" s="361">
        <f>46*12*0.0254</f>
        <v>14.020799999999999</v>
      </c>
      <c r="J35" s="361">
        <f>38*12*0.0254</f>
        <v>11.5824</v>
      </c>
      <c r="K35" s="361">
        <f>28*12*0.0254</f>
        <v>8.5343999999999998</v>
      </c>
      <c r="L35" s="361">
        <f>40*12*0.0254</f>
        <v>12.192</v>
      </c>
      <c r="M35" s="361">
        <f t="shared" ref="M35:M41" si="4">20*12*0.0254</f>
        <v>6.0960000000000001</v>
      </c>
      <c r="N35" s="361">
        <f t="shared" si="3"/>
        <v>7.7589412886037472</v>
      </c>
    </row>
    <row r="36" spans="1:15" x14ac:dyDescent="0.2">
      <c r="A36" s="364"/>
      <c r="B36" s="359" t="str">
        <f>A9</f>
        <v>NM Hold 2</v>
      </c>
      <c r="C36" s="361">
        <f>43*12*0.0254</f>
        <v>13.106399999999999</v>
      </c>
      <c r="D36" s="361">
        <f>40*12*0.0254</f>
        <v>12.192</v>
      </c>
      <c r="E36" s="361">
        <f>36*12*0.0254</f>
        <v>10.972799999999999</v>
      </c>
      <c r="F36" s="361">
        <f>52*12*0.0254</f>
        <v>15.849599999999999</v>
      </c>
      <c r="G36" s="361">
        <f>32*12*0.0254</f>
        <v>9.7535999999999987</v>
      </c>
      <c r="H36" s="361">
        <f>43*12*0.0254</f>
        <v>13.106399999999999</v>
      </c>
      <c r="I36" s="361">
        <f>28*12*0.0254</f>
        <v>8.5343999999999998</v>
      </c>
      <c r="J36" s="361">
        <f>22*12*0.0254</f>
        <v>6.7055999999999996</v>
      </c>
      <c r="K36" s="361">
        <f>20*12*0.0254</f>
        <v>6.0960000000000001</v>
      </c>
      <c r="L36" s="361">
        <f>17*12*0.0254</f>
        <v>5.1815999999999995</v>
      </c>
      <c r="M36" s="361">
        <f t="shared" si="4"/>
        <v>6.0960000000000001</v>
      </c>
      <c r="N36" s="361">
        <f t="shared" si="3"/>
        <v>7.7589412886037472</v>
      </c>
    </row>
    <row r="37" spans="1:15" x14ac:dyDescent="0.2">
      <c r="A37" s="364"/>
      <c r="B37" s="359" t="str">
        <f>A10</f>
        <v>NM Camera 1</v>
      </c>
      <c r="C37" s="361">
        <f>25*12*0.0254</f>
        <v>7.62</v>
      </c>
      <c r="D37" s="361">
        <f>49*12*0.0254</f>
        <v>14.9352</v>
      </c>
      <c r="E37" s="361">
        <f>63*12*0.0254</f>
        <v>19.202400000000001</v>
      </c>
      <c r="F37" s="361">
        <f>80*12*0.0254</f>
        <v>24.384</v>
      </c>
      <c r="G37" s="361">
        <f>65*12*0.0254</f>
        <v>19.811999999999998</v>
      </c>
      <c r="H37" s="361">
        <f>76*12*0.0254</f>
        <v>23.1648</v>
      </c>
      <c r="I37" s="361">
        <f>62*12*0.0254</f>
        <v>18.897600000000001</v>
      </c>
      <c r="J37" s="361">
        <f>55*12*0.0254</f>
        <v>16.763999999999999</v>
      </c>
      <c r="K37" s="361">
        <f>46*12*0.0254</f>
        <v>14.020799999999999</v>
      </c>
      <c r="L37" s="361">
        <f>50*12*0.0254</f>
        <v>15.24</v>
      </c>
      <c r="M37" s="361">
        <f t="shared" si="4"/>
        <v>6.0960000000000001</v>
      </c>
      <c r="N37" s="361">
        <f t="shared" si="3"/>
        <v>7.7589412886037472</v>
      </c>
    </row>
    <row r="38" spans="1:15" x14ac:dyDescent="0.2">
      <c r="A38" s="364"/>
      <c r="B38" s="359" t="str">
        <f>A11</f>
        <v>NM Camera 2</v>
      </c>
      <c r="C38" s="361">
        <f>32.5*12*0.0254</f>
        <v>9.9059999999999988</v>
      </c>
      <c r="D38" s="361">
        <f>23*12*0.0254</f>
        <v>7.0103999999999997</v>
      </c>
      <c r="E38" s="361">
        <f>28*12*0.0254</f>
        <v>8.5343999999999998</v>
      </c>
      <c r="F38" s="361">
        <f>45*12*0.0254</f>
        <v>13.715999999999999</v>
      </c>
      <c r="G38" s="361">
        <f>31*12*0.0254</f>
        <v>9.4488000000000003</v>
      </c>
      <c r="H38" s="361">
        <f>42*12*0.0254</f>
        <v>12.801599999999999</v>
      </c>
      <c r="I38" s="361">
        <f>39*12*0.0254</f>
        <v>11.8872</v>
      </c>
      <c r="J38" s="361">
        <f>37*12*0.0254</f>
        <v>11.2776</v>
      </c>
      <c r="K38" s="361">
        <f>37*12*0.0254</f>
        <v>11.2776</v>
      </c>
      <c r="L38" s="361">
        <f>17*12*0.0254</f>
        <v>5.1815999999999995</v>
      </c>
      <c r="M38" s="361">
        <f t="shared" si="4"/>
        <v>6.0960000000000001</v>
      </c>
      <c r="N38" s="361">
        <f t="shared" si="3"/>
        <v>7.7589412886037472</v>
      </c>
    </row>
    <row r="39" spans="1:15" x14ac:dyDescent="0.2">
      <c r="A39" s="364"/>
      <c r="B39" s="359" t="str">
        <f>A12</f>
        <v>Stress Lab</v>
      </c>
      <c r="C39" s="361">
        <f>51*12*0.0254</f>
        <v>15.544799999999999</v>
      </c>
      <c r="D39" s="361">
        <f>28*12*0.0254</f>
        <v>8.5343999999999998</v>
      </c>
      <c r="E39" s="361">
        <f>5*12*0.0254</f>
        <v>1.524</v>
      </c>
      <c r="F39" s="361">
        <f>20*12*0.0254</f>
        <v>6.0960000000000001</v>
      </c>
      <c r="G39" s="361">
        <f>10*12*0.0254</f>
        <v>3.048</v>
      </c>
      <c r="H39" s="361">
        <f>17*12*0.0254</f>
        <v>5.1815999999999995</v>
      </c>
      <c r="I39" s="361">
        <f>35*12*0.0254</f>
        <v>10.667999999999999</v>
      </c>
      <c r="J39" s="361">
        <f>38*12*0.0254</f>
        <v>11.5824</v>
      </c>
      <c r="K39" s="361">
        <f>43*12*0.0254</f>
        <v>13.106399999999999</v>
      </c>
      <c r="L39" s="361">
        <f>8*12*0.0254</f>
        <v>2.4383999999999997</v>
      </c>
      <c r="M39" s="361">
        <f t="shared" si="4"/>
        <v>6.0960000000000001</v>
      </c>
      <c r="N39" s="361">
        <f t="shared" si="3"/>
        <v>7.7589412886037472</v>
      </c>
    </row>
    <row r="40" spans="1:15" x14ac:dyDescent="0.2">
      <c r="A40" s="364"/>
      <c r="B40" s="359" t="str">
        <f>A13</f>
        <v>Hot Toilet</v>
      </c>
      <c r="C40" s="361">
        <f>41*12*0.0254</f>
        <v>12.4968</v>
      </c>
      <c r="D40" s="361">
        <f>62*12*0.0254</f>
        <v>18.897600000000001</v>
      </c>
      <c r="E40" s="361">
        <f>72*12*0.0254</f>
        <v>21.945599999999999</v>
      </c>
      <c r="F40" s="361">
        <f>88*12*0.0254</f>
        <v>26.822399999999998</v>
      </c>
      <c r="G40" s="361">
        <f>69*12*0.0254</f>
        <v>21.031199999999998</v>
      </c>
      <c r="H40" s="361">
        <f>79*12*0.0254</f>
        <v>24.0792</v>
      </c>
      <c r="I40" s="361">
        <f>62*12*0.0254</f>
        <v>18.897600000000001</v>
      </c>
      <c r="J40" s="361">
        <f>50*12*0.0254</f>
        <v>15.24</v>
      </c>
      <c r="K40" s="361">
        <f>41*12*0.0254</f>
        <v>12.4968</v>
      </c>
      <c r="L40" s="361">
        <f>55.5*12*0.0254</f>
        <v>16.916399999999999</v>
      </c>
      <c r="M40" s="361">
        <f t="shared" si="4"/>
        <v>6.0960000000000001</v>
      </c>
      <c r="N40" s="361">
        <f t="shared" si="3"/>
        <v>7.7589412886037472</v>
      </c>
    </row>
    <row r="41" spans="1:15" x14ac:dyDescent="0.2">
      <c r="A41" s="364"/>
      <c r="B41" s="359" t="str">
        <f>A14</f>
        <v>Radiology Waiting</v>
      </c>
      <c r="C41" s="361">
        <f>80*12*0.0254</f>
        <v>24.384</v>
      </c>
      <c r="D41" s="361">
        <f>63*12*0.0254</f>
        <v>19.202400000000001</v>
      </c>
      <c r="E41" s="361">
        <f>37*12*0.0254</f>
        <v>11.2776</v>
      </c>
      <c r="F41" s="361">
        <f>40*12*0.0254</f>
        <v>12.192</v>
      </c>
      <c r="G41" s="361">
        <f>24*12*0.0254</f>
        <v>7.3151999999999999</v>
      </c>
      <c r="H41" s="361">
        <f>26*12*0.0254</f>
        <v>7.9247999999999994</v>
      </c>
      <c r="I41" s="361">
        <f>12*12*0.0254</f>
        <v>3.6576</v>
      </c>
      <c r="J41" s="361">
        <f>22*12*0.0254</f>
        <v>6.7055999999999996</v>
      </c>
      <c r="K41" s="361">
        <f>33*12*0.0254</f>
        <v>10.058399999999999</v>
      </c>
      <c r="L41" s="361">
        <f>20*12*0.0254</f>
        <v>6.0960000000000001</v>
      </c>
      <c r="M41" s="361">
        <f t="shared" si="4"/>
        <v>6.0960000000000001</v>
      </c>
      <c r="N41" s="361">
        <f t="shared" si="3"/>
        <v>7.7589412886037472</v>
      </c>
    </row>
    <row r="44" spans="1:15" x14ac:dyDescent="0.2">
      <c r="A44" s="351" t="s">
        <v>382</v>
      </c>
    </row>
    <row r="45" spans="1:15" x14ac:dyDescent="0.2">
      <c r="C45" s="364" t="s">
        <v>389</v>
      </c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</row>
    <row r="46" spans="1:15" x14ac:dyDescent="0.2">
      <c r="C46" s="360" t="str">
        <f>C33</f>
        <v>Tech area</v>
      </c>
      <c r="D46" s="360" t="str">
        <f>D33</f>
        <v>CT Tech area</v>
      </c>
      <c r="E46" s="360" t="str">
        <f>E33</f>
        <v>US 1</v>
      </c>
      <c r="F46" s="360" t="str">
        <f>F33</f>
        <v>US 2</v>
      </c>
      <c r="G46" s="360" t="str">
        <f>G33</f>
        <v>Office 2221</v>
      </c>
      <c r="H46" s="360" t="str">
        <f>H33</f>
        <v>Office 2302</v>
      </c>
      <c r="I46" s="360" t="str">
        <f>I33</f>
        <v>Consult A</v>
      </c>
      <c r="J46" s="360" t="str">
        <f>J33</f>
        <v>Consult B</v>
      </c>
      <c r="K46" s="360" t="str">
        <f>K33</f>
        <v>Lactation</v>
      </c>
      <c r="L46" s="360" t="str">
        <f>L33</f>
        <v>Reading Room</v>
      </c>
      <c r="M46" s="360" t="str">
        <f>M33</f>
        <v>Floor</v>
      </c>
      <c r="N46" s="360" t="str">
        <f>N33</f>
        <v>Ceiling</v>
      </c>
    </row>
    <row r="47" spans="1:15" x14ac:dyDescent="0.2">
      <c r="B47" s="367" t="s">
        <v>383</v>
      </c>
      <c r="C47" s="368">
        <f>SUM(C48:C55)</f>
        <v>0.9903830236204284</v>
      </c>
      <c r="D47" s="368">
        <f t="shared" ref="D47:N47" si="5">SUM(D48:D55)</f>
        <v>1.2069456032276571</v>
      </c>
      <c r="E47" s="368">
        <f t="shared" si="5"/>
        <v>13.621340154463082</v>
      </c>
      <c r="F47" s="368">
        <f t="shared" si="5"/>
        <v>1.371468842771582</v>
      </c>
      <c r="G47" s="368">
        <f t="shared" si="5"/>
        <v>4.6426544264576028</v>
      </c>
      <c r="H47" s="368">
        <f t="shared" si="5"/>
        <v>2.1837049529420849</v>
      </c>
      <c r="I47" s="368">
        <f t="shared" si="5"/>
        <v>4.33463407109216</v>
      </c>
      <c r="J47" s="368">
        <f t="shared" si="5"/>
        <v>2.1385807499842233</v>
      </c>
      <c r="K47" s="368">
        <f t="shared" si="5"/>
        <v>1.7071011492309554</v>
      </c>
      <c r="L47" s="368">
        <f t="shared" si="5"/>
        <v>8.5826167963290843</v>
      </c>
      <c r="M47" s="368">
        <f t="shared" si="5"/>
        <v>4.3504475179746827</v>
      </c>
      <c r="N47" s="368">
        <f t="shared" si="5"/>
        <v>2.6854614308485707</v>
      </c>
      <c r="O47" s="365"/>
    </row>
    <row r="48" spans="1:15" x14ac:dyDescent="0.2">
      <c r="A48" s="364" t="s">
        <v>390</v>
      </c>
      <c r="B48" s="359" t="str">
        <f>A7</f>
        <v>Hot lab</v>
      </c>
      <c r="C48" s="366">
        <f>$E7/(C34^2)</f>
        <v>3.4402186498238743E-2</v>
      </c>
      <c r="D48" s="366">
        <f>$E7/(D34^2)</f>
        <v>5.2112187831651585E-2</v>
      </c>
      <c r="E48" s="366">
        <f>$E7/(E34^2)</f>
        <v>9.4248082867945379E-2</v>
      </c>
      <c r="F48" s="366">
        <f>$E7/(F34^2)</f>
        <v>4.0941445088813054E-2</v>
      </c>
      <c r="G48" s="366">
        <f>$E7/(G34^2)</f>
        <v>0.13760874599295497</v>
      </c>
      <c r="H48" s="366">
        <f>$E7/(H34^2)</f>
        <v>6.8566295581264772E-2</v>
      </c>
      <c r="I48" s="366">
        <f>$E7/(I34^2)</f>
        <v>0.14983485386000389</v>
      </c>
      <c r="J48" s="366">
        <f>$E7/(J34^2)</f>
        <v>0.19815659422985513</v>
      </c>
      <c r="K48" s="366">
        <f>$E7/(K34^2)</f>
        <v>0.16376578035525222</v>
      </c>
      <c r="L48" s="366">
        <f>$E7/(L34^2)</f>
        <v>0.97855108261656876</v>
      </c>
      <c r="M48" s="366">
        <f>$E7/(M34^2)</f>
        <v>0.19815659422985513</v>
      </c>
      <c r="N48" s="366">
        <f>$E7/(N34^2)</f>
        <v>0.12231888532707112</v>
      </c>
      <c r="O48" s="357"/>
    </row>
    <row r="49" spans="1:15" x14ac:dyDescent="0.2">
      <c r="A49" s="364"/>
      <c r="B49" s="359" t="str">
        <f>A8</f>
        <v>NM Hold 1</v>
      </c>
      <c r="C49" s="366">
        <f>$E8/(C35^2)</f>
        <v>0.10422437566330317</v>
      </c>
      <c r="D49" s="366">
        <f>$E8/(D35^2)</f>
        <v>5.8626211310608044E-2</v>
      </c>
      <c r="E49" s="366">
        <f>$E8/(E35^2)</f>
        <v>4.7947153235201254E-2</v>
      </c>
      <c r="F49" s="366">
        <f>$E8/(F35^2)</f>
        <v>2.8949100690994177E-2</v>
      </c>
      <c r="G49" s="366">
        <f>$E8/(G35^2)</f>
        <v>5.0550151589248762E-2</v>
      </c>
      <c r="H49" s="366">
        <f>$E8/(H35^2)</f>
        <v>3.7520775238789147E-2</v>
      </c>
      <c r="I49" s="366">
        <f>$E8/(I35^2)</f>
        <v>7.4917426930001946E-2</v>
      </c>
      <c r="J49" s="366">
        <f>$E8/(J35^2)</f>
        <v>0.1097820466647397</v>
      </c>
      <c r="K49" s="366">
        <f>$E8/(K35^2)</f>
        <v>0.20220060635699505</v>
      </c>
      <c r="L49" s="366">
        <f>$E8/(L35^2)</f>
        <v>9.9078297114927563E-2</v>
      </c>
      <c r="M49" s="366">
        <f>$E8/(M35^2)</f>
        <v>0.39631318845971025</v>
      </c>
      <c r="N49" s="366">
        <f>$E8/(N35^2)</f>
        <v>0.24463777065414224</v>
      </c>
      <c r="O49" s="357"/>
    </row>
    <row r="50" spans="1:15" x14ac:dyDescent="0.2">
      <c r="A50" s="364"/>
      <c r="B50" s="359" t="str">
        <f>A9</f>
        <v>NM Hold 2</v>
      </c>
      <c r="C50" s="366">
        <f>$E9/(C36^2)</f>
        <v>8.5735681657049284E-2</v>
      </c>
      <c r="D50" s="366">
        <f>$E9/(D36^2)</f>
        <v>9.9078297114927563E-2</v>
      </c>
      <c r="E50" s="366">
        <f>$E9/(E36^2)</f>
        <v>0.12231888532707109</v>
      </c>
      <c r="F50" s="366">
        <f>$E9/(F36^2)</f>
        <v>5.8626211310608044E-2</v>
      </c>
      <c r="G50" s="366">
        <f>$E9/(G36^2)</f>
        <v>0.15480983924207437</v>
      </c>
      <c r="H50" s="366">
        <f>$E9/(H36^2)</f>
        <v>8.5735681657049284E-2</v>
      </c>
      <c r="I50" s="366">
        <f>$E9/(I36^2)</f>
        <v>0.20220060635699505</v>
      </c>
      <c r="J50" s="366">
        <f>$E9/(J36^2)</f>
        <v>0.32753156071050443</v>
      </c>
      <c r="K50" s="366">
        <f>$E9/(K36^2)</f>
        <v>0.39631318845971025</v>
      </c>
      <c r="L50" s="366">
        <f>$E9/(L36^2)</f>
        <v>0.54853036465011817</v>
      </c>
      <c r="M50" s="366">
        <f>$E9/(M36^2)</f>
        <v>0.39631318845971025</v>
      </c>
      <c r="N50" s="366">
        <f>$E9/(N36^2)</f>
        <v>0.24463777065414224</v>
      </c>
      <c r="O50" s="357"/>
    </row>
    <row r="51" spans="1:15" x14ac:dyDescent="0.2">
      <c r="A51" s="364"/>
      <c r="B51" s="359" t="str">
        <f>A10</f>
        <v>NM Camera 1</v>
      </c>
      <c r="C51" s="366">
        <f>$E10/(C37^2)</f>
        <v>0.29523657258722019</v>
      </c>
      <c r="D51" s="366">
        <f>$E10/(D37^2)</f>
        <v>7.6852502235323875E-2</v>
      </c>
      <c r="E51" s="366">
        <f>$E10/(E37^2)</f>
        <v>4.6491019870751472E-2</v>
      </c>
      <c r="F51" s="366">
        <f>$E10/(F37^2)</f>
        <v>2.8831696541720721E-2</v>
      </c>
      <c r="G51" s="366">
        <f>$E10/(G37^2)</f>
        <v>4.3674049199292936E-2</v>
      </c>
      <c r="H51" s="366">
        <f>$E10/(H37^2)</f>
        <v>3.1946478162571443E-2</v>
      </c>
      <c r="I51" s="366">
        <f>$E10/(I37^2)</f>
        <v>4.8002824627214523E-2</v>
      </c>
      <c r="J51" s="366">
        <f>$E10/(J37^2)</f>
        <v>6.0999291856863688E-2</v>
      </c>
      <c r="K51" s="366">
        <f>$E10/(K37^2)</f>
        <v>8.7203619029779134E-2</v>
      </c>
      <c r="L51" s="366">
        <f>$E10/(L37^2)</f>
        <v>7.3809143146805048E-2</v>
      </c>
      <c r="M51" s="366">
        <f>$E10/(M37^2)</f>
        <v>0.46130714466753153</v>
      </c>
      <c r="N51" s="366">
        <f>$E10/(N37^2)</f>
        <v>0.28475749670835293</v>
      </c>
      <c r="O51" s="357"/>
    </row>
    <row r="52" spans="1:15" x14ac:dyDescent="0.2">
      <c r="A52" s="364"/>
      <c r="B52" s="359" t="str">
        <f>A11</f>
        <v>NM Camera 2</v>
      </c>
      <c r="C52" s="366">
        <f>$E11/(C38^2)</f>
        <v>0.17469619679717174</v>
      </c>
      <c r="D52" s="366">
        <f>$E11/(D38^2)</f>
        <v>0.34881447611911653</v>
      </c>
      <c r="E52" s="366">
        <f>$E11/(E38^2)</f>
        <v>0.23536078809567937</v>
      </c>
      <c r="F52" s="366">
        <f>$E11/(F38^2)</f>
        <v>9.1122398946672914E-2</v>
      </c>
      <c r="G52" s="366">
        <f>$E11/(G38^2)</f>
        <v>0.19201129850885809</v>
      </c>
      <c r="H52" s="366">
        <f>$E11/(H38^2)</f>
        <v>0.10460479470919085</v>
      </c>
      <c r="I52" s="366">
        <f>$E11/(I38^2)</f>
        <v>0.12131680333136924</v>
      </c>
      <c r="J52" s="366">
        <f>$E11/(J38^2)</f>
        <v>0.13478660180205451</v>
      </c>
      <c r="K52" s="366">
        <f>$E11/(K38^2)</f>
        <v>0.13478660180205451</v>
      </c>
      <c r="L52" s="366">
        <f>$E11/(L38^2)</f>
        <v>0.63848739746371164</v>
      </c>
      <c r="M52" s="366">
        <f>$E11/(M38^2)</f>
        <v>0.46130714466753153</v>
      </c>
      <c r="N52" s="366">
        <f>$E11/(N38^2)</f>
        <v>0.28475749670835293</v>
      </c>
      <c r="O52" s="357"/>
    </row>
    <row r="53" spans="1:15" x14ac:dyDescent="0.2">
      <c r="A53" s="364"/>
      <c r="B53" s="359" t="str">
        <f>A12</f>
        <v>Stress Lab</v>
      </c>
      <c r="C53" s="366">
        <f>$E12/(C39^2)</f>
        <v>0.12189563658891514</v>
      </c>
      <c r="D53" s="366">
        <f>$E12/(D39^2)</f>
        <v>0.4044012127139901</v>
      </c>
      <c r="E53" s="366">
        <f>$E12/(E39^2)</f>
        <v>12.682022030710728</v>
      </c>
      <c r="F53" s="366">
        <f>$E12/(F39^2)</f>
        <v>0.79262637691942051</v>
      </c>
      <c r="G53" s="366">
        <f>$E12/(G39^2)</f>
        <v>3.170505507677682</v>
      </c>
      <c r="H53" s="366">
        <f>$E12/(H39^2)</f>
        <v>1.0970607293002363</v>
      </c>
      <c r="I53" s="366">
        <f>$E12/(I39^2)</f>
        <v>0.2588167761369537</v>
      </c>
      <c r="J53" s="366">
        <f>$E12/(J39^2)</f>
        <v>0.2195640933294794</v>
      </c>
      <c r="K53" s="366">
        <f>$E12/(K39^2)</f>
        <v>0.17147136331409857</v>
      </c>
      <c r="L53" s="366">
        <f>$E12/(L39^2)</f>
        <v>4.9539148557463797</v>
      </c>
      <c r="M53" s="366">
        <f>$E12/(M39^2)</f>
        <v>0.79262637691942051</v>
      </c>
      <c r="N53" s="366">
        <f>$E12/(N39^2)</f>
        <v>0.48927554130828449</v>
      </c>
      <c r="O53" s="357"/>
    </row>
    <row r="54" spans="1:15" x14ac:dyDescent="0.2">
      <c r="A54" s="364"/>
      <c r="B54" s="359" t="str">
        <f>A13</f>
        <v>Hot Toilet</v>
      </c>
      <c r="C54" s="366">
        <f>$E13/(C40^2)</f>
        <v>9.6855613535542187E-2</v>
      </c>
      <c r="D54" s="366">
        <f>$E13/(D40^2)</f>
        <v>4.2355433494601046E-2</v>
      </c>
      <c r="E54" s="366">
        <f>$E13/(E40^2)</f>
        <v>3.1407076842833032E-2</v>
      </c>
      <c r="F54" s="366">
        <f>$E13/(F40^2)</f>
        <v>2.1024572101400626E-2</v>
      </c>
      <c r="G54" s="366">
        <f>$E13/(G40^2)</f>
        <v>3.4197497658736913E-2</v>
      </c>
      <c r="H54" s="366">
        <f>$E13/(H40^2)</f>
        <v>2.6087852323865793E-2</v>
      </c>
      <c r="I54" s="366">
        <f>$E13/(I40^2)</f>
        <v>4.2355433494601046E-2</v>
      </c>
      <c r="J54" s="366">
        <f>$E13/(J40^2)</f>
        <v>6.5125714541298563E-2</v>
      </c>
      <c r="K54" s="366">
        <f>$E13/(K40^2)</f>
        <v>9.6855613535542187E-2</v>
      </c>
      <c r="L54" s="366">
        <f>$E13/(L40^2)</f>
        <v>5.2857490902766473E-2</v>
      </c>
      <c r="M54" s="366">
        <f>$E13/(M40^2)</f>
        <v>0.40703571588311599</v>
      </c>
      <c r="N54" s="366">
        <f>$E13/(N40^2)</f>
        <v>0.25125661474266431</v>
      </c>
      <c r="O54" s="357"/>
    </row>
    <row r="55" spans="1:15" x14ac:dyDescent="0.2">
      <c r="A55" s="364"/>
      <c r="B55" s="359" t="str">
        <f>A14</f>
        <v>Radiology Waiting</v>
      </c>
      <c r="C55" s="366">
        <f>$E14/(C41^2)</f>
        <v>7.7336760292987958E-2</v>
      </c>
      <c r="D55" s="366">
        <f>$E14/(D41^2)</f>
        <v>0.12470528240743838</v>
      </c>
      <c r="E55" s="366">
        <f>$E14/(E41^2)</f>
        <v>0.36154511751287288</v>
      </c>
      <c r="F55" s="366">
        <f>$E14/(F41^2)</f>
        <v>0.30934704117195183</v>
      </c>
      <c r="G55" s="366">
        <f>$E14/(G41^2)</f>
        <v>0.85929733658875518</v>
      </c>
      <c r="H55" s="366">
        <f>$E14/(H41^2)</f>
        <v>0.73218234596911691</v>
      </c>
      <c r="I55" s="366">
        <f>$E14/(I41^2)</f>
        <v>3.4371893463550207</v>
      </c>
      <c r="J55" s="366">
        <f>$E14/(J41^2)</f>
        <v>1.0226348468494277</v>
      </c>
      <c r="K55" s="366">
        <f>$E14/(K41^2)</f>
        <v>0.45450437637752344</v>
      </c>
      <c r="L55" s="366">
        <f>$E14/(L41^2)</f>
        <v>1.2373881646878073</v>
      </c>
      <c r="M55" s="366">
        <f>$E14/(M41^2)</f>
        <v>1.2373881646878073</v>
      </c>
      <c r="N55" s="366">
        <f>$E14/(N41^2)</f>
        <v>0.76381985474556047</v>
      </c>
      <c r="O55" s="357"/>
    </row>
    <row r="57" spans="1:15" x14ac:dyDescent="0.2">
      <c r="A57" s="351" t="s">
        <v>384</v>
      </c>
    </row>
    <row r="58" spans="1:15" x14ac:dyDescent="0.2">
      <c r="B58" s="364" t="s">
        <v>389</v>
      </c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4"/>
    </row>
    <row r="59" spans="1:15" x14ac:dyDescent="0.2">
      <c r="A59" s="359" t="s">
        <v>365</v>
      </c>
      <c r="B59" s="360" t="str">
        <f>C33</f>
        <v>Tech area</v>
      </c>
      <c r="C59" s="360" t="str">
        <f>D33</f>
        <v>CT Tech area</v>
      </c>
      <c r="D59" s="360" t="str">
        <f>E33</f>
        <v>US 1</v>
      </c>
      <c r="E59" s="360" t="str">
        <f>F33</f>
        <v>US 2</v>
      </c>
      <c r="F59" s="360" t="str">
        <f>G33</f>
        <v>Office 2221</v>
      </c>
      <c r="G59" s="360" t="str">
        <f>H33</f>
        <v>Office 2302</v>
      </c>
      <c r="H59" s="360" t="str">
        <f>I33</f>
        <v>Consult A</v>
      </c>
      <c r="I59" s="360" t="str">
        <f>J33</f>
        <v>Consult B</v>
      </c>
      <c r="J59" s="360" t="str">
        <f>K33</f>
        <v>Lactation</v>
      </c>
      <c r="K59" s="360" t="str">
        <f>L33</f>
        <v>Reading Room</v>
      </c>
      <c r="L59" s="360" t="str">
        <f>M33</f>
        <v>Floor</v>
      </c>
      <c r="M59" s="360" t="str">
        <f>N33</f>
        <v>Ceiling</v>
      </c>
    </row>
    <row r="60" spans="1:15" x14ac:dyDescent="0.2">
      <c r="A60" s="359" t="s">
        <v>385</v>
      </c>
      <c r="B60" s="366">
        <f>C47</f>
        <v>0.9903830236204284</v>
      </c>
      <c r="C60" s="366">
        <f>D47</f>
        <v>1.2069456032276571</v>
      </c>
      <c r="D60" s="366">
        <f>E47</f>
        <v>13.621340154463082</v>
      </c>
      <c r="E60" s="366">
        <f>F47</f>
        <v>1.371468842771582</v>
      </c>
      <c r="F60" s="366">
        <f>G47</f>
        <v>4.6426544264576028</v>
      </c>
      <c r="G60" s="366">
        <f>H47</f>
        <v>2.1837049529420849</v>
      </c>
      <c r="H60" s="366">
        <f>I47</f>
        <v>4.33463407109216</v>
      </c>
      <c r="I60" s="366">
        <f>J47</f>
        <v>2.1385807499842233</v>
      </c>
      <c r="J60" s="366">
        <f>K47</f>
        <v>1.7071011492309554</v>
      </c>
      <c r="K60" s="366">
        <f>L47</f>
        <v>8.5826167963290843</v>
      </c>
      <c r="L60" s="366">
        <f>M47</f>
        <v>4.3504475179746827</v>
      </c>
      <c r="M60" s="366">
        <f>N47</f>
        <v>2.6854614308485707</v>
      </c>
    </row>
    <row r="61" spans="1:15" x14ac:dyDescent="0.2">
      <c r="A61" s="359" t="s">
        <v>367</v>
      </c>
      <c r="B61" s="360">
        <f>F18</f>
        <v>0.02</v>
      </c>
      <c r="C61" s="360">
        <f>F19</f>
        <v>0.1</v>
      </c>
      <c r="D61" s="360">
        <f>F20</f>
        <v>0.04</v>
      </c>
      <c r="E61" s="360">
        <f>F21</f>
        <v>0.04</v>
      </c>
      <c r="F61" s="360">
        <f>F22</f>
        <v>0.04</v>
      </c>
      <c r="G61" s="360">
        <f>F23</f>
        <v>0.04</v>
      </c>
      <c r="H61" s="360">
        <f>F24</f>
        <v>0.19999999999999998</v>
      </c>
      <c r="I61" s="360">
        <f>F25</f>
        <v>0.19999999999999998</v>
      </c>
      <c r="J61" s="360">
        <f>F26</f>
        <v>0.19999999999999998</v>
      </c>
      <c r="K61" s="360">
        <f>F27</f>
        <v>0.1</v>
      </c>
      <c r="L61" s="360">
        <f>F28</f>
        <v>0.04</v>
      </c>
      <c r="M61" s="360">
        <f>F29</f>
        <v>0.04</v>
      </c>
    </row>
    <row r="62" spans="1:15" x14ac:dyDescent="0.2">
      <c r="A62" s="359" t="s">
        <v>386</v>
      </c>
      <c r="B62" s="366">
        <f>B61/B60</f>
        <v>2.0194207213779087E-2</v>
      </c>
      <c r="C62" s="366">
        <f t="shared" ref="C62:M62" si="6">C61/C60</f>
        <v>8.2853775458128706E-2</v>
      </c>
      <c r="D62" s="366">
        <f t="shared" si="6"/>
        <v>2.9365686155993875E-3</v>
      </c>
      <c r="E62" s="366">
        <f t="shared" si="6"/>
        <v>2.9165810226621385E-2</v>
      </c>
      <c r="F62" s="366">
        <f t="shared" si="6"/>
        <v>8.6157607966786467E-3</v>
      </c>
      <c r="G62" s="366">
        <f t="shared" si="6"/>
        <v>1.8317492913183339E-2</v>
      </c>
      <c r="H62" s="366">
        <f t="shared" si="6"/>
        <v>4.613999629952794E-2</v>
      </c>
      <c r="I62" s="366">
        <f t="shared" si="6"/>
        <v>9.3519966455077944E-2</v>
      </c>
      <c r="J62" s="366">
        <f t="shared" si="6"/>
        <v>0.11715767404298184</v>
      </c>
      <c r="K62" s="366">
        <f t="shared" si="6"/>
        <v>1.1651458101073734E-2</v>
      </c>
      <c r="L62" s="366">
        <f t="shared" si="6"/>
        <v>9.194456394366916E-3</v>
      </c>
      <c r="M62" s="366">
        <f t="shared" si="6"/>
        <v>1.4895019358874398E-2</v>
      </c>
    </row>
    <row r="63" spans="1:15" x14ac:dyDescent="0.2">
      <c r="A63" s="359" t="s">
        <v>387</v>
      </c>
      <c r="B63" s="366">
        <f>-LN(B62)/LN(2)</f>
        <v>5.6299146800892492</v>
      </c>
      <c r="C63" s="366">
        <f t="shared" ref="C63:M63" si="7">-LN(C62)/LN(2)</f>
        <v>3.5932887504979729</v>
      </c>
      <c r="D63" s="366">
        <f t="shared" si="7"/>
        <v>8.4116529365497357</v>
      </c>
      <c r="E63" s="366">
        <f t="shared" si="7"/>
        <v>5.0995780369776718</v>
      </c>
      <c r="F63" s="366">
        <f t="shared" si="7"/>
        <v>6.8588060884285262</v>
      </c>
      <c r="G63" s="366">
        <f t="shared" si="7"/>
        <v>5.7706341322585439</v>
      </c>
      <c r="H63" s="366">
        <f t="shared" si="7"/>
        <v>4.4378383014593537</v>
      </c>
      <c r="I63" s="366">
        <f t="shared" si="7"/>
        <v>3.4185817773891309</v>
      </c>
      <c r="J63" s="366">
        <f t="shared" si="7"/>
        <v>3.093476638414439</v>
      </c>
      <c r="K63" s="366">
        <f t="shared" si="7"/>
        <v>6.4233456800833784</v>
      </c>
      <c r="L63" s="366">
        <f t="shared" si="7"/>
        <v>6.7650200042428716</v>
      </c>
      <c r="M63" s="366">
        <f t="shared" si="7"/>
        <v>6.0690261911329726</v>
      </c>
    </row>
    <row r="64" spans="1:15" x14ac:dyDescent="0.2">
      <c r="A64" s="359" t="s">
        <v>388</v>
      </c>
      <c r="B64" s="362">
        <f>B63*PBHVL</f>
        <v>1.5193086603894512</v>
      </c>
      <c r="C64" s="362">
        <f>C63*PBHVL</f>
        <v>0.96969759368094288</v>
      </c>
      <c r="D64" s="362">
        <f>D63*PBHVL</f>
        <v>2.2699983713585827</v>
      </c>
      <c r="E64" s="362">
        <f>E63*PBHVL</f>
        <v>1.376190140733925</v>
      </c>
      <c r="F64" s="362">
        <f>F63*PBHVL</f>
        <v>1.8509416362800299</v>
      </c>
      <c r="G64" s="362">
        <f>G63*PBHVL</f>
        <v>1.5572837087720102</v>
      </c>
      <c r="H64" s="362">
        <f>H63*PBHVL</f>
        <v>1.1976107184466822</v>
      </c>
      <c r="I64" s="362">
        <f>I63*PBHVL</f>
        <v>0.92255055285394361</v>
      </c>
      <c r="J64" s="362">
        <f>J63*PBHVL</f>
        <v>0.83481653178108151</v>
      </c>
      <c r="K64" s="362">
        <f>K63*PBHVL</f>
        <v>1.7334267524407918</v>
      </c>
      <c r="L64" s="362">
        <f>L63*PBHVL</f>
        <v>1.8256321923498742</v>
      </c>
      <c r="M64" s="362">
        <f>M63*PBHVL</f>
        <v>1.6378088436985971</v>
      </c>
    </row>
    <row r="66" spans="1:15" x14ac:dyDescent="0.2">
      <c r="A66" s="349" t="s">
        <v>391</v>
      </c>
    </row>
    <row r="67" spans="1:15" x14ac:dyDescent="0.2">
      <c r="C67" s="364" t="s">
        <v>389</v>
      </c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</row>
    <row r="68" spans="1:15" x14ac:dyDescent="0.2">
      <c r="C68" s="360" t="str">
        <f>C33</f>
        <v>Tech area</v>
      </c>
      <c r="D68" s="360" t="str">
        <f>D33</f>
        <v>CT Tech area</v>
      </c>
      <c r="E68" s="360" t="str">
        <f>E33</f>
        <v>US 1</v>
      </c>
      <c r="F68" s="360" t="str">
        <f>F33</f>
        <v>US 2</v>
      </c>
      <c r="G68" s="360" t="str">
        <f>G33</f>
        <v>Office 2221</v>
      </c>
      <c r="H68" s="360" t="str">
        <f>H33</f>
        <v>Office 2302</v>
      </c>
      <c r="I68" s="360" t="str">
        <f>I33</f>
        <v>Consult A</v>
      </c>
      <c r="J68" s="360" t="str">
        <f>J33</f>
        <v>Consult B</v>
      </c>
      <c r="K68" s="360" t="str">
        <f>K33</f>
        <v>Lactation</v>
      </c>
      <c r="L68" s="360" t="str">
        <f>L33</f>
        <v>Reading Room</v>
      </c>
      <c r="M68" s="360" t="str">
        <f>M33</f>
        <v>Floor</v>
      </c>
      <c r="N68" s="360" t="str">
        <f>N33</f>
        <v>Ceiling</v>
      </c>
    </row>
    <row r="69" spans="1:15" x14ac:dyDescent="0.2">
      <c r="A69" s="369" t="s">
        <v>390</v>
      </c>
      <c r="B69" s="359" t="str">
        <f>A7</f>
        <v>Hot lab</v>
      </c>
      <c r="C69" s="362">
        <f>-LN((B$61/C48))/LN(2)*PBHVL</f>
        <v>0.2111682842584843</v>
      </c>
      <c r="D69" s="362">
        <f>-LN((C$61/D48))/LN(2)*PBHVL</f>
        <v>-0.25375464104747575</v>
      </c>
      <c r="E69" s="362">
        <f>-LN((D$61/E48))/LN(2)*PBHVL</f>
        <v>0.33367634585173811</v>
      </c>
      <c r="F69" s="362">
        <f>-LN((E$61/F48))/LN(2)*PBHVL</f>
        <v>9.0571666920018813E-3</v>
      </c>
      <c r="G69" s="362">
        <f>-LN((F$61/G48))/LN(2)*PBHVL</f>
        <v>0.4810318162517197</v>
      </c>
      <c r="H69" s="362">
        <f>-LN((G$61/H48))/LN(2)*PBHVL</f>
        <v>0.20981878280570193</v>
      </c>
      <c r="I69" s="362">
        <f>-LN((H$61/I48))/LN(2)*PBHVL</f>
        <v>-0.11243236477016001</v>
      </c>
      <c r="J69" s="362">
        <f>-LN((I$61/J48))/LN(2)*PBHVL</f>
        <v>-3.6051128808088388E-3</v>
      </c>
      <c r="K69" s="362">
        <f>-LN((J$61/K48))/LN(2)*PBHVL</f>
        <v>-7.781948604215512E-2</v>
      </c>
      <c r="L69" s="362">
        <f>-LN((K$61/L48))/LN(2)*PBHVL</f>
        <v>0.88802566644085579</v>
      </c>
      <c r="M69" s="362">
        <f>-LN((L$61/M48))/LN(2)*PBHVL</f>
        <v>0.62299860383981909</v>
      </c>
      <c r="N69" s="362">
        <f>-LN((M$61/N48))/LN(2)*PBHVL</f>
        <v>0.43517525518854178</v>
      </c>
      <c r="O69" s="356"/>
    </row>
    <row r="70" spans="1:15" x14ac:dyDescent="0.2">
      <c r="A70" s="370"/>
      <c r="B70" s="359" t="str">
        <f>A8</f>
        <v>NM Hold 1</v>
      </c>
      <c r="C70" s="362">
        <f>-LN((B$61/C49))/LN(2)*PBHVL</f>
        <v>0.64271260766638783</v>
      </c>
      <c r="D70" s="362">
        <f>-LN((C$61/D49))/LN(2)*PBHVL</f>
        <v>-0.20789807998429763</v>
      </c>
      <c r="E70" s="362">
        <f>-LN((D$61/E49))/LN(2)*PBHVL</f>
        <v>7.055451448891846E-2</v>
      </c>
      <c r="F70" s="362">
        <f>-LN((E$61/F49))/LN(2)*PBHVL</f>
        <v>-0.12588633674457109</v>
      </c>
      <c r="G70" s="362">
        <f>-LN((F$61/G49))/LN(2)*PBHVL</f>
        <v>9.1137075637720985E-2</v>
      </c>
      <c r="H70" s="362">
        <f>-LN((G$61/H49))/LN(2)*PBHVL</f>
        <v>-2.4911200725219192E-2</v>
      </c>
      <c r="I70" s="362">
        <f>-LN((H$61/I49))/LN(2)*PBHVL</f>
        <v>-0.38229589676339548</v>
      </c>
      <c r="J70" s="362">
        <f>-LN((I$61/J49))/LN(2)*PBHVL</f>
        <v>-0.23352852831810289</v>
      </c>
      <c r="K70" s="362">
        <f>-LN((J$61/K49))/LN(2)*PBHVL</f>
        <v>4.2604229035640177E-3</v>
      </c>
      <c r="L70" s="362">
        <f>-LN((K$61/L49))/LN(2)*PBHVL</f>
        <v>-3.6051128808089242E-3</v>
      </c>
      <c r="M70" s="362">
        <f>-LN((L$61/M49))/LN(2)*PBHVL</f>
        <v>0.89286213583305474</v>
      </c>
      <c r="N70" s="362">
        <f>-LN((M$61/N49))/LN(2)*PBHVL</f>
        <v>0.70503878718177726</v>
      </c>
      <c r="O70" s="356"/>
    </row>
    <row r="71" spans="1:15" x14ac:dyDescent="0.2">
      <c r="A71" s="370"/>
      <c r="B71" s="359" t="str">
        <f>A9</f>
        <v>NM Hold 2</v>
      </c>
      <c r="C71" s="362">
        <f>-LN((B$61/C50))/LN(2)*PBHVL</f>
        <v>0.56668528477185676</v>
      </c>
      <c r="D71" s="362">
        <f>-LN((C$61/D50))/LN(2)*PBHVL</f>
        <v>-3.6051128808089242E-3</v>
      </c>
      <c r="E71" s="362">
        <f>-LN((D$61/E50))/LN(2)*PBHVL</f>
        <v>0.43517525518854172</v>
      </c>
      <c r="F71" s="362">
        <f>-LN((E$61/F50))/LN(2)*PBHVL</f>
        <v>0.14884210474309492</v>
      </c>
      <c r="G71" s="362">
        <f>-LN((F$61/G50))/LN(2)*PBHVL</f>
        <v>0.52688837731489779</v>
      </c>
      <c r="H71" s="362">
        <f>-LN((G$61/H50))/LN(2)*PBHVL</f>
        <v>0.29682175277862122</v>
      </c>
      <c r="I71" s="362">
        <f>-LN((H$61/I50))/LN(2)*PBHVL</f>
        <v>4.2604229035640177E-3</v>
      </c>
      <c r="J71" s="362">
        <f>-LN((I$61/J50))/LN(2)*PBHVL</f>
        <v>0.19204404595108038</v>
      </c>
      <c r="K71" s="362">
        <f>-LN((J$61/K50))/LN(2)*PBHVL</f>
        <v>0.26625841911242665</v>
      </c>
      <c r="L71" s="362">
        <f>-LN((K$61/L50))/LN(2)*PBHVL</f>
        <v>0.66266919405801594</v>
      </c>
      <c r="M71" s="362">
        <f>-LN((L$61/M50))/LN(2)*PBHVL</f>
        <v>0.89286213583305474</v>
      </c>
      <c r="N71" s="362">
        <f>-LN((M$61/N50))/LN(2)*PBHVL</f>
        <v>0.70503878718177726</v>
      </c>
      <c r="O71" s="356"/>
    </row>
    <row r="72" spans="1:15" x14ac:dyDescent="0.2">
      <c r="A72" s="370"/>
      <c r="B72" s="359" t="str">
        <f>A10</f>
        <v>NM Camera 1</v>
      </c>
      <c r="C72" s="362">
        <f>-LN((B$61/C51))/LN(2)*PBHVL</f>
        <v>1.0480958619497696</v>
      </c>
      <c r="D72" s="362">
        <f>-LN((C$61/D51))/LN(2)*PBHVL</f>
        <v>-0.10250384718858385</v>
      </c>
      <c r="E72" s="362">
        <f>-LN((D$61/E51))/LN(2)*PBHVL</f>
        <v>5.8547453103158328E-2</v>
      </c>
      <c r="F72" s="362">
        <f>-LN((E$61/F51))/LN(2)*PBHVL</f>
        <v>-0.12746849254809384</v>
      </c>
      <c r="G72" s="362">
        <f>-LN((F$61/G51))/LN(2)*PBHVL</f>
        <v>3.4212298866574294E-2</v>
      </c>
      <c r="H72" s="362">
        <f>-LN((G$61/H51))/LN(2)*PBHVL</f>
        <v>-8.7528375992152352E-2</v>
      </c>
      <c r="I72" s="362">
        <f>-LN((H$61/I51))/LN(2)*PBHVL</f>
        <v>-0.55559741288576814</v>
      </c>
      <c r="J72" s="362">
        <f>-LN((I$61/J51))/LN(2)*PBHVL</f>
        <v>-0.4623128239119112</v>
      </c>
      <c r="K72" s="362">
        <f>-LN((J$61/K51))/LN(2)*PBHVL</f>
        <v>-0.32317239717160196</v>
      </c>
      <c r="L72" s="362">
        <f>-LN((K$61/L51))/LN(2)*PBHVL</f>
        <v>-0.11823491875732949</v>
      </c>
      <c r="M72" s="362">
        <f>-LN((L$61/M51))/LN(2)*PBHVL</f>
        <v>0.95198563542484815</v>
      </c>
      <c r="N72" s="362">
        <f>-LN((M$61/N51))/LN(2)*PBHVL</f>
        <v>0.76416228677357079</v>
      </c>
      <c r="O72" s="356"/>
    </row>
    <row r="73" spans="1:15" x14ac:dyDescent="0.2">
      <c r="A73" s="370"/>
      <c r="B73" s="359" t="str">
        <f>A11</f>
        <v>NM Camera 2</v>
      </c>
      <c r="C73" s="362">
        <f>-LN((B$61/C52))/LN(2)*PBHVL</f>
        <v>0.84380289484628079</v>
      </c>
      <c r="D73" s="362">
        <f>-LN((C$61/D52))/LN(2)*PBHVL</f>
        <v>0.4864181988081045</v>
      </c>
      <c r="E73" s="362">
        <f>-LN((D$61/E52))/LN(2)*PBHVL</f>
        <v>0.68998763921598549</v>
      </c>
      <c r="F73" s="362">
        <f>-LN((E$61/F52))/LN(2)*PBHVL</f>
        <v>0.32054544931202117</v>
      </c>
      <c r="G73" s="362">
        <f>-LN((F$61/G52))/LN(2)*PBHVL</f>
        <v>0.61073336782133081</v>
      </c>
      <c r="H73" s="362">
        <f>-LN((G$61/H52))/LN(2)*PBHVL</f>
        <v>0.37426754615957197</v>
      </c>
      <c r="I73" s="362">
        <f>-LN((H$61/I52))/LN(2)*PBHVL</f>
        <v>-0.19463114145568225</v>
      </c>
      <c r="J73" s="362">
        <f>-LN((I$61/J52))/LN(2)*PBHVL</f>
        <v>-0.15363948988693457</v>
      </c>
      <c r="K73" s="362">
        <f>-LN((J$61/K52))/LN(2)*PBHVL</f>
        <v>-0.15363948988693457</v>
      </c>
      <c r="L73" s="362">
        <f>-LN((K$61/L52))/LN(2)*PBHVL</f>
        <v>0.72179269364980936</v>
      </c>
      <c r="M73" s="362">
        <f>-LN((L$61/M52))/LN(2)*PBHVL</f>
        <v>0.95198563542484815</v>
      </c>
      <c r="N73" s="362">
        <f>-LN((M$61/N52))/LN(2)*PBHVL</f>
        <v>0.76416228677357079</v>
      </c>
      <c r="O73" s="356"/>
    </row>
    <row r="74" spans="1:15" x14ac:dyDescent="0.2">
      <c r="A74" s="370"/>
      <c r="B74" s="359" t="str">
        <f>A12</f>
        <v>Stress Lab</v>
      </c>
      <c r="C74" s="362">
        <f>-LN((B$61/C53))/LN(2)*PBHVL</f>
        <v>0.70368928572899481</v>
      </c>
      <c r="D74" s="362">
        <f>-LN((C$61/D53))/LN(2)*PBHVL</f>
        <v>0.54398748689003495</v>
      </c>
      <c r="E74" s="362">
        <f>-LN((D$61/E53))/LN(2)*PBHVL</f>
        <v>2.2421797957992324</v>
      </c>
      <c r="F74" s="362">
        <f>-LN((E$61/F53))/LN(2)*PBHVL</f>
        <v>1.1627256678262901</v>
      </c>
      <c r="G74" s="362">
        <f>-LN((F$61/G53))/LN(2)*PBHVL</f>
        <v>1.7024527318127611</v>
      </c>
      <c r="H74" s="362">
        <f>-LN((G$61/H53))/LN(2)*PBHVL</f>
        <v>1.2892729107786438</v>
      </c>
      <c r="I74" s="362">
        <f>-LN((H$61/I53))/LN(2)*PBHVL</f>
        <v>0.10037064942848542</v>
      </c>
      <c r="J74" s="362">
        <f>-LN((I$61/J53))/LN(2)*PBHVL</f>
        <v>3.63350036751326E-2</v>
      </c>
      <c r="K74" s="362">
        <f>-LN((J$61/K53))/LN(2)*PBHVL</f>
        <v>-5.9918431948771236E-2</v>
      </c>
      <c r="L74" s="362">
        <f>-LN((K$61/L53))/LN(2)*PBHVL</f>
        <v>1.5194658525536828</v>
      </c>
      <c r="M74" s="362">
        <f>-LN((L$61/M53))/LN(2)*PBHVL</f>
        <v>1.1627256678262901</v>
      </c>
      <c r="N74" s="362">
        <f>-LN((M$61/N53))/LN(2)*PBHVL</f>
        <v>0.9749023191750128</v>
      </c>
      <c r="O74" s="356"/>
    </row>
    <row r="75" spans="1:15" x14ac:dyDescent="0.2">
      <c r="A75" s="370"/>
      <c r="B75" s="359" t="str">
        <f>A13</f>
        <v>Hot Toilet</v>
      </c>
      <c r="C75" s="362">
        <f>-LN((B$61/C54))/LN(2)*PBHVL</f>
        <v>0.61416505123607945</v>
      </c>
      <c r="D75" s="362">
        <f>-LN((C$61/D54))/LN(2)*PBHVL</f>
        <v>-0.33446374488138481</v>
      </c>
      <c r="E75" s="362">
        <f>-LN((D$61/E54))/LN(2)*PBHVL</f>
        <v>-9.415817319498769E-2</v>
      </c>
      <c r="F75" s="362">
        <f>-LN((E$61/F54))/LN(2)*PBHVL</f>
        <v>-0.25041272969829204</v>
      </c>
      <c r="G75" s="362">
        <f>-LN((F$61/G54))/LN(2)*PBHVL</f>
        <v>-6.1018637496239404E-2</v>
      </c>
      <c r="H75" s="362">
        <f>-LN((G$61/H54))/LN(2)*PBHVL</f>
        <v>-0.16640374237787289</v>
      </c>
      <c r="I75" s="362">
        <f>-LN((H$61/I54))/LN(2)*PBHVL</f>
        <v>-0.60432727687462018</v>
      </c>
      <c r="J75" s="362">
        <f>-LN((I$61/J54))/LN(2)*PBHVL</f>
        <v>-0.43682831473941691</v>
      </c>
      <c r="K75" s="362">
        <f>-LN((J$61/K54))/LN(2)*PBHVL</f>
        <v>-0.28230219747778407</v>
      </c>
      <c r="L75" s="362">
        <f>-LN((K$61/L54))/LN(2)*PBHVL</f>
        <v>-0.24822591493896465</v>
      </c>
      <c r="M75" s="362">
        <f>-LN((L$61/M54))/LN(2)*PBHVL</f>
        <v>0.90325577143599622</v>
      </c>
      <c r="N75" s="362">
        <f>-LN((M$61/N54))/LN(2)*PBHVL</f>
        <v>0.71543242278471875</v>
      </c>
      <c r="O75" s="356"/>
    </row>
    <row r="76" spans="1:15" x14ac:dyDescent="0.2">
      <c r="A76" s="371"/>
      <c r="B76" s="359" t="str">
        <f>A14</f>
        <v>Radiology Waiting</v>
      </c>
      <c r="C76" s="362">
        <f>-LN((B$61/C55))/LN(2)*PBHVL</f>
        <v>0.52654539892616026</v>
      </c>
      <c r="D76" s="362">
        <f>-LN((C$61/D55))/LN(2)*PBHVL</f>
        <v>8.5957627856784416E-2</v>
      </c>
      <c r="E76" s="362">
        <f>-LN((D$61/E55))/LN(2)*PBHVL</f>
        <v>0.85711458631471205</v>
      </c>
      <c r="F76" s="362">
        <f>-LN((E$61/F55))/LN(2)*PBHVL</f>
        <v>0.7964089309193958</v>
      </c>
      <c r="G76" s="362">
        <f>-LN((F$61/G55))/LN(2)*PBHVL</f>
        <v>1.1941692073177674</v>
      </c>
      <c r="H76" s="362">
        <f>-LN((G$61/H55))/LN(2)*PBHVL</f>
        <v>1.1318430278023779</v>
      </c>
      <c r="I76" s="362">
        <f>-LN((H$61/I55))/LN(2)*PBHVL</f>
        <v>1.1072925545836103</v>
      </c>
      <c r="J76" s="362">
        <f>-LN((I$61/J55))/LN(2)*PBHVL</f>
        <v>0.63531790502389252</v>
      </c>
      <c r="K76" s="362">
        <f>-LN((J$61/K55))/LN(2)*PBHVL</f>
        <v>0.31959781196747894</v>
      </c>
      <c r="L76" s="362">
        <f>-LN((K$61/L55))/LN(2)*PBHVL</f>
        <v>0.97939581017847421</v>
      </c>
      <c r="M76" s="362">
        <f>-LN((L$61/M55))/LN(2)*PBHVL</f>
        <v>1.3361359949058669</v>
      </c>
      <c r="N76" s="362">
        <f>-LN((M$61/N55))/LN(2)*PBHVL</f>
        <v>1.1483126462545894</v>
      </c>
      <c r="O76" s="356"/>
    </row>
  </sheetData>
  <mergeCells count="7">
    <mergeCell ref="C67:N67"/>
    <mergeCell ref="B58:M58"/>
    <mergeCell ref="A69:A76"/>
    <mergeCell ref="C32:N32"/>
    <mergeCell ref="A34:A41"/>
    <mergeCell ref="A48:A55"/>
    <mergeCell ref="C45:N45"/>
  </mergeCells>
  <conditionalFormatting sqref="C48:C55">
    <cfRule type="colorScale" priority="12">
      <colorScale>
        <cfvo type="min"/>
        <cfvo type="max"/>
        <color theme="0"/>
        <color rgb="FFFF0000"/>
      </colorScale>
    </cfRule>
  </conditionalFormatting>
  <conditionalFormatting sqref="D48:D55">
    <cfRule type="colorScale" priority="11">
      <colorScale>
        <cfvo type="min"/>
        <cfvo type="max"/>
        <color theme="0"/>
        <color rgb="FFFF0000"/>
      </colorScale>
    </cfRule>
  </conditionalFormatting>
  <conditionalFormatting sqref="E48:E55">
    <cfRule type="colorScale" priority="10">
      <colorScale>
        <cfvo type="min"/>
        <cfvo type="max"/>
        <color theme="0"/>
        <color rgb="FFFF0000"/>
      </colorScale>
    </cfRule>
  </conditionalFormatting>
  <conditionalFormatting sqref="F48:F55">
    <cfRule type="colorScale" priority="9">
      <colorScale>
        <cfvo type="min"/>
        <cfvo type="max"/>
        <color theme="0"/>
        <color rgb="FFFF0000"/>
      </colorScale>
    </cfRule>
  </conditionalFormatting>
  <conditionalFormatting sqref="G48:G55">
    <cfRule type="colorScale" priority="8">
      <colorScale>
        <cfvo type="min"/>
        <cfvo type="max"/>
        <color theme="0"/>
        <color rgb="FFFF0000"/>
      </colorScale>
    </cfRule>
  </conditionalFormatting>
  <conditionalFormatting sqref="H48:H55">
    <cfRule type="colorScale" priority="7">
      <colorScale>
        <cfvo type="min"/>
        <cfvo type="max"/>
        <color theme="0"/>
        <color rgb="FFFF0000"/>
      </colorScale>
    </cfRule>
  </conditionalFormatting>
  <conditionalFormatting sqref="I48:I55">
    <cfRule type="colorScale" priority="6">
      <colorScale>
        <cfvo type="min"/>
        <cfvo type="max"/>
        <color theme="0"/>
        <color rgb="FFFF0000"/>
      </colorScale>
    </cfRule>
  </conditionalFormatting>
  <conditionalFormatting sqref="J48:J55">
    <cfRule type="colorScale" priority="5">
      <colorScale>
        <cfvo type="min"/>
        <cfvo type="max"/>
        <color theme="0"/>
        <color rgb="FFFF0000"/>
      </colorScale>
    </cfRule>
  </conditionalFormatting>
  <conditionalFormatting sqref="K48:K55">
    <cfRule type="colorScale" priority="4">
      <colorScale>
        <cfvo type="min"/>
        <cfvo type="max"/>
        <color theme="0"/>
        <color rgb="FFFF0000"/>
      </colorScale>
    </cfRule>
  </conditionalFormatting>
  <conditionalFormatting sqref="L48:L55">
    <cfRule type="colorScale" priority="3">
      <colorScale>
        <cfvo type="min"/>
        <cfvo type="max"/>
        <color theme="0"/>
        <color rgb="FFFF0000"/>
      </colorScale>
    </cfRule>
  </conditionalFormatting>
  <conditionalFormatting sqref="C69:N76">
    <cfRule type="cellIs" dxfId="0" priority="2" operator="lessThan">
      <formula>0</formula>
    </cfRule>
  </conditionalFormatting>
  <conditionalFormatting sqref="M48:N55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scale="53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37" t="s">
        <v>170</v>
      </c>
      <c r="R18" s="337"/>
      <c r="S18" s="337"/>
      <c r="T18" s="337"/>
      <c r="U18" s="337"/>
      <c r="V18" s="338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39" t="s">
        <v>169</v>
      </c>
      <c r="R19" s="339"/>
      <c r="S19" s="339"/>
      <c r="T19" s="340" t="s">
        <v>95</v>
      </c>
      <c r="U19" s="340"/>
      <c r="V19" s="341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37" t="s">
        <v>170</v>
      </c>
      <c r="R24" s="337"/>
      <c r="S24" s="337"/>
      <c r="T24" s="337"/>
      <c r="U24" s="337"/>
      <c r="V24" s="338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42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42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43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43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44"/>
      <c r="G20" s="167" t="s">
        <v>122</v>
      </c>
      <c r="H20" s="167" t="s">
        <v>118</v>
      </c>
      <c r="L20" s="345" t="s">
        <v>123</v>
      </c>
      <c r="M20" s="345"/>
      <c r="N20" s="345"/>
      <c r="O20" s="345"/>
      <c r="P20" s="345"/>
      <c r="Q20" s="345"/>
      <c r="R20" s="345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46" t="s">
        <v>215</v>
      </c>
      <c r="C3" s="346"/>
      <c r="D3" s="346"/>
      <c r="E3" s="346" t="s">
        <v>216</v>
      </c>
      <c r="F3" s="346"/>
      <c r="G3" s="346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46">
        <v>110</v>
      </c>
      <c r="C30" s="346"/>
      <c r="D30" s="346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47" t="s">
        <v>230</v>
      </c>
      <c r="D3" s="347"/>
      <c r="E3" s="347" t="s">
        <v>231</v>
      </c>
      <c r="F3" s="347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$B$5*C5</f>
        <v>72.109200000000001</v>
      </c>
      <c r="F5" s="295">
        <f>$B$5*D5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$B$5*C6</f>
        <v>72.109200000000001</v>
      </c>
      <c r="F6" s="295">
        <f t="shared" ref="F6:F12" si="1">$B$5*D6</f>
        <v>96.145600000000002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120.18200000000002</v>
      </c>
      <c r="F7" s="295">
        <f t="shared" si="1"/>
        <v>240.36400000000003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12.0182</v>
      </c>
      <c r="F8" s="295">
        <f t="shared" si="1"/>
        <v>18.0273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15.022750000000002</v>
      </c>
      <c r="F9" s="295">
        <f t="shared" si="1"/>
        <v>24.0364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48.072800000000001</v>
      </c>
      <c r="F10" s="295">
        <f t="shared" si="1"/>
        <v>96.145600000000002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12.0182</v>
      </c>
      <c r="F11" s="295">
        <f t="shared" si="1"/>
        <v>18.0273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12.0182</v>
      </c>
      <c r="F12" s="295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39</vt:i4>
      </vt:variant>
    </vt:vector>
  </HeadingPairs>
  <TitlesOfParts>
    <vt:vector size="56" baseType="lpstr">
      <vt:lpstr>Table</vt:lpstr>
      <vt:lpstr>RadFluoro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2020-02-18T14:51:57Z</dcterms:modified>
</cp:coreProperties>
</file>