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75" windowWidth="9720" windowHeight="3270" tabRatio="688" firstSheet="8" activeTab="14"/>
  </bookViews>
  <sheets>
    <sheet name="Table" sheetId="1" r:id="rId1"/>
    <sheet name="RadFluoro" sheetId="5" r:id="rId2"/>
    <sheet name="CT" sheetId="4" r:id="rId3"/>
    <sheet name="ShieldEvaluation" sheetId="2" r:id="rId4"/>
    <sheet name="FitParameters" sheetId="3" r:id="rId5"/>
    <sheet name="NCRP147_4.1" sheetId="16" r:id="rId6"/>
    <sheet name="NCRP147_4.2" sheetId="17" r:id="rId7"/>
    <sheet name="NCRP147_4.3" sheetId="18" r:id="rId8"/>
    <sheet name="NCRP147_4.4" sheetId="19" r:id="rId9"/>
    <sheet name="NCRP147_4.7" sheetId="20" r:id="rId10"/>
    <sheet name="NCRP147_5.2" sheetId="21" r:id="rId11"/>
    <sheet name="NCRP147_A1" sheetId="22" r:id="rId12"/>
    <sheet name="NCRP147_B1" sheetId="23" r:id="rId13"/>
    <sheet name="NCRP147_C1" sheetId="24" r:id="rId14"/>
    <sheet name="W_Rh_Al_Ag" sheetId="25" r:id="rId15"/>
  </sheets>
  <definedNames>
    <definedName name="FitParams">FitParameters!$A$5:$AF$30</definedName>
    <definedName name="inch_value">Table!$AF$6:$AF$41</definedName>
    <definedName name="minimum_Pb">Table!$AG$6:$AG$41</definedName>
    <definedName name="mm_value">Table!$AE$6:$AE$41</definedName>
    <definedName name="_xlnm.Print_Area" localSheetId="2">CT!$A$1:$V$50</definedName>
    <definedName name="_xlnm.Print_Area" localSheetId="1">RadFluoro!$A$1:$J$40</definedName>
    <definedName name="_xlnm.Print_Area" localSheetId="3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D40" i="5" l="1"/>
  <c r="D39" i="5"/>
  <c r="D38" i="5"/>
  <c r="D37" i="5"/>
  <c r="D36" i="5"/>
  <c r="D35" i="5"/>
  <c r="D34" i="5"/>
  <c r="D33" i="5"/>
  <c r="D32" i="5"/>
  <c r="D31" i="5"/>
  <c r="D30" i="5"/>
  <c r="D29" i="5"/>
  <c r="D28" i="5"/>
  <c r="A55" i="5" l="1"/>
  <c r="A54" i="5"/>
  <c r="A53" i="5"/>
  <c r="A52" i="5"/>
  <c r="A51" i="5"/>
  <c r="A50" i="5"/>
  <c r="A49" i="5"/>
  <c r="A48" i="5"/>
  <c r="A47" i="5"/>
  <c r="A46" i="5"/>
  <c r="A45" i="5"/>
  <c r="A44" i="5"/>
  <c r="A43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C55" i="5" l="1"/>
  <c r="E55" i="5" s="1"/>
  <c r="H55" i="5" s="1"/>
  <c r="C54" i="5"/>
  <c r="E54" i="5" s="1"/>
  <c r="H54" i="5" s="1"/>
  <c r="C52" i="5"/>
  <c r="E52" i="5" s="1"/>
  <c r="G52" i="5" s="1"/>
  <c r="C51" i="5"/>
  <c r="E51" i="5" s="1"/>
  <c r="G51" i="5" s="1"/>
  <c r="C45" i="5"/>
  <c r="E45" i="5" s="1"/>
  <c r="G45" i="5" s="1"/>
  <c r="E40" i="5"/>
  <c r="F40" i="5" s="1"/>
  <c r="H40" i="5" s="1"/>
  <c r="E39" i="5"/>
  <c r="F39" i="5" s="1"/>
  <c r="H39" i="5" s="1"/>
  <c r="E37" i="5"/>
  <c r="F37" i="5" s="1"/>
  <c r="G37" i="5" s="1"/>
  <c r="I37" i="5" s="1"/>
  <c r="E36" i="5"/>
  <c r="F36" i="5" s="1"/>
  <c r="G36" i="5" s="1"/>
  <c r="I36" i="5" s="1"/>
  <c r="E30" i="5"/>
  <c r="F30" i="5" s="1"/>
  <c r="G30" i="5" s="1"/>
  <c r="I30" i="5" s="1"/>
  <c r="C53" i="5"/>
  <c r="E53" i="5" s="1"/>
  <c r="G53" i="5" s="1"/>
  <c r="C50" i="5"/>
  <c r="E50" i="5" s="1"/>
  <c r="G50" i="5" s="1"/>
  <c r="C49" i="5"/>
  <c r="E49" i="5" s="1"/>
  <c r="G49" i="5" s="1"/>
  <c r="E33" i="5"/>
  <c r="F33" i="5" s="1"/>
  <c r="G33" i="5" s="1"/>
  <c r="I33" i="5" s="1"/>
  <c r="E32" i="5"/>
  <c r="F32" i="5" s="1"/>
  <c r="G32" i="5" s="1"/>
  <c r="I32" i="5" s="1"/>
  <c r="C46" i="5"/>
  <c r="E46" i="5" s="1"/>
  <c r="G46" i="5" s="1"/>
  <c r="E29" i="5"/>
  <c r="F29" i="5" s="1"/>
  <c r="G29" i="5" s="1"/>
  <c r="I29" i="5" s="1"/>
  <c r="E28" i="5"/>
  <c r="F28" i="5" s="1"/>
  <c r="G28" i="5" s="1"/>
  <c r="I28" i="5" s="1"/>
  <c r="E34" i="5" l="1"/>
  <c r="F34" i="5" s="1"/>
  <c r="G34" i="5" s="1"/>
  <c r="I34" i="5" s="1"/>
  <c r="E38" i="5"/>
  <c r="F38" i="5" s="1"/>
  <c r="G38" i="5" s="1"/>
  <c r="I38" i="5" s="1"/>
  <c r="C44" i="5"/>
  <c r="E44" i="5" s="1"/>
  <c r="G44" i="5" s="1"/>
  <c r="C48" i="5"/>
  <c r="E48" i="5" s="1"/>
  <c r="G48" i="5" s="1"/>
  <c r="E31" i="5"/>
  <c r="F31" i="5" s="1"/>
  <c r="G31" i="5" s="1"/>
  <c r="I31" i="5" s="1"/>
  <c r="E35" i="5"/>
  <c r="F35" i="5" s="1"/>
  <c r="G35" i="5" s="1"/>
  <c r="I35" i="5" s="1"/>
  <c r="C43" i="5"/>
  <c r="E43" i="5" s="1"/>
  <c r="G43" i="5" s="1"/>
  <c r="C47" i="5"/>
  <c r="E47" i="5" s="1"/>
  <c r="G47" i="5" s="1"/>
  <c r="A2" i="2" l="1"/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J39" i="4"/>
  <c r="K39" i="4" s="1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L36" i="4"/>
  <c r="L32" i="4"/>
  <c r="L43" i="4"/>
  <c r="L31" i="4"/>
  <c r="L42" i="4"/>
  <c r="L38" i="4"/>
  <c r="L34" i="4"/>
  <c r="L30" i="4"/>
  <c r="L39" i="4"/>
  <c r="L41" i="4"/>
  <c r="L37" i="4"/>
  <c r="L33" i="4"/>
  <c r="L29" i="4"/>
  <c r="L35" i="4"/>
  <c r="M40" i="4"/>
  <c r="O40" i="4" s="1"/>
  <c r="M32" i="4"/>
  <c r="O32" i="4" s="1"/>
  <c r="M30" i="4"/>
  <c r="O30" i="4" s="1"/>
  <c r="M43" i="4"/>
  <c r="O43" i="4" s="1"/>
  <c r="M39" i="4"/>
  <c r="O39" i="4" s="1"/>
  <c r="M35" i="4"/>
  <c r="O35" i="4" s="1"/>
  <c r="M31" i="4"/>
  <c r="O31" i="4" s="1"/>
  <c r="M29" i="4"/>
  <c r="O29" i="4" s="1"/>
  <c r="M42" i="4"/>
  <c r="O42" i="4" s="1"/>
  <c r="M38" i="4"/>
  <c r="O38" i="4" s="1"/>
  <c r="M34" i="4"/>
  <c r="O34" i="4" s="1"/>
  <c r="M41" i="4"/>
  <c r="O41" i="4" s="1"/>
  <c r="M37" i="4"/>
  <c r="O37" i="4" s="1"/>
  <c r="M33" i="4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K26" i="1" l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I45" i="1"/>
  <c r="I81" i="1" s="1"/>
  <c r="J45" i="1"/>
  <c r="J81" i="1" s="1"/>
  <c r="H75" i="1"/>
  <c r="H111" i="1" s="1"/>
  <c r="J63" i="1"/>
  <c r="J99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5" i="1" l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M45" i="1"/>
  <c r="M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<sst xmlns="http://schemas.openxmlformats.org/spreadsheetml/2006/main" count="736" uniqueCount="307">
  <si>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</si>
  <si>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</si>
  <si>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</si>
  <si>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</si>
  <si>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</si>
  <si>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</si>
  <si>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</si>
  <si>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</si>
  <si>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</si>
  <si>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</si>
  <si>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</si>
  <si>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</si>
  <si>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</si>
  <si>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</si>
  <si>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</si>
  <si>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</si>
  <si>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</si>
  <si>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</si>
  <si>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</si>
  <si>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</si>
  <si>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</si>
  <si>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</si>
  <si>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</si>
  <si>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</si>
  <si>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</si>
  <si>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</si>
  <si>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</si>
  <si>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</si>
  <si>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</si>
  <si>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</si>
  <si>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</si>
  <si>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</si>
  <si>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</si>
  <si>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</si>
  <si>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</si>
  <si>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</si>
  <si>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</si>
  <si>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</si>
  <si>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</si>
  <si>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</si>
  <si>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</si>
  <si>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</si>
  <si>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</si>
  <si>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</si>
  <si>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</si>
  <si>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</si>
  <si>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</si>
  <si>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</si>
  <si>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</si>
  <si>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</si>
  <si>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</si>
  <si>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</si>
  <si>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</si>
  <si>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</si>
  <si>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</si>
  <si>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</si>
  <si>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</si>
  <si>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</si>
  <si>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</si>
  <si>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</si>
  <si>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</si>
  <si>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</si>
  <si>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</si>
  <si>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</si>
  <si>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</si>
  <si>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</si>
  <si>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</si>
  <si>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</si>
  <si>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</si>
  <si>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</si>
  <si>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</si>
  <si>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</si>
  <si>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</si>
  <si>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</si>
  <si>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</si>
  <si>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</si>
  <si>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</si>
  <si>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</si>
  <si>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</si>
  <si>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</si>
  <si>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</si>
  <si>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</si>
  <si>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</si>
  <si>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</si>
  <si>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</si>
  <si>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</si>
  <si>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</si>
  <si>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</si>
  <si>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</si>
  <si>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</si>
  <si>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</si>
  <si>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</si>
  <si>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</si>
  <si>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</si>
  <si>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</si>
  <si>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</si>
  <si>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</si>
  <si>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</si>
  <si>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</si>
  <si>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</si>
  <si>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</si>
  <si>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</si>
  <si>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</si>
  <si>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</si>
  <si>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</si>
  <si>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</si>
  <si>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</si>
  <si>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</si>
  <si>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</si>
  <si>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</si>
  <si>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</si>
  <si>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</si>
  <si>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</si>
  <si>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</si>
  <si>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</si>
  <si>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</si>
  <si>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</si>
  <si>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</si>
  <si>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</si>
  <si>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</si>
  <si>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</si>
  <si>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</si>
  <si>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</si>
  <si>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</si>
  <si>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</si>
  <si>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</si>
  <si>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</si>
  <si>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</si>
  <si>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</si>
  <si>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</si>
  <si>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</si>
  <si>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</si>
  <si>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</si>
  <si>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</si>
  <si>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</si>
  <si>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</si>
  <si>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</si>
  <si>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</si>
  <si>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</si>
  <si>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</si>
  <si>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</si>
  <si>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</si>
  <si>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Siemens template (attached) gives the exposure at various distances per 1000 mAs rotation.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</si>
  <si>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</si>
  <si>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</si>
  <si>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</si>
  <si>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</si>
  <si>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</si>
  <si>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</si>
  <si>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</si>
  <si>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</si>
  <si>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</si>
  <si>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</si>
  <si>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</si>
  <si>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</si>
  <si>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</si>
  <si>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</si>
  <si>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</si>
  <si>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</si>
  <si>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</si>
  <si>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</si>
  <si>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</si>
  <si>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</si>
  <si>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</si>
  <si>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</si>
  <si>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</si>
  <si>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</si>
  <si>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</si>
  <si>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</si>
  <si>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</si>
  <si>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</si>
  <si>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</si>
  <si>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</si>
  <si>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</si>
  <si>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</si>
  <si>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</si>
  <si>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</si>
  <si>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</si>
  <si>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</si>
  <si>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</si>
  <si>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</si>
  <si>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</si>
  <si>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</si>
  <si>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</si>
  <si>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</si>
  <si>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Secondary</t>
  </si>
  <si>
    <t>Wnorm</t>
  </si>
  <si>
    <t>Kp</t>
  </si>
  <si>
    <t>Ksec</t>
  </si>
  <si>
    <t>Table</t>
  </si>
  <si>
    <t>Wall</t>
  </si>
  <si>
    <t>All</t>
  </si>
  <si>
    <t>Fluoro</t>
  </si>
  <si>
    <t>RF Rad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</si>
  <si>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</si>
  <si>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</si>
  <si>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</si>
  <si>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</si>
  <si>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</si>
  <si>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</si>
  <si>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</si>
  <si>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</si>
  <si>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</si>
  <si>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</si>
  <si>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</si>
  <si>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</si>
  <si>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</si>
  <si>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</si>
  <si>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</si>
  <si>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</si>
  <si>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</si>
  <si>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</si>
  <si>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</si>
  <si>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</si>
  <si>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</si>
  <si>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</si>
  <si>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</si>
  <si>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</si>
  <si>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</si>
  <si>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</si>
  <si>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</si>
  <si>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</si>
  <si>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</si>
  <si>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</si>
  <si>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</si>
  <si>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</si>
  <si>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</si>
  <si>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</si>
  <si>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</si>
  <si>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</si>
  <si>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</si>
  <si>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</si>
  <si>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</si>
  <si>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</si>
  <si>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</si>
  <si>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</si>
  <si>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</si>
  <si>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</si>
  <si>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</si>
  <si>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</si>
  <si>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</si>
  <si>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</si>
  <si>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</si>
  <si>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</si>
  <si>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</si>
  <si>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</si>
  <si>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</si>
  <si>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</si>
  <si>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</si>
  <si>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</si>
  <si>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</si>
  <si>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</si>
  <si>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</si>
  <si>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</si>
  <si>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</si>
  <si>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</si>
  <si>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</si>
  <si>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</si>
  <si>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</si>
  <si>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</si>
  <si>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</si>
  <si>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</si>
  <si>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</si>
  <si>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</si>
  <si>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</si>
  <si>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</si>
  <si>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</si>
  <si>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</si>
  <si>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</si>
  <si>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</si>
  <si>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</si>
  <si>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</si>
  <si>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</si>
  <si>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</si>
  <si>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</si>
  <si>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</si>
  <si>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</si>
  <si>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</si>
  <si>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</si>
  <si>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</si>
  <si>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</si>
  <si>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</si>
  <si>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</si>
  <si>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</si>
  <si>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</si>
  <si>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</si>
  <si>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</si>
  <si>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</si>
  <si>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</si>
  <si>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</si>
  <si>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</si>
  <si>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</si>
  <si>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</si>
  <si>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</si>
  <si>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</si>
  <si>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</si>
  <si>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</si>
  <si>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</si>
  <si>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</si>
  <si>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Pts/wk</t>
  </si>
  <si>
    <t>Mean DAP/pt</t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</si>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</sst>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38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24" fillId="0" borderId="0" xfId="4">
      <alignment horizontal="center"/>
    </xf>
    <xf numFmtId="0" fontId="24" fillId="0" borderId="0" xfId="4" applyFont="1" applyBorder="1" applyAlignment="1">
      <alignment horizontal="center"/>
    </xf>
    <xf numFmtId="0" fontId="24" fillId="0" borderId="0" xfId="4" applyAlignment="1">
      <alignment horizontal="left"/>
    </xf>
    <xf numFmtId="0" fontId="5" fillId="0" borderId="44" xfId="4" applyFont="1" applyBorder="1">
      <alignment horizontal="center"/>
    </xf>
    <xf numFmtId="0" fontId="5" fillId="0" borderId="0" xfId="4" applyFont="1" applyBorder="1">
      <alignment horizontal="center"/>
    </xf>
    <xf numFmtId="0" fontId="24" fillId="0" borderId="0" xfId="4" applyFont="1" applyAlignment="1"/>
    <xf numFmtId="167" fontId="24" fillId="0" borderId="0" xfId="4" applyNumberFormat="1">
      <alignment horizontal="center"/>
    </xf>
    <xf numFmtId="0" fontId="24" fillId="0" borderId="0" xfId="4" applyAlignment="1">
      <alignment horizontal="center"/>
    </xf>
    <xf numFmtId="0" fontId="24" fillId="0" borderId="0" xfId="4" applyAlignment="1"/>
    <xf numFmtId="0" fontId="0" fillId="0" borderId="0" xfId="5" applyNumberFormat="1" applyFont="1" applyAlignment="1">
      <alignment horizontal="center"/>
    </xf>
    <xf numFmtId="0" fontId="24" fillId="0" borderId="24" xfId="4" applyBorder="1">
      <alignment horizontal="center"/>
    </xf>
    <xf numFmtId="167" fontId="24" fillId="0" borderId="24" xfId="4" applyNumberFormat="1" applyBorder="1">
      <alignment horizontal="center"/>
    </xf>
    <xf numFmtId="2" fontId="24" fillId="0" borderId="24" xfId="4" applyNumberFormat="1" applyBorder="1">
      <alignment horizontal="center"/>
    </xf>
    <xf numFmtId="164" fontId="24" fillId="0" borderId="24" xfId="4" applyNumberFormat="1" applyBorder="1">
      <alignment horizontal="center"/>
    </xf>
    <xf numFmtId="171" fontId="24" fillId="0" borderId="24" xfId="4" applyNumberFormat="1" applyBorder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5" fillId="0" borderId="45" xfId="4" applyFont="1" applyBorder="1">
      <alignment horizontal="center"/>
    </xf>
    <xf numFmtId="0" fontId="24" fillId="8" borderId="46" xfId="4" applyFill="1" applyBorder="1">
      <alignment horizontal="center"/>
    </xf>
    <xf numFmtId="0" fontId="24" fillId="8" borderId="47" xfId="4" applyFill="1" applyBorder="1">
      <alignment horizontal="center"/>
    </xf>
    <xf numFmtId="0" fontId="24" fillId="8" borderId="24" xfId="4" applyFill="1" applyBorder="1">
      <alignment horizontal="center"/>
    </xf>
    <xf numFmtId="2" fontId="24" fillId="8" borderId="24" xfId="4" applyNumberFormat="1" applyFill="1" applyBorder="1">
      <alignment horizontal="center"/>
    </xf>
    <xf numFmtId="167" fontId="24" fillId="8" borderId="24" xfId="4" applyNumberFormat="1" applyFill="1" applyBorder="1">
      <alignment horizontal="center"/>
    </xf>
    <xf numFmtId="0" fontId="24" fillId="9" borderId="24" xfId="4" applyFill="1" applyBorder="1">
      <alignment horizontal="center"/>
    </xf>
    <xf numFmtId="0" fontId="24" fillId="0" borderId="0" xfId="4" applyFont="1" applyBorder="1" applyAlignment="1">
      <alignment horizontal="center"/>
    </xf>
    <xf numFmtId="0" fontId="24" fillId="0" borderId="3" xfId="4" applyFont="1" applyBorder="1" applyAlignment="1">
      <alignment horizontal="center"/>
    </xf>
    <xf numFmtId="0" fontId="24" fillId="0" borderId="8" xfId="4" applyFont="1" applyBorder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horizont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topLeftCell="A7" zoomScale="90" zoomScaleNormal="90"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7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289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289"/>
      <c r="G9" s="2" t="s">
        <v>25</v>
      </c>
      <c r="H9" s="288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289"/>
      <c r="G10" s="2" t="s">
        <v>29</v>
      </c>
      <c r="H10" s="288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290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>IF(C26="","",(K26/(J26*$D$11*G26))*(D26^2)*(C26^2)*(400/$H$10))</f>
        <v/>
      </c>
      <c r="N26" s="73" t="str">
        <f t="shared" ref="N26:N39" si="5">IF(E26="","",(K26*E26^2*60*$H$9)/($D$11*G26))</f>
        <v/>
      </c>
      <c r="O26" s="74" t="str">
        <f t="shared" ref="O26:O39" si="6">IF(N26="","",IF((-LN(N26)/LN(2))&lt;0,0,-LN(N26)/LN(2)))</f>
        <v/>
      </c>
      <c r="P26" s="75" t="str">
        <f t="shared" ref="P26:P39" si="7">IF(L26="","",IF((-LN(L26)/LN(2))&lt;0,0,-LN(L26)/LN(2)))</f>
        <v/>
      </c>
      <c r="Q26" s="76" t="str">
        <f t="shared" ref="Q26:Q39" si="8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290"/>
      <c r="I27" s="63"/>
      <c r="J27" s="71" t="str">
        <f t="shared" si="3"/>
        <v/>
      </c>
      <c r="K27" s="72" t="str">
        <f t="shared" ref="K27:K39" si="9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5"/>
        <v/>
      </c>
      <c r="O27" s="74" t="str">
        <f t="shared" si="6"/>
        <v/>
      </c>
      <c r="P27" s="75" t="str">
        <f t="shared" si="7"/>
        <v/>
      </c>
      <c r="Q27" s="76" t="str">
        <f t="shared" si="8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290"/>
      <c r="I28" s="63"/>
      <c r="J28" s="71" t="str">
        <f t="shared" si="3"/>
        <v/>
      </c>
      <c r="K28" s="72" t="str">
        <f t="shared" si="9"/>
        <v/>
      </c>
      <c r="L28" s="73" t="str">
        <f t="shared" si="4"/>
        <v/>
      </c>
      <c r="M28" s="73" t="str">
        <f t="shared" ref="M28:M39" si="10">IF(C28="","",(K28/(J28*$D$11*G28))*(D28^2)*(C28^2)*(400/$H$10))</f>
        <v/>
      </c>
      <c r="N28" s="73" t="str">
        <f t="shared" si="5"/>
        <v/>
      </c>
      <c r="O28" s="74" t="str">
        <f t="shared" si="6"/>
        <v/>
      </c>
      <c r="P28" s="75" t="str">
        <f t="shared" si="7"/>
        <v/>
      </c>
      <c r="Q28" s="76" t="str">
        <f t="shared" si="8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290"/>
      <c r="I29" s="63"/>
      <c r="J29" s="71" t="str">
        <f t="shared" si="3"/>
        <v/>
      </c>
      <c r="K29" s="72" t="str">
        <f t="shared" si="9"/>
        <v/>
      </c>
      <c r="L29" s="73" t="str">
        <f t="shared" si="4"/>
        <v/>
      </c>
      <c r="M29" s="73" t="str">
        <f t="shared" si="10"/>
        <v/>
      </c>
      <c r="N29" s="73" t="str">
        <f t="shared" si="5"/>
        <v/>
      </c>
      <c r="O29" s="74" t="str">
        <f t="shared" si="6"/>
        <v/>
      </c>
      <c r="P29" s="75" t="str">
        <f t="shared" si="7"/>
        <v/>
      </c>
      <c r="Q29" s="76" t="str">
        <f t="shared" si="8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290"/>
      <c r="I30" s="63"/>
      <c r="J30" s="71" t="str">
        <f t="shared" si="3"/>
        <v/>
      </c>
      <c r="K30" s="72" t="str">
        <f t="shared" si="9"/>
        <v/>
      </c>
      <c r="L30" s="73" t="str">
        <f t="shared" si="4"/>
        <v/>
      </c>
      <c r="M30" s="73" t="str">
        <f t="shared" si="10"/>
        <v/>
      </c>
      <c r="N30" s="73" t="str">
        <f t="shared" si="5"/>
        <v/>
      </c>
      <c r="O30" s="74" t="str">
        <f t="shared" si="6"/>
        <v/>
      </c>
      <c r="P30" s="75" t="str">
        <f t="shared" si="7"/>
        <v/>
      </c>
      <c r="Q30" s="76" t="str">
        <f t="shared" si="8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290"/>
      <c r="I31" s="63"/>
      <c r="J31" s="71" t="str">
        <f t="shared" si="3"/>
        <v/>
      </c>
      <c r="K31" s="72" t="str">
        <f t="shared" si="9"/>
        <v/>
      </c>
      <c r="L31" s="73" t="str">
        <f t="shared" si="4"/>
        <v/>
      </c>
      <c r="M31" s="73" t="str">
        <f t="shared" si="10"/>
        <v/>
      </c>
      <c r="N31" s="73" t="str">
        <f t="shared" si="5"/>
        <v/>
      </c>
      <c r="O31" s="74" t="str">
        <f t="shared" si="6"/>
        <v/>
      </c>
      <c r="P31" s="75" t="str">
        <f t="shared" si="7"/>
        <v/>
      </c>
      <c r="Q31" s="76" t="str">
        <f t="shared" si="8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290"/>
      <c r="I32" s="63"/>
      <c r="J32" s="71" t="str">
        <f t="shared" si="3"/>
        <v/>
      </c>
      <c r="K32" s="72" t="str">
        <f t="shared" si="9"/>
        <v/>
      </c>
      <c r="L32" s="73" t="str">
        <f t="shared" si="4"/>
        <v/>
      </c>
      <c r="M32" s="73" t="str">
        <f t="shared" si="10"/>
        <v/>
      </c>
      <c r="N32" s="73" t="str">
        <f t="shared" si="5"/>
        <v/>
      </c>
      <c r="O32" s="74" t="str">
        <f t="shared" si="6"/>
        <v/>
      </c>
      <c r="P32" s="75" t="str">
        <f t="shared" si="7"/>
        <v/>
      </c>
      <c r="Q32" s="76" t="str">
        <f t="shared" si="8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9"/>
        <v/>
      </c>
      <c r="L33" s="73" t="str">
        <f t="shared" si="4"/>
        <v/>
      </c>
      <c r="M33" s="73" t="str">
        <f t="shared" si="10"/>
        <v/>
      </c>
      <c r="N33" s="73" t="str">
        <f t="shared" si="5"/>
        <v/>
      </c>
      <c r="O33" s="74" t="str">
        <f t="shared" si="6"/>
        <v/>
      </c>
      <c r="P33" s="75" t="str">
        <f t="shared" si="7"/>
        <v/>
      </c>
      <c r="Q33" s="76" t="str">
        <f t="shared" si="8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9"/>
        <v/>
      </c>
      <c r="L34" s="73" t="str">
        <f t="shared" si="4"/>
        <v/>
      </c>
      <c r="M34" s="73" t="str">
        <f t="shared" si="10"/>
        <v/>
      </c>
      <c r="N34" s="73" t="str">
        <f t="shared" si="5"/>
        <v/>
      </c>
      <c r="O34" s="74" t="str">
        <f t="shared" si="6"/>
        <v/>
      </c>
      <c r="P34" s="75" t="str">
        <f t="shared" si="7"/>
        <v/>
      </c>
      <c r="Q34" s="76" t="str">
        <f t="shared" si="8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9"/>
        <v/>
      </c>
      <c r="L35" s="73" t="str">
        <f t="shared" si="4"/>
        <v/>
      </c>
      <c r="M35" s="73" t="str">
        <f t="shared" si="10"/>
        <v/>
      </c>
      <c r="N35" s="73" t="str">
        <f t="shared" si="5"/>
        <v/>
      </c>
      <c r="O35" s="74" t="str">
        <f t="shared" si="6"/>
        <v/>
      </c>
      <c r="P35" s="75" t="str">
        <f t="shared" si="7"/>
        <v/>
      </c>
      <c r="Q35" s="76" t="str">
        <f t="shared" si="8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9"/>
        <v/>
      </c>
      <c r="L36" s="73" t="str">
        <f t="shared" si="4"/>
        <v/>
      </c>
      <c r="M36" s="73" t="str">
        <f t="shared" si="10"/>
        <v/>
      </c>
      <c r="N36" s="73" t="str">
        <f t="shared" si="5"/>
        <v/>
      </c>
      <c r="O36" s="74" t="str">
        <f t="shared" si="6"/>
        <v/>
      </c>
      <c r="P36" s="75" t="str">
        <f t="shared" si="7"/>
        <v/>
      </c>
      <c r="Q36" s="76" t="str">
        <f t="shared" si="8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9"/>
        <v/>
      </c>
      <c r="L37" s="73" t="str">
        <f t="shared" si="4"/>
        <v/>
      </c>
      <c r="M37" s="73" t="str">
        <f t="shared" si="10"/>
        <v/>
      </c>
      <c r="N37" s="73" t="str">
        <f t="shared" si="5"/>
        <v/>
      </c>
      <c r="O37" s="74" t="str">
        <f t="shared" si="6"/>
        <v/>
      </c>
      <c r="P37" s="75" t="str">
        <f t="shared" si="7"/>
        <v/>
      </c>
      <c r="Q37" s="76" t="str">
        <f t="shared" si="8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9"/>
        <v/>
      </c>
      <c r="L38" s="73" t="str">
        <f t="shared" si="4"/>
        <v/>
      </c>
      <c r="M38" s="73" t="str">
        <f t="shared" si="10"/>
        <v/>
      </c>
      <c r="N38" s="73" t="str">
        <f t="shared" si="5"/>
        <v/>
      </c>
      <c r="O38" s="74" t="str">
        <f t="shared" si="6"/>
        <v/>
      </c>
      <c r="P38" s="75" t="str">
        <f t="shared" si="7"/>
        <v/>
      </c>
      <c r="Q38" s="76" t="str">
        <f t="shared" si="8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9"/>
        <v/>
      </c>
      <c r="L39" s="73" t="str">
        <f t="shared" si="4"/>
        <v/>
      </c>
      <c r="M39" s="73" t="str">
        <f t="shared" si="10"/>
        <v/>
      </c>
      <c r="N39" s="73" t="str">
        <f t="shared" si="5"/>
        <v/>
      </c>
      <c r="O39" s="74" t="str">
        <f t="shared" si="6"/>
        <v/>
      </c>
      <c r="P39" s="75" t="str">
        <f t="shared" si="7"/>
        <v/>
      </c>
      <c r="Q39" s="76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8">IF($N26="","",IF(-LN($N26)*$F$17/LN(2)&lt;0,0,-LN($N26)*$F$17/LN(2)))</f>
        <v/>
      </c>
      <c r="I45" s="93" t="str">
        <f t="shared" ref="I45:I58" si="19">IF($N26="","",IF(-LN($N26)*$F$18/LN(2)&lt;0,0,-LN($N26)*$F$18/LN(2)))</f>
        <v/>
      </c>
      <c r="J45" s="93" t="str">
        <f t="shared" ref="J45:J58" si="20">IF($N26="","",IF(-LN($N26)*$F$19/LN(2)&lt;0,0,-LN($N26)*$F$19/LN(2)))</f>
        <v/>
      </c>
      <c r="K45" s="90" t="str">
        <f t="shared" ref="K45:K58" si="21">IF($E45="","",IF(AND($E45=0,$H45=0),0,IF(OR($E45=0,$H45=0),MAX($E45,$H45),IF(ABS($E45-$H45)&gt;$G$17,MAX($E45,$H45),(MAX($E45,$H45)+$F$17)))))</f>
        <v/>
      </c>
      <c r="L45" s="91" t="str">
        <f t="shared" ref="L45:L58" si="22">IF($F45="","",IF(AND($F45=0,$I45=0),0,IF(OR($F45=0,$I45=0),MAX($F45,$I45),IF(ABS($F45-$I45)&gt;$G$18,MAX($F45,$I45),(MAX($F45,$I45)+$F$18)))))</f>
        <v/>
      </c>
      <c r="M45" s="91" t="str">
        <f t="shared" ref="M45:M58" si="23">IF($G45="","",IF(AND($G45=0,$J45=0),0,IF(OR($G45=0,$J45=0),MAX($G45,$J45),IF(ABS($G45-$J45)&gt;$G$19,MAX($G45,$J45),(MAX($G45,$J45)+$F$19)))))</f>
        <v/>
      </c>
      <c r="N45" s="94" t="str">
        <f t="shared" ref="N45:N58" si="24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5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1" t="str">
        <f t="shared" si="16"/>
        <v/>
      </c>
      <c r="G46" s="92" t="str">
        <f t="shared" si="17"/>
        <v/>
      </c>
      <c r="H46" s="93" t="str">
        <f t="shared" si="18"/>
        <v/>
      </c>
      <c r="I46" s="93" t="str">
        <f t="shared" si="19"/>
        <v/>
      </c>
      <c r="J46" s="93" t="str">
        <f t="shared" si="20"/>
        <v/>
      </c>
      <c r="K46" s="90" t="str">
        <f t="shared" si="21"/>
        <v/>
      </c>
      <c r="L46" s="91" t="str">
        <f t="shared" si="22"/>
        <v/>
      </c>
      <c r="M46" s="91" t="str">
        <f t="shared" si="23"/>
        <v/>
      </c>
      <c r="N46" s="94" t="str">
        <f t="shared" si="24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5"/>
        <v/>
      </c>
      <c r="C47" s="91" t="str">
        <f t="shared" si="14"/>
        <v/>
      </c>
      <c r="D47" s="91" t="str">
        <f t="shared" si="15"/>
        <v/>
      </c>
      <c r="E47" s="90" t="str">
        <f t="shared" si="26"/>
        <v/>
      </c>
      <c r="F47" s="91" t="str">
        <f t="shared" si="16"/>
        <v/>
      </c>
      <c r="G47" s="92" t="str">
        <f t="shared" si="17"/>
        <v/>
      </c>
      <c r="H47" s="93" t="str">
        <f t="shared" si="18"/>
        <v/>
      </c>
      <c r="I47" s="93" t="str">
        <f t="shared" si="19"/>
        <v/>
      </c>
      <c r="J47" s="93" t="str">
        <f t="shared" si="20"/>
        <v/>
      </c>
      <c r="K47" s="90" t="str">
        <f t="shared" si="21"/>
        <v/>
      </c>
      <c r="L47" s="91" t="str">
        <f t="shared" si="22"/>
        <v/>
      </c>
      <c r="M47" s="91" t="str">
        <f t="shared" si="23"/>
        <v/>
      </c>
      <c r="N47" s="94" t="str">
        <f t="shared" si="24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5"/>
        <v/>
      </c>
      <c r="C48" s="91" t="str">
        <f t="shared" si="14"/>
        <v/>
      </c>
      <c r="D48" s="91" t="str">
        <f t="shared" si="15"/>
        <v/>
      </c>
      <c r="E48" s="90" t="str">
        <f t="shared" si="26"/>
        <v/>
      </c>
      <c r="F48" s="91" t="str">
        <f t="shared" si="16"/>
        <v/>
      </c>
      <c r="G48" s="92" t="str">
        <f t="shared" si="17"/>
        <v/>
      </c>
      <c r="H48" s="93" t="str">
        <f t="shared" si="18"/>
        <v/>
      </c>
      <c r="I48" s="93" t="str">
        <f t="shared" si="19"/>
        <v/>
      </c>
      <c r="J48" s="93" t="str">
        <f t="shared" si="20"/>
        <v/>
      </c>
      <c r="K48" s="90" t="str">
        <f t="shared" si="21"/>
        <v/>
      </c>
      <c r="L48" s="91" t="str">
        <f t="shared" si="22"/>
        <v/>
      </c>
      <c r="M48" s="91" t="str">
        <f t="shared" si="23"/>
        <v/>
      </c>
      <c r="N48" s="94" t="str">
        <f t="shared" si="24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5"/>
        <v/>
      </c>
      <c r="C49" s="91" t="str">
        <f t="shared" si="14"/>
        <v/>
      </c>
      <c r="D49" s="91" t="str">
        <f t="shared" si="15"/>
        <v/>
      </c>
      <c r="E49" s="90" t="str">
        <f t="shared" si="26"/>
        <v/>
      </c>
      <c r="F49" s="91" t="str">
        <f t="shared" si="16"/>
        <v/>
      </c>
      <c r="G49" s="92" t="str">
        <f t="shared" si="17"/>
        <v/>
      </c>
      <c r="H49" s="93" t="str">
        <f t="shared" si="18"/>
        <v/>
      </c>
      <c r="I49" s="93" t="str">
        <f t="shared" si="19"/>
        <v/>
      </c>
      <c r="J49" s="93" t="str">
        <f t="shared" si="20"/>
        <v/>
      </c>
      <c r="K49" s="90" t="str">
        <f t="shared" si="21"/>
        <v/>
      </c>
      <c r="L49" s="91" t="str">
        <f t="shared" si="22"/>
        <v/>
      </c>
      <c r="M49" s="91" t="str">
        <f t="shared" si="23"/>
        <v/>
      </c>
      <c r="N49" s="94" t="str">
        <f t="shared" si="24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5"/>
        <v/>
      </c>
      <c r="C50" s="91" t="str">
        <f t="shared" si="14"/>
        <v/>
      </c>
      <c r="D50" s="91" t="str">
        <f t="shared" si="15"/>
        <v/>
      </c>
      <c r="E50" s="90" t="str">
        <f t="shared" si="26"/>
        <v/>
      </c>
      <c r="F50" s="91" t="str">
        <f t="shared" si="16"/>
        <v/>
      </c>
      <c r="G50" s="92" t="str">
        <f t="shared" si="17"/>
        <v/>
      </c>
      <c r="H50" s="93" t="str">
        <f t="shared" si="18"/>
        <v/>
      </c>
      <c r="I50" s="93" t="str">
        <f t="shared" si="19"/>
        <v/>
      </c>
      <c r="J50" s="93" t="str">
        <f t="shared" si="20"/>
        <v/>
      </c>
      <c r="K50" s="90" t="str">
        <f t="shared" si="21"/>
        <v/>
      </c>
      <c r="L50" s="91" t="str">
        <f t="shared" si="22"/>
        <v/>
      </c>
      <c r="M50" s="91" t="str">
        <f t="shared" si="23"/>
        <v/>
      </c>
      <c r="N50" s="94" t="str">
        <f t="shared" si="24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5"/>
        <v/>
      </c>
      <c r="C51" s="91" t="str">
        <f t="shared" si="14"/>
        <v/>
      </c>
      <c r="D51" s="91" t="str">
        <f t="shared" si="15"/>
        <v/>
      </c>
      <c r="E51" s="90" t="str">
        <f t="shared" si="26"/>
        <v/>
      </c>
      <c r="F51" s="91" t="str">
        <f t="shared" si="16"/>
        <v/>
      </c>
      <c r="G51" s="92" t="str">
        <f t="shared" si="17"/>
        <v/>
      </c>
      <c r="H51" s="93" t="str">
        <f t="shared" si="18"/>
        <v/>
      </c>
      <c r="I51" s="93" t="str">
        <f t="shared" si="19"/>
        <v/>
      </c>
      <c r="J51" s="93" t="str">
        <f t="shared" si="20"/>
        <v/>
      </c>
      <c r="K51" s="90" t="str">
        <f t="shared" si="21"/>
        <v/>
      </c>
      <c r="L51" s="91" t="str">
        <f t="shared" si="22"/>
        <v/>
      </c>
      <c r="M51" s="91" t="str">
        <f t="shared" si="23"/>
        <v/>
      </c>
      <c r="N51" s="94" t="str">
        <f t="shared" si="24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5"/>
        <v/>
      </c>
      <c r="C52" s="91" t="str">
        <f t="shared" si="14"/>
        <v/>
      </c>
      <c r="D52" s="91" t="str">
        <f t="shared" si="15"/>
        <v/>
      </c>
      <c r="E52" s="90" t="str">
        <f t="shared" si="26"/>
        <v/>
      </c>
      <c r="F52" s="91" t="str">
        <f t="shared" si="16"/>
        <v/>
      </c>
      <c r="G52" s="92" t="str">
        <f t="shared" si="17"/>
        <v/>
      </c>
      <c r="H52" s="93" t="str">
        <f t="shared" si="18"/>
        <v/>
      </c>
      <c r="I52" s="93" t="str">
        <f t="shared" si="19"/>
        <v/>
      </c>
      <c r="J52" s="93" t="str">
        <f t="shared" si="20"/>
        <v/>
      </c>
      <c r="K52" s="90" t="str">
        <f t="shared" si="21"/>
        <v/>
      </c>
      <c r="L52" s="91" t="str">
        <f t="shared" si="22"/>
        <v/>
      </c>
      <c r="M52" s="91" t="str">
        <f t="shared" si="23"/>
        <v/>
      </c>
      <c r="N52" s="94" t="str">
        <f t="shared" si="24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5"/>
        <v/>
      </c>
      <c r="C53" s="91" t="str">
        <f t="shared" si="14"/>
        <v/>
      </c>
      <c r="D53" s="91" t="str">
        <f t="shared" si="15"/>
        <v/>
      </c>
      <c r="E53" s="90" t="str">
        <f t="shared" si="26"/>
        <v/>
      </c>
      <c r="F53" s="91" t="str">
        <f t="shared" si="16"/>
        <v/>
      </c>
      <c r="G53" s="92" t="str">
        <f t="shared" si="17"/>
        <v/>
      </c>
      <c r="H53" s="93" t="str">
        <f t="shared" si="18"/>
        <v/>
      </c>
      <c r="I53" s="93" t="str">
        <f t="shared" si="19"/>
        <v/>
      </c>
      <c r="J53" s="93" t="str">
        <f t="shared" si="20"/>
        <v/>
      </c>
      <c r="K53" s="90" t="str">
        <f t="shared" si="21"/>
        <v/>
      </c>
      <c r="L53" s="91" t="str">
        <f t="shared" si="22"/>
        <v/>
      </c>
      <c r="M53" s="91" t="str">
        <f t="shared" si="23"/>
        <v/>
      </c>
      <c r="N53" s="94" t="str">
        <f t="shared" si="24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5"/>
        <v/>
      </c>
      <c r="C54" s="91" t="str">
        <f t="shared" si="14"/>
        <v/>
      </c>
      <c r="D54" s="91" t="str">
        <f t="shared" si="15"/>
        <v/>
      </c>
      <c r="E54" s="90" t="str">
        <f t="shared" si="26"/>
        <v/>
      </c>
      <c r="F54" s="91" t="str">
        <f t="shared" si="16"/>
        <v/>
      </c>
      <c r="G54" s="92" t="str">
        <f t="shared" si="17"/>
        <v/>
      </c>
      <c r="H54" s="93" t="str">
        <f t="shared" si="18"/>
        <v/>
      </c>
      <c r="I54" s="93" t="str">
        <f t="shared" si="19"/>
        <v/>
      </c>
      <c r="J54" s="93" t="str">
        <f t="shared" si="20"/>
        <v/>
      </c>
      <c r="K54" s="90" t="str">
        <f t="shared" si="21"/>
        <v/>
      </c>
      <c r="L54" s="91" t="str">
        <f t="shared" si="22"/>
        <v/>
      </c>
      <c r="M54" s="91" t="str">
        <f t="shared" si="23"/>
        <v/>
      </c>
      <c r="N54" s="94" t="str">
        <f t="shared" si="24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5"/>
        <v/>
      </c>
      <c r="C55" s="91" t="str">
        <f t="shared" si="14"/>
        <v/>
      </c>
      <c r="D55" s="91" t="str">
        <f t="shared" si="15"/>
        <v/>
      </c>
      <c r="E55" s="90" t="str">
        <f t="shared" si="26"/>
        <v/>
      </c>
      <c r="F55" s="91" t="str">
        <f t="shared" si="16"/>
        <v/>
      </c>
      <c r="G55" s="92" t="str">
        <f t="shared" si="17"/>
        <v/>
      </c>
      <c r="H55" s="93" t="str">
        <f t="shared" si="18"/>
        <v/>
      </c>
      <c r="I55" s="93" t="str">
        <f t="shared" si="19"/>
        <v/>
      </c>
      <c r="J55" s="93" t="str">
        <f t="shared" si="20"/>
        <v/>
      </c>
      <c r="K55" s="90" t="str">
        <f t="shared" si="21"/>
        <v/>
      </c>
      <c r="L55" s="91" t="str">
        <f t="shared" si="22"/>
        <v/>
      </c>
      <c r="M55" s="91" t="str">
        <f t="shared" si="23"/>
        <v/>
      </c>
      <c r="N55" s="94" t="str">
        <f t="shared" si="24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5"/>
        <v/>
      </c>
      <c r="C56" s="91" t="str">
        <f t="shared" si="14"/>
        <v/>
      </c>
      <c r="D56" s="91" t="str">
        <f t="shared" si="15"/>
        <v/>
      </c>
      <c r="E56" s="90" t="str">
        <f t="shared" si="26"/>
        <v/>
      </c>
      <c r="F56" s="91" t="str">
        <f t="shared" si="16"/>
        <v/>
      </c>
      <c r="G56" s="92" t="str">
        <f t="shared" si="17"/>
        <v/>
      </c>
      <c r="H56" s="93" t="str">
        <f t="shared" si="18"/>
        <v/>
      </c>
      <c r="I56" s="93" t="str">
        <f t="shared" si="19"/>
        <v/>
      </c>
      <c r="J56" s="93" t="str">
        <f t="shared" si="20"/>
        <v/>
      </c>
      <c r="K56" s="90" t="str">
        <f t="shared" si="21"/>
        <v/>
      </c>
      <c r="L56" s="91" t="str">
        <f t="shared" si="22"/>
        <v/>
      </c>
      <c r="M56" s="91" t="str">
        <f t="shared" si="23"/>
        <v/>
      </c>
      <c r="N56" s="94" t="str">
        <f t="shared" si="24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5"/>
        <v/>
      </c>
      <c r="C57" s="91" t="str">
        <f t="shared" si="14"/>
        <v/>
      </c>
      <c r="D57" s="91" t="str">
        <f t="shared" si="15"/>
        <v/>
      </c>
      <c r="E57" s="90" t="str">
        <f t="shared" si="26"/>
        <v/>
      </c>
      <c r="F57" s="91" t="str">
        <f t="shared" si="16"/>
        <v/>
      </c>
      <c r="G57" s="92" t="str">
        <f t="shared" si="17"/>
        <v/>
      </c>
      <c r="H57" s="93" t="str">
        <f t="shared" si="18"/>
        <v/>
      </c>
      <c r="I57" s="93" t="str">
        <f t="shared" si="19"/>
        <v/>
      </c>
      <c r="J57" s="93" t="str">
        <f t="shared" si="20"/>
        <v/>
      </c>
      <c r="K57" s="90" t="str">
        <f t="shared" si="21"/>
        <v/>
      </c>
      <c r="L57" s="91" t="str">
        <f t="shared" si="22"/>
        <v/>
      </c>
      <c r="M57" s="91" t="str">
        <f t="shared" si="23"/>
        <v/>
      </c>
      <c r="N57" s="94" t="str">
        <f t="shared" si="24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5"/>
        <v/>
      </c>
      <c r="C58" s="91" t="str">
        <f t="shared" si="14"/>
        <v/>
      </c>
      <c r="D58" s="91" t="str">
        <f t="shared" si="15"/>
        <v/>
      </c>
      <c r="E58" s="90" t="str">
        <f t="shared" si="26"/>
        <v/>
      </c>
      <c r="F58" s="91" t="str">
        <f t="shared" si="16"/>
        <v/>
      </c>
      <c r="G58" s="92" t="str">
        <f t="shared" si="17"/>
        <v/>
      </c>
      <c r="H58" s="93" t="str">
        <f t="shared" si="18"/>
        <v/>
      </c>
      <c r="I58" s="93" t="str">
        <f t="shared" si="19"/>
        <v/>
      </c>
      <c r="J58" s="93" t="str">
        <f t="shared" si="20"/>
        <v/>
      </c>
      <c r="K58" s="90" t="str">
        <f t="shared" si="21"/>
        <v/>
      </c>
      <c r="L58" s="91" t="str">
        <f t="shared" si="22"/>
        <v/>
      </c>
      <c r="M58" s="91" t="str">
        <f t="shared" si="23"/>
        <v/>
      </c>
      <c r="N58" s="94" t="str">
        <f t="shared" si="24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4" sqref="G14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309" t="s">
        <v>258</v>
      </c>
    </row>
    <row r="2" spans="1:9" x14ac:dyDescent="0.2">
      <c r="A2" s="309" t="s">
        <v>259</v>
      </c>
    </row>
    <row r="3" spans="1:9" x14ac:dyDescent="0.2">
      <c r="A3" s="309" t="s">
        <v>260</v>
      </c>
    </row>
    <row r="4" spans="1:9" x14ac:dyDescent="0.2">
      <c r="A4" s="309" t="s">
        <v>261</v>
      </c>
    </row>
    <row r="5" spans="1:9" x14ac:dyDescent="0.2">
      <c r="A5" s="309" t="s">
        <v>262</v>
      </c>
    </row>
    <row r="6" spans="1:9" x14ac:dyDescent="0.2">
      <c r="E6" s="334" t="s">
        <v>263</v>
      </c>
      <c r="F6" s="334"/>
      <c r="G6" s="334"/>
      <c r="H6" s="334"/>
      <c r="I6" s="334"/>
    </row>
    <row r="7" spans="1:9" s="308" customFormat="1" ht="37.5" customHeight="1" x14ac:dyDescent="0.2">
      <c r="A7" s="314" t="s">
        <v>264</v>
      </c>
      <c r="B7" s="314" t="s">
        <v>265</v>
      </c>
      <c r="C7" s="314" t="s">
        <v>266</v>
      </c>
      <c r="D7" s="314" t="s">
        <v>267</v>
      </c>
      <c r="E7" s="314" t="s">
        <v>90</v>
      </c>
      <c r="F7" s="314" t="s">
        <v>268</v>
      </c>
      <c r="G7" s="314" t="s">
        <v>269</v>
      </c>
      <c r="H7" s="314" t="s">
        <v>270</v>
      </c>
      <c r="I7" s="314" t="s">
        <v>271</v>
      </c>
    </row>
    <row r="8" spans="1:9" x14ac:dyDescent="0.2">
      <c r="A8" t="s">
        <v>232</v>
      </c>
      <c r="B8" s="208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233</v>
      </c>
      <c r="B9" s="208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234</v>
      </c>
      <c r="B10" s="208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235</v>
      </c>
      <c r="B11" s="208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236</v>
      </c>
      <c r="B12" s="208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237</v>
      </c>
      <c r="B13" s="208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238</v>
      </c>
      <c r="B14" s="208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239</v>
      </c>
      <c r="B15" s="208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240</v>
      </c>
      <c r="B16" s="208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2.75" x14ac:dyDescent="0.2"/>
  <cols>
    <col min="1" max="1" width="12.5" customWidth="1"/>
  </cols>
  <sheetData>
    <row r="1" spans="1:4" x14ac:dyDescent="0.2">
      <c r="A1" s="309" t="s">
        <v>272</v>
      </c>
    </row>
    <row r="2" spans="1:4" x14ac:dyDescent="0.2">
      <c r="A2" s="309" t="s">
        <v>273</v>
      </c>
    </row>
    <row r="4" spans="1:4" x14ac:dyDescent="0.2">
      <c r="A4" t="s">
        <v>274</v>
      </c>
      <c r="B4" t="s">
        <v>275</v>
      </c>
      <c r="C4" t="s">
        <v>276</v>
      </c>
      <c r="D4" t="s">
        <v>277</v>
      </c>
    </row>
    <row r="5" spans="1:4" x14ac:dyDescent="0.2">
      <c r="A5" t="s">
        <v>278</v>
      </c>
      <c r="B5">
        <v>60</v>
      </c>
      <c r="C5">
        <v>20</v>
      </c>
      <c r="D5">
        <v>1200</v>
      </c>
    </row>
    <row r="6" spans="1:4" x14ac:dyDescent="0.2">
      <c r="A6" t="s">
        <v>279</v>
      </c>
      <c r="B6">
        <v>15</v>
      </c>
      <c r="C6">
        <v>35</v>
      </c>
      <c r="D6">
        <v>525</v>
      </c>
    </row>
    <row r="7" spans="1:4" x14ac:dyDescent="0.2">
      <c r="A7" t="s">
        <v>280</v>
      </c>
      <c r="B7">
        <v>25</v>
      </c>
      <c r="C7">
        <v>25</v>
      </c>
      <c r="D7">
        <v>625</v>
      </c>
    </row>
    <row r="8" spans="1:4" x14ac:dyDescent="0.2">
      <c r="A8" t="s">
        <v>281</v>
      </c>
      <c r="B8">
        <v>25</v>
      </c>
      <c r="C8">
        <v>20</v>
      </c>
      <c r="D8">
        <v>500</v>
      </c>
    </row>
    <row r="9" spans="1:4" x14ac:dyDescent="0.2">
      <c r="A9" t="s">
        <v>282</v>
      </c>
      <c r="D9">
        <v>550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K31" sqref="K31"/>
    </sheetView>
  </sheetViews>
  <sheetFormatPr defaultRowHeight="12.75" x14ac:dyDescent="0.2"/>
  <sheetData>
    <row r="1" spans="1:31" x14ac:dyDescent="0.2">
      <c r="A1" s="309" t="s">
        <v>283</v>
      </c>
    </row>
    <row r="4" spans="1:31" x14ac:dyDescent="0.2">
      <c r="B4" s="334" t="s">
        <v>94</v>
      </c>
      <c r="C4" s="334"/>
      <c r="D4" s="334"/>
      <c r="E4" s="334"/>
      <c r="F4" s="334"/>
      <c r="G4" s="334" t="s">
        <v>95</v>
      </c>
      <c r="H4" s="334"/>
      <c r="I4" s="334"/>
      <c r="J4" s="334"/>
      <c r="K4" s="334"/>
      <c r="L4" s="334" t="s">
        <v>52</v>
      </c>
      <c r="M4" s="334"/>
      <c r="N4" s="334"/>
      <c r="O4" s="334"/>
      <c r="P4" s="334"/>
      <c r="Q4" s="334" t="s">
        <v>54</v>
      </c>
      <c r="R4" s="334"/>
      <c r="S4" s="334"/>
      <c r="T4" s="334"/>
      <c r="U4" s="334"/>
      <c r="V4" s="334" t="s">
        <v>96</v>
      </c>
      <c r="W4" s="334"/>
      <c r="X4" s="334"/>
      <c r="Y4" s="334"/>
      <c r="Z4" s="334"/>
      <c r="AA4" s="334" t="s">
        <v>58</v>
      </c>
      <c r="AB4" s="334"/>
      <c r="AC4" s="334"/>
      <c r="AD4" s="334"/>
      <c r="AE4" s="334"/>
    </row>
    <row r="5" spans="1:31" x14ac:dyDescent="0.2">
      <c r="A5" t="s">
        <v>37</v>
      </c>
      <c r="B5" s="313" t="s">
        <v>40</v>
      </c>
      <c r="C5" s="313" t="s">
        <v>41</v>
      </c>
      <c r="D5" s="313" t="s">
        <v>42</v>
      </c>
      <c r="E5" t="s">
        <v>44</v>
      </c>
      <c r="F5" t="s">
        <v>45</v>
      </c>
      <c r="G5" s="313" t="s">
        <v>40</v>
      </c>
      <c r="H5" s="313" t="s">
        <v>41</v>
      </c>
      <c r="I5" s="313" t="s">
        <v>42</v>
      </c>
      <c r="J5" t="s">
        <v>44</v>
      </c>
      <c r="K5" t="s">
        <v>45</v>
      </c>
      <c r="L5" s="313" t="s">
        <v>40</v>
      </c>
      <c r="M5" s="313" t="s">
        <v>41</v>
      </c>
      <c r="N5" s="313" t="s">
        <v>42</v>
      </c>
      <c r="O5" t="s">
        <v>44</v>
      </c>
      <c r="P5" t="s">
        <v>45</v>
      </c>
      <c r="Q5" s="313" t="s">
        <v>40</v>
      </c>
      <c r="R5" s="313" t="s">
        <v>41</v>
      </c>
      <c r="S5" s="313" t="s">
        <v>42</v>
      </c>
      <c r="T5" t="s">
        <v>44</v>
      </c>
      <c r="U5" t="s">
        <v>45</v>
      </c>
      <c r="V5" s="313" t="s">
        <v>40</v>
      </c>
      <c r="W5" s="313" t="s">
        <v>41</v>
      </c>
      <c r="X5" s="313" t="s">
        <v>42</v>
      </c>
      <c r="Y5" t="s">
        <v>44</v>
      </c>
      <c r="Z5" t="s">
        <v>45</v>
      </c>
      <c r="AA5" s="313" t="s">
        <v>40</v>
      </c>
      <c r="AB5" s="313" t="s">
        <v>41</v>
      </c>
      <c r="AC5" s="313" t="s">
        <v>42</v>
      </c>
      <c r="AD5" t="s">
        <v>44</v>
      </c>
      <c r="AE5" t="s">
        <v>45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E9" t="s">
        <v>284</v>
      </c>
      <c r="F9" t="s">
        <v>284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  <c r="O9" t="s">
        <v>284</v>
      </c>
      <c r="P9" t="s">
        <v>284</v>
      </c>
      <c r="T9" t="s">
        <v>284</v>
      </c>
      <c r="U9" t="s">
        <v>284</v>
      </c>
      <c r="Y9" t="s">
        <v>284</v>
      </c>
      <c r="Z9" t="s">
        <v>284</v>
      </c>
      <c r="AD9" t="s">
        <v>284</v>
      </c>
      <c r="AE9" t="s">
        <v>284</v>
      </c>
    </row>
    <row r="10" spans="1:31" x14ac:dyDescent="0.2">
      <c r="A10">
        <v>45</v>
      </c>
      <c r="E10" t="s">
        <v>284</v>
      </c>
      <c r="F10" t="s">
        <v>284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  <c r="O10" t="s">
        <v>284</v>
      </c>
      <c r="P10" t="s">
        <v>284</v>
      </c>
      <c r="T10" t="s">
        <v>284</v>
      </c>
      <c r="U10" t="s">
        <v>284</v>
      </c>
      <c r="Y10" t="s">
        <v>284</v>
      </c>
      <c r="Z10" t="s">
        <v>284</v>
      </c>
      <c r="AD10" t="s">
        <v>284</v>
      </c>
      <c r="AE10" t="s">
        <v>284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309" t="s">
        <v>285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3">
        <f>0.1965*A36-3.429</f>
        <v>1.4835000000000007</v>
      </c>
    </row>
    <row r="37" spans="1:2" x14ac:dyDescent="0.2">
      <c r="A37">
        <v>30</v>
      </c>
      <c r="B37" s="43">
        <f t="shared" ref="B37:B38" si="0">0.1965*A37-3.429</f>
        <v>2.4660000000000006</v>
      </c>
    </row>
    <row r="38" spans="1:2" x14ac:dyDescent="0.2">
      <c r="A38">
        <v>35</v>
      </c>
      <c r="B38" s="43">
        <f t="shared" si="0"/>
        <v>3.4485000000000006</v>
      </c>
    </row>
    <row r="39" spans="1:2" x14ac:dyDescent="0.2">
      <c r="A39">
        <v>40</v>
      </c>
      <c r="B39" s="43">
        <f>1.222-0.05664*A39+0.001227*A39^2-0.000003136*A39^3</f>
        <v>0.71889599999999998</v>
      </c>
    </row>
    <row r="40" spans="1:2" x14ac:dyDescent="0.2">
      <c r="A40">
        <v>45</v>
      </c>
      <c r="B40" s="43">
        <f t="shared" ref="B40:B61" si="1">1.222-0.05664*A40+0.001227*A40^2-0.000003136*A40^3</f>
        <v>0.87210700000000019</v>
      </c>
    </row>
    <row r="41" spans="1:2" x14ac:dyDescent="0.2">
      <c r="A41">
        <v>50</v>
      </c>
      <c r="B41" s="43">
        <f t="shared" si="1"/>
        <v>1.0654999999999997</v>
      </c>
    </row>
    <row r="42" spans="1:2" x14ac:dyDescent="0.2">
      <c r="A42">
        <v>55</v>
      </c>
      <c r="B42" s="43">
        <f t="shared" si="1"/>
        <v>1.2967229999999998</v>
      </c>
    </row>
    <row r="43" spans="1:2" x14ac:dyDescent="0.2">
      <c r="A43">
        <v>60</v>
      </c>
      <c r="B43" s="43">
        <f t="shared" si="1"/>
        <v>1.5634240000000001</v>
      </c>
    </row>
    <row r="44" spans="1:2" x14ac:dyDescent="0.2">
      <c r="A44">
        <v>65</v>
      </c>
      <c r="B44" s="43">
        <f t="shared" si="1"/>
        <v>1.863251</v>
      </c>
    </row>
    <row r="45" spans="1:2" x14ac:dyDescent="0.2">
      <c r="A45">
        <v>70</v>
      </c>
      <c r="B45" s="43">
        <f t="shared" si="1"/>
        <v>2.1938519999999997</v>
      </c>
    </row>
    <row r="46" spans="1:2" x14ac:dyDescent="0.2">
      <c r="A46">
        <v>75</v>
      </c>
      <c r="B46" s="43">
        <f t="shared" si="1"/>
        <v>2.5528750000000002</v>
      </c>
    </row>
    <row r="47" spans="1:2" x14ac:dyDescent="0.2">
      <c r="A47">
        <v>80</v>
      </c>
      <c r="B47" s="43">
        <f t="shared" si="1"/>
        <v>2.9379679999999997</v>
      </c>
    </row>
    <row r="48" spans="1:2" x14ac:dyDescent="0.2">
      <c r="A48">
        <v>85</v>
      </c>
      <c r="B48" s="43">
        <f t="shared" si="1"/>
        <v>3.3467790000000015</v>
      </c>
    </row>
    <row r="49" spans="1:2" x14ac:dyDescent="0.2">
      <c r="A49">
        <v>90</v>
      </c>
      <c r="B49" s="43">
        <f t="shared" si="1"/>
        <v>3.7769560000000002</v>
      </c>
    </row>
    <row r="50" spans="1:2" x14ac:dyDescent="0.2">
      <c r="A50">
        <v>95</v>
      </c>
      <c r="B50" s="43">
        <f t="shared" si="1"/>
        <v>4.2261469999999983</v>
      </c>
    </row>
    <row r="51" spans="1:2" x14ac:dyDescent="0.2">
      <c r="A51">
        <v>100</v>
      </c>
      <c r="B51" s="43">
        <f t="shared" si="1"/>
        <v>4.6919999999999993</v>
      </c>
    </row>
    <row r="52" spans="1:2" x14ac:dyDescent="0.2">
      <c r="A52">
        <v>105</v>
      </c>
      <c r="B52" s="43">
        <f t="shared" si="1"/>
        <v>5.1721629999999994</v>
      </c>
    </row>
    <row r="53" spans="1:2" x14ac:dyDescent="0.2">
      <c r="A53">
        <v>110</v>
      </c>
      <c r="B53" s="43">
        <f t="shared" si="1"/>
        <v>5.6642840000000003</v>
      </c>
    </row>
    <row r="54" spans="1:2" x14ac:dyDescent="0.2">
      <c r="A54">
        <v>115</v>
      </c>
      <c r="B54" s="43">
        <f t="shared" si="1"/>
        <v>6.1660109999999984</v>
      </c>
    </row>
    <row r="55" spans="1:2" x14ac:dyDescent="0.2">
      <c r="A55">
        <v>120</v>
      </c>
      <c r="B55" s="43">
        <f t="shared" si="1"/>
        <v>6.6749920000000014</v>
      </c>
    </row>
    <row r="56" spans="1:2" x14ac:dyDescent="0.2">
      <c r="A56">
        <v>125</v>
      </c>
      <c r="B56" s="43">
        <f t="shared" si="1"/>
        <v>7.1888749999999995</v>
      </c>
    </row>
    <row r="57" spans="1:2" x14ac:dyDescent="0.2">
      <c r="A57">
        <v>130</v>
      </c>
      <c r="B57" s="43">
        <f t="shared" si="1"/>
        <v>7.7053080000000005</v>
      </c>
    </row>
    <row r="58" spans="1:2" x14ac:dyDescent="0.2">
      <c r="A58">
        <v>135</v>
      </c>
      <c r="B58" s="43">
        <f t="shared" si="1"/>
        <v>8.221938999999999</v>
      </c>
    </row>
    <row r="59" spans="1:2" x14ac:dyDescent="0.2">
      <c r="A59">
        <v>140</v>
      </c>
      <c r="B59" s="43">
        <f t="shared" si="1"/>
        <v>8.7364160000000002</v>
      </c>
    </row>
    <row r="60" spans="1:2" x14ac:dyDescent="0.2">
      <c r="A60">
        <v>145</v>
      </c>
      <c r="B60" s="43">
        <f t="shared" si="1"/>
        <v>9.2463870000000004</v>
      </c>
    </row>
    <row r="61" spans="1:2" x14ac:dyDescent="0.2">
      <c r="A61">
        <v>150</v>
      </c>
      <c r="B61" s="43">
        <f t="shared" si="1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11" sqref="H11:J11"/>
    </sheetView>
  </sheetViews>
  <sheetFormatPr defaultRowHeight="12.75" x14ac:dyDescent="0.2"/>
  <cols>
    <col min="1" max="1" width="27.1640625" customWidth="1"/>
  </cols>
  <sheetData>
    <row r="1" spans="1:19" x14ac:dyDescent="0.2">
      <c r="A1" s="309" t="s">
        <v>286</v>
      </c>
    </row>
    <row r="3" spans="1:19" x14ac:dyDescent="0.2">
      <c r="A3" s="336" t="s">
        <v>264</v>
      </c>
      <c r="B3" s="334" t="s">
        <v>94</v>
      </c>
      <c r="C3" s="334"/>
      <c r="D3" s="334"/>
      <c r="E3" s="334" t="s">
        <v>95</v>
      </c>
      <c r="F3" s="334"/>
      <c r="G3" s="334"/>
      <c r="H3" s="334" t="s">
        <v>52</v>
      </c>
      <c r="I3" s="334"/>
      <c r="J3" s="334"/>
      <c r="K3" s="334" t="s">
        <v>54</v>
      </c>
      <c r="L3" s="334"/>
      <c r="M3" s="334"/>
      <c r="N3" s="334" t="s">
        <v>96</v>
      </c>
      <c r="O3" s="334"/>
      <c r="P3" s="334"/>
      <c r="Q3" s="334" t="s">
        <v>58</v>
      </c>
      <c r="R3" s="334"/>
      <c r="S3" s="334"/>
    </row>
    <row r="4" spans="1:19" x14ac:dyDescent="0.2">
      <c r="A4" s="336"/>
      <c r="B4" s="313" t="s">
        <v>40</v>
      </c>
      <c r="C4" s="313" t="s">
        <v>41</v>
      </c>
      <c r="D4" s="313" t="s">
        <v>42</v>
      </c>
      <c r="E4" s="313" t="s">
        <v>40</v>
      </c>
      <c r="F4" s="313" t="s">
        <v>41</v>
      </c>
      <c r="G4" s="313" t="s">
        <v>42</v>
      </c>
      <c r="H4" s="313" t="s">
        <v>40</v>
      </c>
      <c r="I4" s="313" t="s">
        <v>41</v>
      </c>
      <c r="J4" s="313" t="s">
        <v>42</v>
      </c>
      <c r="K4" s="313" t="s">
        <v>40</v>
      </c>
      <c r="L4" s="313" t="s">
        <v>41</v>
      </c>
      <c r="M4" s="313" t="s">
        <v>42</v>
      </c>
      <c r="N4" s="313" t="s">
        <v>40</v>
      </c>
      <c r="O4" s="313" t="s">
        <v>41</v>
      </c>
      <c r="P4" s="313" t="s">
        <v>42</v>
      </c>
      <c r="Q4" s="313" t="s">
        <v>40</v>
      </c>
      <c r="R4" s="313" t="s">
        <v>41</v>
      </c>
      <c r="S4" s="313" t="s">
        <v>42</v>
      </c>
    </row>
    <row r="5" spans="1:19" x14ac:dyDescent="0.2">
      <c r="A5" t="s">
        <v>287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288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289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290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236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291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292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293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294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Q17" sqref="Q17:S17"/>
    </sheetView>
  </sheetViews>
  <sheetFormatPr defaultRowHeight="12.75" x14ac:dyDescent="0.2"/>
  <cols>
    <col min="1" max="1" width="27.33203125" customWidth="1"/>
  </cols>
  <sheetData>
    <row r="1" spans="1:19" x14ac:dyDescent="0.2">
      <c r="A1" s="309" t="s">
        <v>295</v>
      </c>
    </row>
    <row r="3" spans="1:19" x14ac:dyDescent="0.2">
      <c r="A3" s="336" t="s">
        <v>264</v>
      </c>
      <c r="B3" s="334" t="s">
        <v>94</v>
      </c>
      <c r="C3" s="334"/>
      <c r="D3" s="334"/>
      <c r="E3" s="334" t="s">
        <v>95</v>
      </c>
      <c r="F3" s="334"/>
      <c r="G3" s="334"/>
      <c r="H3" s="334" t="s">
        <v>52</v>
      </c>
      <c r="I3" s="334"/>
      <c r="J3" s="334"/>
      <c r="K3" s="334" t="s">
        <v>54</v>
      </c>
      <c r="L3" s="334"/>
      <c r="M3" s="334"/>
      <c r="N3" s="334" t="s">
        <v>96</v>
      </c>
      <c r="O3" s="334"/>
      <c r="P3" s="334"/>
      <c r="Q3" s="334" t="s">
        <v>58</v>
      </c>
      <c r="R3" s="334"/>
      <c r="S3" s="334"/>
    </row>
    <row r="4" spans="1:19" x14ac:dyDescent="0.2">
      <c r="A4" s="336"/>
      <c r="B4" s="313" t="s">
        <v>40</v>
      </c>
      <c r="C4" s="313" t="s">
        <v>41</v>
      </c>
      <c r="D4" s="313" t="s">
        <v>42</v>
      </c>
      <c r="E4" s="313" t="s">
        <v>40</v>
      </c>
      <c r="F4" s="313" t="s">
        <v>41</v>
      </c>
      <c r="G4" s="313" t="s">
        <v>42</v>
      </c>
      <c r="H4" s="313" t="s">
        <v>40</v>
      </c>
      <c r="I4" s="313" t="s">
        <v>41</v>
      </c>
      <c r="J4" s="313" t="s">
        <v>42</v>
      </c>
      <c r="K4" s="313" t="s">
        <v>40</v>
      </c>
      <c r="L4" s="313" t="s">
        <v>41</v>
      </c>
      <c r="M4" s="313" t="s">
        <v>42</v>
      </c>
      <c r="N4" s="313" t="s">
        <v>40</v>
      </c>
      <c r="O4" s="313" t="s">
        <v>41</v>
      </c>
      <c r="P4" s="313" t="s">
        <v>42</v>
      </c>
      <c r="Q4" s="313" t="s">
        <v>40</v>
      </c>
      <c r="R4" s="313" t="s">
        <v>41</v>
      </c>
      <c r="S4" s="313" t="s">
        <v>42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287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288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289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290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236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291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292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293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294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A7" sqref="A7"/>
    </sheetView>
  </sheetViews>
  <sheetFormatPr defaultRowHeight="12.75" x14ac:dyDescent="0.2"/>
  <sheetData>
    <row r="1" spans="1:19" x14ac:dyDescent="0.2">
      <c r="A1" s="309" t="s">
        <v>305</v>
      </c>
    </row>
    <row r="2" spans="1:19" x14ac:dyDescent="0.2">
      <c r="A2" s="337" t="s">
        <v>306</v>
      </c>
      <c r="B2" s="334" t="s">
        <v>94</v>
      </c>
      <c r="C2" s="334"/>
      <c r="D2" s="334"/>
      <c r="E2" s="334" t="s">
        <v>95</v>
      </c>
      <c r="F2" s="334"/>
      <c r="G2" s="334"/>
      <c r="H2" s="334" t="s">
        <v>52</v>
      </c>
      <c r="I2" s="334"/>
      <c r="J2" s="334"/>
      <c r="K2" s="334" t="s">
        <v>54</v>
      </c>
      <c r="L2" s="334"/>
      <c r="M2" s="334"/>
      <c r="N2" s="334" t="s">
        <v>96</v>
      </c>
      <c r="O2" s="334"/>
      <c r="P2" s="334"/>
      <c r="Q2" s="334" t="s">
        <v>58</v>
      </c>
      <c r="R2" s="334"/>
      <c r="S2" s="334"/>
    </row>
    <row r="3" spans="1:19" x14ac:dyDescent="0.2">
      <c r="A3" t="s">
        <v>37</v>
      </c>
      <c r="B3" s="313" t="s">
        <v>40</v>
      </c>
      <c r="C3" s="313" t="s">
        <v>41</v>
      </c>
      <c r="D3" s="313" t="s">
        <v>42</v>
      </c>
      <c r="E3" s="313" t="s">
        <v>40</v>
      </c>
      <c r="F3" s="313" t="s">
        <v>41</v>
      </c>
      <c r="G3" s="313" t="s">
        <v>42</v>
      </c>
      <c r="H3" s="313" t="s">
        <v>40</v>
      </c>
      <c r="I3" s="313" t="s">
        <v>41</v>
      </c>
      <c r="J3" s="313" t="s">
        <v>42</v>
      </c>
      <c r="K3" s="313" t="s">
        <v>40</v>
      </c>
      <c r="L3" s="313" t="s">
        <v>41</v>
      </c>
      <c r="M3" s="313" t="s">
        <v>42</v>
      </c>
      <c r="N3" s="313" t="s">
        <v>40</v>
      </c>
      <c r="O3" s="313" t="s">
        <v>41</v>
      </c>
      <c r="P3" s="313" t="s">
        <v>42</v>
      </c>
      <c r="Q3" s="313" t="s">
        <v>40</v>
      </c>
      <c r="R3" s="313" t="s">
        <v>41</v>
      </c>
      <c r="S3" s="313" t="s">
        <v>42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s="337" t="s">
        <v>296</v>
      </c>
      <c r="B9" s="309" t="s">
        <v>297</v>
      </c>
    </row>
    <row r="11" spans="1:19" x14ac:dyDescent="0.2">
      <c r="A11" s="309" t="s">
        <v>301</v>
      </c>
    </row>
    <row r="12" spans="1:19" x14ac:dyDescent="0.2">
      <c r="A12" s="337" t="s">
        <v>304</v>
      </c>
      <c r="B12" s="334" t="s">
        <v>94</v>
      </c>
      <c r="C12" s="334"/>
      <c r="D12" s="334"/>
      <c r="E12" s="334" t="s">
        <v>95</v>
      </c>
      <c r="F12" s="334"/>
      <c r="G12" s="334"/>
      <c r="H12" s="334" t="s">
        <v>52</v>
      </c>
      <c r="I12" s="334"/>
      <c r="J12" s="334"/>
      <c r="K12" s="334" t="s">
        <v>54</v>
      </c>
      <c r="L12" s="334"/>
      <c r="M12" s="334"/>
      <c r="N12" s="334" t="s">
        <v>96</v>
      </c>
      <c r="O12" s="334"/>
      <c r="P12" s="334"/>
      <c r="Q12" s="334" t="s">
        <v>58</v>
      </c>
      <c r="R12" s="334"/>
      <c r="S12" s="334"/>
    </row>
    <row r="13" spans="1:19" x14ac:dyDescent="0.2">
      <c r="A13" t="s">
        <v>37</v>
      </c>
      <c r="B13" s="313" t="s">
        <v>40</v>
      </c>
      <c r="C13" s="313" t="s">
        <v>41</v>
      </c>
      <c r="D13" s="313" t="s">
        <v>42</v>
      </c>
      <c r="E13" s="313" t="s">
        <v>40</v>
      </c>
      <c r="F13" s="313" t="s">
        <v>41</v>
      </c>
      <c r="G13" s="313" t="s">
        <v>42</v>
      </c>
      <c r="H13" s="313" t="s">
        <v>40</v>
      </c>
      <c r="I13" s="313" t="s">
        <v>41</v>
      </c>
      <c r="J13" s="313" t="s">
        <v>42</v>
      </c>
      <c r="K13" s="313" t="s">
        <v>40</v>
      </c>
      <c r="L13" s="313" t="s">
        <v>41</v>
      </c>
      <c r="M13" s="313" t="s">
        <v>42</v>
      </c>
      <c r="N13" s="313" t="s">
        <v>40</v>
      </c>
      <c r="O13" s="313" t="s">
        <v>41</v>
      </c>
      <c r="P13" s="313" t="s">
        <v>42</v>
      </c>
      <c r="Q13" s="313" t="s">
        <v>40</v>
      </c>
      <c r="R13" s="313" t="s">
        <v>41</v>
      </c>
      <c r="S13" s="313" t="s">
        <v>42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s="337" t="s">
        <v>296</v>
      </c>
      <c r="B21" s="309" t="s">
        <v>298</v>
      </c>
    </row>
    <row r="23" spans="1:19" x14ac:dyDescent="0.2">
      <c r="A23" s="309" t="s">
        <v>302</v>
      </c>
    </row>
    <row r="24" spans="1:19" x14ac:dyDescent="0.2">
      <c r="A24" s="337" t="s">
        <v>303</v>
      </c>
      <c r="B24" s="334" t="s">
        <v>94</v>
      </c>
      <c r="C24" s="334"/>
      <c r="D24" s="334"/>
      <c r="E24" s="334" t="s">
        <v>95</v>
      </c>
      <c r="F24" s="334"/>
      <c r="G24" s="334"/>
      <c r="H24" s="334" t="s">
        <v>52</v>
      </c>
      <c r="I24" s="334"/>
      <c r="J24" s="334"/>
      <c r="K24" s="334" t="s">
        <v>54</v>
      </c>
      <c r="L24" s="334"/>
      <c r="M24" s="334"/>
      <c r="N24" s="334" t="s">
        <v>96</v>
      </c>
      <c r="O24" s="334"/>
      <c r="P24" s="334"/>
      <c r="Q24" s="334" t="s">
        <v>58</v>
      </c>
      <c r="R24" s="334"/>
      <c r="S24" s="334"/>
    </row>
    <row r="25" spans="1:19" x14ac:dyDescent="0.2">
      <c r="A25" t="s">
        <v>37</v>
      </c>
      <c r="B25" s="313" t="s">
        <v>40</v>
      </c>
      <c r="C25" s="313" t="s">
        <v>41</v>
      </c>
      <c r="D25" s="313" t="s">
        <v>42</v>
      </c>
      <c r="E25" s="313" t="s">
        <v>40</v>
      </c>
      <c r="F25" s="313" t="s">
        <v>41</v>
      </c>
      <c r="G25" s="313" t="s">
        <v>42</v>
      </c>
      <c r="H25" s="313" t="s">
        <v>40</v>
      </c>
      <c r="I25" s="313" t="s">
        <v>41</v>
      </c>
      <c r="J25" s="313" t="s">
        <v>42</v>
      </c>
      <c r="K25" s="313" t="s">
        <v>40</v>
      </c>
      <c r="L25" s="313" t="s">
        <v>41</v>
      </c>
      <c r="M25" s="313" t="s">
        <v>42</v>
      </c>
      <c r="N25" s="313" t="s">
        <v>40</v>
      </c>
      <c r="O25" s="313" t="s">
        <v>41</v>
      </c>
      <c r="P25" s="313" t="s">
        <v>42</v>
      </c>
      <c r="Q25" s="313" t="s">
        <v>40</v>
      </c>
      <c r="R25" s="313" t="s">
        <v>41</v>
      </c>
      <c r="S25" s="313" t="s">
        <v>42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s="337" t="s">
        <v>296</v>
      </c>
      <c r="B31" s="309" t="s">
        <v>298</v>
      </c>
    </row>
  </sheetData>
  <mergeCells count="18">
    <mergeCell ref="Q24:S24"/>
    <mergeCell ref="B12:D12"/>
    <mergeCell ref="E12:G12"/>
    <mergeCell ref="H12:J12"/>
    <mergeCell ref="K12:M12"/>
    <mergeCell ref="N12:P12"/>
    <mergeCell ref="Q12:S12"/>
    <mergeCell ref="B24:D24"/>
    <mergeCell ref="E24:G24"/>
    <mergeCell ref="H24:J24"/>
    <mergeCell ref="K24:M24"/>
    <mergeCell ref="N24:P24"/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zoomScaleNormal="100" workbookViewId="0"/>
  </sheetViews>
  <sheetFormatPr defaultRowHeight="12.75" x14ac:dyDescent="0.2"/>
  <cols>
    <col min="1" max="1" width="13.5" style="293" customWidth="1"/>
    <col min="2" max="1026" width="8.6640625" style="293" customWidth="1"/>
    <col min="1027" max="16384" width="9.33203125" style="293"/>
  </cols>
  <sheetData>
    <row r="1" spans="1:13" x14ac:dyDescent="0.2">
      <c r="B1" s="322" t="s">
        <v>59</v>
      </c>
      <c r="C1" s="322"/>
      <c r="D1" s="322" t="s">
        <v>185</v>
      </c>
      <c r="E1" s="322"/>
      <c r="F1" s="322"/>
      <c r="H1" s="323" t="s">
        <v>59</v>
      </c>
      <c r="I1" s="323"/>
      <c r="J1" s="323"/>
      <c r="K1" s="294"/>
      <c r="M1" s="295"/>
    </row>
    <row r="2" spans="1:13" x14ac:dyDescent="0.2">
      <c r="B2" s="293" t="s">
        <v>186</v>
      </c>
      <c r="C2" s="293" t="s">
        <v>187</v>
      </c>
      <c r="D2" s="293" t="s">
        <v>186</v>
      </c>
      <c r="E2" s="293" t="s">
        <v>188</v>
      </c>
      <c r="F2" s="293" t="s">
        <v>188</v>
      </c>
      <c r="H2" s="296" t="s">
        <v>40</v>
      </c>
      <c r="I2" s="296" t="s">
        <v>41</v>
      </c>
      <c r="J2" s="315" t="s">
        <v>42</v>
      </c>
      <c r="K2" s="297"/>
      <c r="M2" s="295"/>
    </row>
    <row r="3" spans="1:13" x14ac:dyDescent="0.2">
      <c r="A3" s="293" t="s">
        <v>189</v>
      </c>
      <c r="B3" s="318"/>
      <c r="C3" s="318"/>
      <c r="D3" s="318"/>
      <c r="E3" s="318"/>
      <c r="F3" s="318"/>
      <c r="G3" s="293" t="s">
        <v>14</v>
      </c>
      <c r="H3" s="303"/>
      <c r="I3" s="303"/>
      <c r="J3" s="303"/>
      <c r="M3" s="295"/>
    </row>
    <row r="4" spans="1:13" x14ac:dyDescent="0.2">
      <c r="A4" s="293" t="s">
        <v>190</v>
      </c>
      <c r="B4" s="318"/>
      <c r="C4" s="318"/>
      <c r="D4" s="318"/>
      <c r="E4" s="318"/>
      <c r="F4" s="318"/>
      <c r="G4" s="293" t="s">
        <v>50</v>
      </c>
      <c r="H4" s="303"/>
      <c r="I4" s="303"/>
      <c r="J4" s="303"/>
      <c r="M4" s="295"/>
    </row>
    <row r="5" spans="1:13" x14ac:dyDescent="0.2">
      <c r="A5" s="293" t="s">
        <v>191</v>
      </c>
      <c r="B5" s="318"/>
      <c r="C5" s="318"/>
      <c r="D5" s="318"/>
      <c r="E5" s="318"/>
      <c r="F5" s="318"/>
      <c r="H5" s="324" t="s">
        <v>185</v>
      </c>
      <c r="I5" s="324"/>
      <c r="J5" s="323"/>
      <c r="K5" s="294"/>
      <c r="M5" s="295"/>
    </row>
    <row r="6" spans="1:13" x14ac:dyDescent="0.2">
      <c r="A6" s="293" t="s">
        <v>192</v>
      </c>
      <c r="B6" s="318"/>
      <c r="C6" s="318"/>
      <c r="D6" s="318"/>
      <c r="E6" s="318"/>
      <c r="F6" s="318"/>
      <c r="H6" s="296" t="s">
        <v>40</v>
      </c>
      <c r="I6" s="296" t="s">
        <v>41</v>
      </c>
      <c r="J6" s="315" t="s">
        <v>42</v>
      </c>
      <c r="K6" s="297"/>
      <c r="M6" s="295"/>
    </row>
    <row r="7" spans="1:13" x14ac:dyDescent="0.2">
      <c r="A7" s="293" t="s">
        <v>193</v>
      </c>
      <c r="B7" s="319"/>
      <c r="C7" s="318"/>
      <c r="D7" s="319"/>
      <c r="E7" s="318"/>
      <c r="F7" s="318"/>
      <c r="G7" s="293" t="s">
        <v>14</v>
      </c>
      <c r="H7" s="303"/>
      <c r="I7" s="303"/>
      <c r="J7" s="303"/>
      <c r="M7" s="295"/>
    </row>
    <row r="8" spans="1:13" x14ac:dyDescent="0.2">
      <c r="G8" s="293" t="s">
        <v>50</v>
      </c>
      <c r="H8" s="303"/>
      <c r="I8" s="303"/>
      <c r="J8" s="303"/>
      <c r="M8" s="295"/>
    </row>
    <row r="9" spans="1:13" x14ac:dyDescent="0.2">
      <c r="A9" s="293" t="s">
        <v>299</v>
      </c>
      <c r="B9" s="316">
        <v>40</v>
      </c>
      <c r="M9" s="298"/>
    </row>
    <row r="10" spans="1:13" x14ac:dyDescent="0.2">
      <c r="A10" s="293" t="s">
        <v>300</v>
      </c>
      <c r="B10" s="317">
        <v>10000</v>
      </c>
      <c r="C10" s="293" t="s">
        <v>194</v>
      </c>
    </row>
    <row r="12" spans="1:13" x14ac:dyDescent="0.2">
      <c r="B12" s="293" t="s">
        <v>195</v>
      </c>
      <c r="C12" s="293" t="s">
        <v>196</v>
      </c>
      <c r="D12" s="293" t="s">
        <v>197</v>
      </c>
      <c r="E12" s="293" t="s">
        <v>198</v>
      </c>
      <c r="F12" s="293" t="s">
        <v>62</v>
      </c>
      <c r="G12" s="293" t="s">
        <v>73</v>
      </c>
    </row>
    <row r="13" spans="1:13" x14ac:dyDescent="0.2">
      <c r="A13" s="293" t="s">
        <v>199</v>
      </c>
      <c r="B13" s="318"/>
      <c r="C13" s="318"/>
      <c r="D13" s="320"/>
      <c r="E13" s="318"/>
      <c r="F13" s="318"/>
      <c r="G13" s="318"/>
    </row>
    <row r="14" spans="1:13" x14ac:dyDescent="0.2">
      <c r="A14" s="293" t="s">
        <v>200</v>
      </c>
      <c r="B14" s="318"/>
      <c r="C14" s="318"/>
      <c r="D14" s="320"/>
      <c r="E14" s="318"/>
      <c r="F14" s="318"/>
      <c r="G14" s="318"/>
    </row>
    <row r="15" spans="1:13" x14ac:dyDescent="0.2">
      <c r="A15" s="293" t="s">
        <v>201</v>
      </c>
      <c r="B15" s="318"/>
      <c r="C15" s="318"/>
      <c r="D15" s="320"/>
      <c r="E15" s="318"/>
      <c r="F15" s="318"/>
      <c r="G15" s="318"/>
    </row>
    <row r="16" spans="1:13" x14ac:dyDescent="0.2">
      <c r="A16" s="293" t="s">
        <v>202</v>
      </c>
      <c r="B16" s="318"/>
      <c r="C16" s="318"/>
      <c r="D16" s="320"/>
      <c r="E16" s="318"/>
      <c r="F16" s="318"/>
      <c r="G16" s="318"/>
    </row>
    <row r="17" spans="1:10" x14ac:dyDescent="0.2">
      <c r="A17" s="293" t="s">
        <v>203</v>
      </c>
      <c r="B17" s="318"/>
      <c r="C17" s="318"/>
      <c r="D17" s="320"/>
      <c r="E17" s="318"/>
      <c r="F17" s="318"/>
      <c r="G17" s="318"/>
    </row>
    <row r="18" spans="1:10" x14ac:dyDescent="0.2">
      <c r="A18" s="293" t="s">
        <v>204</v>
      </c>
      <c r="B18" s="318"/>
      <c r="C18" s="318"/>
      <c r="D18" s="320"/>
      <c r="E18" s="318"/>
      <c r="F18" s="318"/>
      <c r="G18" s="318"/>
    </row>
    <row r="19" spans="1:10" x14ac:dyDescent="0.2">
      <c r="A19" s="293" t="s">
        <v>205</v>
      </c>
      <c r="B19" s="318"/>
      <c r="C19" s="318"/>
      <c r="D19" s="320"/>
      <c r="E19" s="318"/>
      <c r="F19" s="318"/>
      <c r="G19" s="318"/>
    </row>
    <row r="20" spans="1:10" x14ac:dyDescent="0.2">
      <c r="A20" s="293" t="s">
        <v>206</v>
      </c>
      <c r="B20" s="318"/>
      <c r="C20" s="318"/>
      <c r="D20" s="320"/>
      <c r="E20" s="318"/>
      <c r="F20" s="318"/>
      <c r="G20" s="318"/>
    </row>
    <row r="21" spans="1:10" x14ac:dyDescent="0.2">
      <c r="A21" s="293" t="s">
        <v>207</v>
      </c>
      <c r="B21" s="318"/>
      <c r="C21" s="318"/>
      <c r="D21" s="320"/>
      <c r="E21" s="318"/>
      <c r="F21" s="318"/>
      <c r="G21" s="318"/>
    </row>
    <row r="22" spans="1:10" x14ac:dyDescent="0.2">
      <c r="A22" s="293" t="s">
        <v>208</v>
      </c>
      <c r="B22" s="318"/>
      <c r="C22" s="318"/>
      <c r="D22" s="320"/>
      <c r="E22" s="318"/>
      <c r="F22" s="318"/>
      <c r="G22" s="318"/>
    </row>
    <row r="23" spans="1:10" x14ac:dyDescent="0.2">
      <c r="A23" s="293" t="s">
        <v>209</v>
      </c>
      <c r="B23" s="318"/>
      <c r="C23" s="318"/>
      <c r="D23" s="320"/>
      <c r="E23" s="318"/>
      <c r="F23" s="318"/>
      <c r="G23" s="318"/>
    </row>
    <row r="24" spans="1:10" x14ac:dyDescent="0.2">
      <c r="A24" s="293" t="s">
        <v>210</v>
      </c>
      <c r="B24" s="318"/>
      <c r="C24" s="318"/>
      <c r="D24" s="320"/>
      <c r="E24" s="318"/>
      <c r="F24" s="318"/>
      <c r="G24" s="318"/>
    </row>
    <row r="25" spans="1:10" x14ac:dyDescent="0.2">
      <c r="A25" s="293" t="s">
        <v>211</v>
      </c>
      <c r="B25" s="318"/>
      <c r="C25" s="318"/>
      <c r="D25" s="320"/>
      <c r="E25" s="318"/>
      <c r="F25" s="318"/>
      <c r="G25" s="318"/>
    </row>
    <row r="26" spans="1:10" x14ac:dyDescent="0.2">
      <c r="G26" s="300" t="s">
        <v>48</v>
      </c>
      <c r="H26" s="300" t="s">
        <v>50</v>
      </c>
      <c r="J26" s="301"/>
    </row>
    <row r="27" spans="1:10" x14ac:dyDescent="0.2">
      <c r="B27" s="293" t="s">
        <v>212</v>
      </c>
      <c r="C27" s="293" t="s">
        <v>213</v>
      </c>
      <c r="D27" s="293" t="s">
        <v>214</v>
      </c>
      <c r="E27" s="293" t="s">
        <v>215</v>
      </c>
      <c r="F27" s="293" t="s">
        <v>216</v>
      </c>
      <c r="G27" s="300" t="s">
        <v>217</v>
      </c>
      <c r="H27" s="300" t="s">
        <v>217</v>
      </c>
      <c r="J27" s="301"/>
    </row>
    <row r="28" spans="1:10" x14ac:dyDescent="0.2">
      <c r="A28" s="293" t="str">
        <f>IF(A13="","",A13)</f>
        <v>Wall A</v>
      </c>
      <c r="B28" s="318"/>
      <c r="C28" s="318"/>
      <c r="D28" s="305" t="e">
        <f>B28*$B$10*(C28^2/D13^2)+12/(D13^2)</f>
        <v>#DIV/0!</v>
      </c>
      <c r="E28" s="306" t="e">
        <f>D28*$B$9/1000</f>
        <v>#DIV/0!</v>
      </c>
      <c r="F28" s="306" t="e">
        <f t="shared" ref="F28:F40" si="0">F13/(G13*E28)</f>
        <v>#DIV/0!</v>
      </c>
      <c r="G28" s="305" t="e">
        <f>LN((F28^(-$J$7)+($I$7/$H$7))/(1+($I$7/$H$7)))/($H$7*$J$7)</f>
        <v>#DIV/0!</v>
      </c>
      <c r="H28" s="321"/>
      <c r="I28" s="307" t="e">
        <f t="shared" ref="I28:I38" si="1">LOOKUP(G28,mm_value,minimum_Pb)</f>
        <v>#DIV/0!</v>
      </c>
      <c r="J28" s="301"/>
    </row>
    <row r="29" spans="1:10" x14ac:dyDescent="0.2">
      <c r="A29" s="293" t="str">
        <f t="shared" ref="A29:A40" si="2">IF(A14="","",A14)</f>
        <v>Wall A (Hall)</v>
      </c>
      <c r="B29" s="318"/>
      <c r="C29" s="318"/>
      <c r="D29" s="305" t="e">
        <f t="shared" ref="D29:D40" si="3">B29*$B$10*(C29^2/D14^2)+12/(D14^2)</f>
        <v>#DIV/0!</v>
      </c>
      <c r="E29" s="306" t="e">
        <f t="shared" ref="E29:E40" si="4">D29*$B$9/1000</f>
        <v>#DIV/0!</v>
      </c>
      <c r="F29" s="306" t="e">
        <f t="shared" si="0"/>
        <v>#DIV/0!</v>
      </c>
      <c r="G29" s="305" t="e">
        <f t="shared" ref="G29:G38" si="5">LN((F29^(-$J$7)+($I$7/$H$7))/(1+($I$7/$H$7)))/($H$7*$J$7)</f>
        <v>#DIV/0!</v>
      </c>
      <c r="H29" s="321"/>
      <c r="I29" s="307" t="e">
        <f t="shared" si="1"/>
        <v>#DIV/0!</v>
      </c>
      <c r="J29" s="301"/>
    </row>
    <row r="30" spans="1:10" x14ac:dyDescent="0.2">
      <c r="A30" s="293" t="str">
        <f t="shared" si="2"/>
        <v>Wall A (Tech)</v>
      </c>
      <c r="B30" s="318"/>
      <c r="C30" s="318"/>
      <c r="D30" s="305" t="e">
        <f t="shared" si="3"/>
        <v>#DIV/0!</v>
      </c>
      <c r="E30" s="306" t="e">
        <f t="shared" si="4"/>
        <v>#DIV/0!</v>
      </c>
      <c r="F30" s="306" t="e">
        <f t="shared" si="0"/>
        <v>#DIV/0!</v>
      </c>
      <c r="G30" s="305" t="e">
        <f t="shared" si="5"/>
        <v>#DIV/0!</v>
      </c>
      <c r="H30" s="321"/>
      <c r="I30" s="307" t="e">
        <f t="shared" si="1"/>
        <v>#DIV/0!</v>
      </c>
      <c r="J30" s="301"/>
    </row>
    <row r="31" spans="1:10" x14ac:dyDescent="0.2">
      <c r="A31" s="293" t="str">
        <f t="shared" si="2"/>
        <v>Door A</v>
      </c>
      <c r="B31" s="318"/>
      <c r="C31" s="318"/>
      <c r="D31" s="305" t="e">
        <f t="shared" si="3"/>
        <v>#DIV/0!</v>
      </c>
      <c r="E31" s="306" t="e">
        <f t="shared" si="4"/>
        <v>#DIV/0!</v>
      </c>
      <c r="F31" s="306" t="e">
        <f t="shared" si="0"/>
        <v>#DIV/0!</v>
      </c>
      <c r="G31" s="305" t="e">
        <f t="shared" si="5"/>
        <v>#DIV/0!</v>
      </c>
      <c r="H31" s="321"/>
      <c r="I31" s="307" t="e">
        <f t="shared" si="1"/>
        <v>#DIV/0!</v>
      </c>
      <c r="J31" s="301"/>
    </row>
    <row r="32" spans="1:10" x14ac:dyDescent="0.2">
      <c r="A32" s="293" t="str">
        <f t="shared" si="2"/>
        <v>Wall B</v>
      </c>
      <c r="B32" s="318"/>
      <c r="C32" s="318"/>
      <c r="D32" s="305" t="e">
        <f t="shared" si="3"/>
        <v>#DIV/0!</v>
      </c>
      <c r="E32" s="306" t="e">
        <f t="shared" si="4"/>
        <v>#DIV/0!</v>
      </c>
      <c r="F32" s="306" t="e">
        <f t="shared" si="0"/>
        <v>#DIV/0!</v>
      </c>
      <c r="G32" s="305" t="e">
        <f t="shared" si="5"/>
        <v>#DIV/0!</v>
      </c>
      <c r="H32" s="321"/>
      <c r="I32" s="307" t="e">
        <f t="shared" si="1"/>
        <v>#DIV/0!</v>
      </c>
      <c r="J32" s="301"/>
    </row>
    <row r="33" spans="1:20" x14ac:dyDescent="0.2">
      <c r="A33" s="293" t="str">
        <f t="shared" si="2"/>
        <v>Wall C</v>
      </c>
      <c r="B33" s="318"/>
      <c r="C33" s="318"/>
      <c r="D33" s="305" t="e">
        <f t="shared" si="3"/>
        <v>#DIV/0!</v>
      </c>
      <c r="E33" s="306" t="e">
        <f t="shared" si="4"/>
        <v>#DIV/0!</v>
      </c>
      <c r="F33" s="306" t="e">
        <f t="shared" si="0"/>
        <v>#DIV/0!</v>
      </c>
      <c r="G33" s="305" t="e">
        <f t="shared" si="5"/>
        <v>#DIV/0!</v>
      </c>
      <c r="H33" s="321"/>
      <c r="I33" s="307" t="e">
        <f t="shared" si="1"/>
        <v>#DIV/0!</v>
      </c>
      <c r="J33" s="301"/>
    </row>
    <row r="34" spans="1:20" x14ac:dyDescent="0.2">
      <c r="A34" s="293" t="str">
        <f t="shared" si="2"/>
        <v>Wall D</v>
      </c>
      <c r="B34" s="318"/>
      <c r="C34" s="318"/>
      <c r="D34" s="305" t="e">
        <f t="shared" si="3"/>
        <v>#DIV/0!</v>
      </c>
      <c r="E34" s="306" t="e">
        <f t="shared" si="4"/>
        <v>#DIV/0!</v>
      </c>
      <c r="F34" s="306" t="e">
        <f t="shared" si="0"/>
        <v>#DIV/0!</v>
      </c>
      <c r="G34" s="305" t="e">
        <f t="shared" si="5"/>
        <v>#DIV/0!</v>
      </c>
      <c r="H34" s="321"/>
      <c r="I34" s="307" t="e">
        <f t="shared" si="1"/>
        <v>#DIV/0!</v>
      </c>
      <c r="J34" s="301"/>
    </row>
    <row r="35" spans="1:20" x14ac:dyDescent="0.2">
      <c r="A35" s="293" t="str">
        <f t="shared" si="2"/>
        <v>Door D</v>
      </c>
      <c r="B35" s="318"/>
      <c r="C35" s="318"/>
      <c r="D35" s="305" t="e">
        <f t="shared" si="3"/>
        <v>#DIV/0!</v>
      </c>
      <c r="E35" s="306" t="e">
        <f t="shared" si="4"/>
        <v>#DIV/0!</v>
      </c>
      <c r="F35" s="306" t="e">
        <f t="shared" si="0"/>
        <v>#DIV/0!</v>
      </c>
      <c r="G35" s="305" t="e">
        <f t="shared" si="5"/>
        <v>#DIV/0!</v>
      </c>
      <c r="H35" s="321"/>
      <c r="I35" s="307" t="e">
        <f t="shared" si="1"/>
        <v>#DIV/0!</v>
      </c>
      <c r="J35" s="301"/>
    </row>
    <row r="36" spans="1:20" x14ac:dyDescent="0.2">
      <c r="A36" s="293" t="str">
        <f t="shared" si="2"/>
        <v>Wall D (CT)</v>
      </c>
      <c r="B36" s="318"/>
      <c r="C36" s="318"/>
      <c r="D36" s="305" t="e">
        <f t="shared" si="3"/>
        <v>#DIV/0!</v>
      </c>
      <c r="E36" s="306" t="e">
        <f t="shared" si="4"/>
        <v>#DIV/0!</v>
      </c>
      <c r="F36" s="306" t="e">
        <f t="shared" si="0"/>
        <v>#DIV/0!</v>
      </c>
      <c r="G36" s="305" t="e">
        <f t="shared" si="5"/>
        <v>#DIV/0!</v>
      </c>
      <c r="H36" s="321"/>
      <c r="I36" s="307" t="e">
        <f t="shared" si="1"/>
        <v>#DIV/0!</v>
      </c>
      <c r="J36" s="301"/>
    </row>
    <row r="37" spans="1:20" x14ac:dyDescent="0.2">
      <c r="A37" s="293" t="str">
        <f t="shared" si="2"/>
        <v>Wall D(CT)</v>
      </c>
      <c r="B37" s="318"/>
      <c r="C37" s="318"/>
      <c r="D37" s="305" t="e">
        <f t="shared" si="3"/>
        <v>#DIV/0!</v>
      </c>
      <c r="E37" s="306" t="e">
        <f t="shared" si="4"/>
        <v>#DIV/0!</v>
      </c>
      <c r="F37" s="306" t="e">
        <f t="shared" si="0"/>
        <v>#DIV/0!</v>
      </c>
      <c r="G37" s="305" t="e">
        <f t="shared" si="5"/>
        <v>#DIV/0!</v>
      </c>
      <c r="H37" s="321"/>
      <c r="I37" s="307" t="e">
        <f t="shared" si="1"/>
        <v>#DIV/0!</v>
      </c>
      <c r="J37" s="301"/>
    </row>
    <row r="38" spans="1:20" x14ac:dyDescent="0.2">
      <c r="A38" s="293" t="str">
        <f t="shared" si="2"/>
        <v>Control</v>
      </c>
      <c r="B38" s="318"/>
      <c r="C38" s="318"/>
      <c r="D38" s="305" t="e">
        <f t="shared" si="3"/>
        <v>#DIV/0!</v>
      </c>
      <c r="E38" s="306" t="e">
        <f t="shared" si="4"/>
        <v>#DIV/0!</v>
      </c>
      <c r="F38" s="306" t="e">
        <f t="shared" si="0"/>
        <v>#DIV/0!</v>
      </c>
      <c r="G38" s="305" t="e">
        <f t="shared" si="5"/>
        <v>#DIV/0!</v>
      </c>
      <c r="H38" s="321"/>
      <c r="I38" s="307" t="e">
        <f t="shared" si="1"/>
        <v>#DIV/0!</v>
      </c>
      <c r="J38" s="301"/>
    </row>
    <row r="39" spans="1:20" x14ac:dyDescent="0.2">
      <c r="A39" s="293" t="str">
        <f t="shared" si="2"/>
        <v>Floor</v>
      </c>
      <c r="B39" s="318"/>
      <c r="C39" s="318"/>
      <c r="D39" s="305" t="e">
        <f t="shared" si="3"/>
        <v>#DIV/0!</v>
      </c>
      <c r="E39" s="306" t="e">
        <f t="shared" si="4"/>
        <v>#DIV/0!</v>
      </c>
      <c r="F39" s="306" t="e">
        <f t="shared" si="0"/>
        <v>#DIV/0!</v>
      </c>
      <c r="G39" s="321"/>
      <c r="H39" s="304" t="e">
        <f>LN((F39^-$J$8+($I$8/$H$8))/(1+($I$8/$H$8)))/($H$8*$J$8)</f>
        <v>#DIV/0!</v>
      </c>
      <c r="I39" s="321"/>
      <c r="J39" s="301"/>
    </row>
    <row r="40" spans="1:20" x14ac:dyDescent="0.2">
      <c r="A40" s="293" t="str">
        <f t="shared" si="2"/>
        <v>Ceiling</v>
      </c>
      <c r="B40" s="318"/>
      <c r="C40" s="318"/>
      <c r="D40" s="305" t="e">
        <f t="shared" si="3"/>
        <v>#DIV/0!</v>
      </c>
      <c r="E40" s="306" t="e">
        <f t="shared" si="4"/>
        <v>#DIV/0!</v>
      </c>
      <c r="F40" s="306" t="e">
        <f t="shared" si="0"/>
        <v>#DIV/0!</v>
      </c>
      <c r="G40" s="321"/>
      <c r="H40" s="304" t="e">
        <f>LN((F40^-$J$8+($I$8/$H$8))/(1+($I$8/$H$8)))/($H$8*$J$8)</f>
        <v>#DIV/0!</v>
      </c>
      <c r="I40" s="321"/>
      <c r="J40" s="301"/>
    </row>
    <row r="41" spans="1:20" x14ac:dyDescent="0.2">
      <c r="G41" s="300"/>
      <c r="H41" s="300"/>
      <c r="J41" s="301"/>
    </row>
    <row r="42" spans="1:20" x14ac:dyDescent="0.2">
      <c r="B42" s="293" t="s">
        <v>218</v>
      </c>
      <c r="C42" s="293" t="s">
        <v>215</v>
      </c>
      <c r="D42" s="300" t="s">
        <v>219</v>
      </c>
      <c r="E42" s="300" t="s">
        <v>216</v>
      </c>
      <c r="F42" s="300" t="s">
        <v>220</v>
      </c>
      <c r="G42" s="300" t="s">
        <v>217</v>
      </c>
      <c r="H42" s="300" t="s">
        <v>217</v>
      </c>
    </row>
    <row r="43" spans="1:20" x14ac:dyDescent="0.2">
      <c r="A43" s="293" t="str">
        <f>IF(A28="","",A28)</f>
        <v>Wall A</v>
      </c>
      <c r="B43" s="303"/>
      <c r="C43" s="306" t="e">
        <f t="shared" ref="C43:C55" si="6">$F$6*$B$9/(D13^2)</f>
        <v>#DIV/0!</v>
      </c>
      <c r="D43" s="303"/>
      <c r="E43" s="306" t="e">
        <f t="shared" ref="E43:E55" si="7">F13/(G13*C43)</f>
        <v>#DIV/0!</v>
      </c>
      <c r="F43" s="303"/>
      <c r="G43" s="305" t="e">
        <f>LN((E43^(-$J$7)+($I$7/$H$7))/(1+($I$7/$H$7)))/($H$7*$J$7)</f>
        <v>#DIV/0!</v>
      </c>
      <c r="H43" s="305"/>
      <c r="T43" s="302"/>
    </row>
    <row r="44" spans="1:20" x14ac:dyDescent="0.2">
      <c r="A44" s="293" t="str">
        <f t="shared" ref="A44:A55" si="8">IF(A29="","",A29)</f>
        <v>Wall A (Hall)</v>
      </c>
      <c r="B44" s="303"/>
      <c r="C44" s="306" t="e">
        <f t="shared" si="6"/>
        <v>#DIV/0!</v>
      </c>
      <c r="D44" s="303"/>
      <c r="E44" s="306" t="e">
        <f t="shared" si="7"/>
        <v>#DIV/0!</v>
      </c>
      <c r="F44" s="303"/>
      <c r="G44" s="305" t="e">
        <f t="shared" ref="G44:G45" si="9">LN((E44^-$J$7+($I$7/$H$7))/(1+($I$7/$H$7)))/($H$7*$J$7)</f>
        <v>#DIV/0!</v>
      </c>
      <c r="H44" s="305"/>
      <c r="T44" s="302"/>
    </row>
    <row r="45" spans="1:20" x14ac:dyDescent="0.2">
      <c r="A45" s="293" t="str">
        <f t="shared" si="8"/>
        <v>Wall A (Tech)</v>
      </c>
      <c r="B45" s="303"/>
      <c r="C45" s="306" t="e">
        <f t="shared" si="6"/>
        <v>#DIV/0!</v>
      </c>
      <c r="D45" s="303"/>
      <c r="E45" s="306" t="e">
        <f t="shared" si="7"/>
        <v>#DIV/0!</v>
      </c>
      <c r="F45" s="303"/>
      <c r="G45" s="305" t="e">
        <f t="shared" si="9"/>
        <v>#DIV/0!</v>
      </c>
      <c r="H45" s="305"/>
      <c r="T45" s="302"/>
    </row>
    <row r="46" spans="1:20" x14ac:dyDescent="0.2">
      <c r="A46" s="293" t="str">
        <f t="shared" si="8"/>
        <v>Door A</v>
      </c>
      <c r="B46" s="303"/>
      <c r="C46" s="306" t="e">
        <f t="shared" si="6"/>
        <v>#DIV/0!</v>
      </c>
      <c r="D46" s="303"/>
      <c r="E46" s="306" t="e">
        <f t="shared" si="7"/>
        <v>#DIV/0!</v>
      </c>
      <c r="F46" s="303"/>
      <c r="G46" s="305" t="e">
        <f>LN((E46^-$J$7+($I$7/$H$7))/(1+($I$7/$H$7)))/($H$7*$J$7)</f>
        <v>#DIV/0!</v>
      </c>
      <c r="H46" s="305"/>
      <c r="T46" s="302"/>
    </row>
    <row r="47" spans="1:20" x14ac:dyDescent="0.2">
      <c r="A47" s="293" t="str">
        <f t="shared" si="8"/>
        <v>Wall B</v>
      </c>
      <c r="B47" s="303"/>
      <c r="C47" s="306" t="e">
        <f t="shared" si="6"/>
        <v>#DIV/0!</v>
      </c>
      <c r="D47" s="303"/>
      <c r="E47" s="306" t="e">
        <f t="shared" si="7"/>
        <v>#DIV/0!</v>
      </c>
      <c r="F47" s="303"/>
      <c r="G47" s="305" t="e">
        <f>LN((E47^-$J$7+($I$7/$H$7))/(1+($I$7/$H$7)))/($H$7*$J$7)</f>
        <v>#DIV/0!</v>
      </c>
      <c r="H47" s="305"/>
      <c r="T47" s="302"/>
    </row>
    <row r="48" spans="1:20" x14ac:dyDescent="0.2">
      <c r="A48" s="293" t="str">
        <f t="shared" si="8"/>
        <v>Wall C</v>
      </c>
      <c r="B48" s="303"/>
      <c r="C48" s="306" t="e">
        <f t="shared" si="6"/>
        <v>#DIV/0!</v>
      </c>
      <c r="D48" s="303"/>
      <c r="E48" s="306" t="e">
        <f t="shared" si="7"/>
        <v>#DIV/0!</v>
      </c>
      <c r="F48" s="303"/>
      <c r="G48" s="305" t="e">
        <f>LN((E48^-$J$7+($I$7/$H$7))/(1+($I$7/$H$7)))/($H$7*$J$7)</f>
        <v>#DIV/0!</v>
      </c>
      <c r="H48" s="305"/>
      <c r="T48" s="302"/>
    </row>
    <row r="49" spans="1:20" x14ac:dyDescent="0.2">
      <c r="A49" s="293" t="str">
        <f t="shared" si="8"/>
        <v>Wall D</v>
      </c>
      <c r="B49" s="303"/>
      <c r="C49" s="306" t="e">
        <f t="shared" si="6"/>
        <v>#DIV/0!</v>
      </c>
      <c r="D49" s="303"/>
      <c r="E49" s="306" t="e">
        <f t="shared" si="7"/>
        <v>#DIV/0!</v>
      </c>
      <c r="F49" s="303"/>
      <c r="G49" s="305" t="e">
        <f t="shared" ref="G49:G52" si="10">LN((E49^-$J$7+($I$7/$H$7))/(1+($I$7/$H$7)))/($H$7*$J$7)</f>
        <v>#DIV/0!</v>
      </c>
      <c r="H49" s="305"/>
      <c r="T49" s="302"/>
    </row>
    <row r="50" spans="1:20" x14ac:dyDescent="0.2">
      <c r="A50" s="293" t="str">
        <f t="shared" si="8"/>
        <v>Door D</v>
      </c>
      <c r="B50" s="303"/>
      <c r="C50" s="306" t="e">
        <f t="shared" si="6"/>
        <v>#DIV/0!</v>
      </c>
      <c r="D50" s="303"/>
      <c r="E50" s="306" t="e">
        <f t="shared" si="7"/>
        <v>#DIV/0!</v>
      </c>
      <c r="F50" s="303"/>
      <c r="G50" s="305" t="e">
        <f t="shared" si="10"/>
        <v>#DIV/0!</v>
      </c>
      <c r="H50" s="305"/>
      <c r="T50" s="302"/>
    </row>
    <row r="51" spans="1:20" x14ac:dyDescent="0.2">
      <c r="A51" s="293" t="str">
        <f t="shared" si="8"/>
        <v>Wall D (CT)</v>
      </c>
      <c r="B51" s="303"/>
      <c r="C51" s="306" t="e">
        <f t="shared" si="6"/>
        <v>#DIV/0!</v>
      </c>
      <c r="D51" s="303"/>
      <c r="E51" s="306" t="e">
        <f t="shared" si="7"/>
        <v>#DIV/0!</v>
      </c>
      <c r="F51" s="303"/>
      <c r="G51" s="305" t="e">
        <f t="shared" si="10"/>
        <v>#DIV/0!</v>
      </c>
      <c r="H51" s="305"/>
      <c r="T51" s="302"/>
    </row>
    <row r="52" spans="1:20" x14ac:dyDescent="0.2">
      <c r="A52" s="293" t="str">
        <f t="shared" si="8"/>
        <v>Wall D(CT)</v>
      </c>
      <c r="B52" s="303"/>
      <c r="C52" s="306" t="e">
        <f t="shared" si="6"/>
        <v>#DIV/0!</v>
      </c>
      <c r="D52" s="303"/>
      <c r="E52" s="306" t="e">
        <f t="shared" si="7"/>
        <v>#DIV/0!</v>
      </c>
      <c r="F52" s="303"/>
      <c r="G52" s="305" t="e">
        <f t="shared" si="10"/>
        <v>#DIV/0!</v>
      </c>
      <c r="H52" s="305"/>
      <c r="T52" s="302"/>
    </row>
    <row r="53" spans="1:20" x14ac:dyDescent="0.2">
      <c r="A53" s="293" t="str">
        <f t="shared" si="8"/>
        <v>Control</v>
      </c>
      <c r="B53" s="303"/>
      <c r="C53" s="306" t="e">
        <f t="shared" si="6"/>
        <v>#DIV/0!</v>
      </c>
      <c r="D53" s="303"/>
      <c r="E53" s="306" t="e">
        <f t="shared" si="7"/>
        <v>#DIV/0!</v>
      </c>
      <c r="F53" s="303"/>
      <c r="G53" s="305" t="e">
        <f>LN((E53^-$J$7+($I$7/$H$7))/(1+($I$7/$H$7)))/($H$7*$J$7)</f>
        <v>#DIV/0!</v>
      </c>
      <c r="H53" s="305"/>
      <c r="T53" s="302"/>
    </row>
    <row r="54" spans="1:20" x14ac:dyDescent="0.2">
      <c r="A54" s="293" t="str">
        <f t="shared" si="8"/>
        <v>Floor</v>
      </c>
      <c r="B54" s="303"/>
      <c r="C54" s="306" t="e">
        <f t="shared" si="6"/>
        <v>#DIV/0!</v>
      </c>
      <c r="D54" s="303"/>
      <c r="E54" s="306" t="e">
        <f t="shared" si="7"/>
        <v>#DIV/0!</v>
      </c>
      <c r="F54" s="303"/>
      <c r="G54" s="303"/>
      <c r="H54" s="304" t="e">
        <f>LN((E54^-$J$8+($I$8/$H$8))/(1+($I$8/$H$8)))/($H$8*$J$8)</f>
        <v>#DIV/0!</v>
      </c>
      <c r="J54" s="299"/>
      <c r="T54" s="302"/>
    </row>
    <row r="55" spans="1:20" x14ac:dyDescent="0.2">
      <c r="A55" s="293" t="str">
        <f t="shared" si="8"/>
        <v>Ceiling</v>
      </c>
      <c r="B55" s="303"/>
      <c r="C55" s="306" t="e">
        <f t="shared" si="6"/>
        <v>#DIV/0!</v>
      </c>
      <c r="D55" s="303"/>
      <c r="E55" s="306" t="e">
        <f t="shared" si="7"/>
        <v>#DIV/0!</v>
      </c>
      <c r="F55" s="303"/>
      <c r="G55" s="303"/>
      <c r="H55" s="304" t="e">
        <f>LN((E55^-$J$8+($I$8/$H$8))/(1+($I$8/$H$8)))/($H$8*$J$8)</f>
        <v>#DIV/0!</v>
      </c>
      <c r="J55" s="299"/>
      <c r="T55" s="302"/>
    </row>
  </sheetData>
  <mergeCells count="4">
    <mergeCell ref="B1:C1"/>
    <mergeCell ref="D1:F1"/>
    <mergeCell ref="H1:J1"/>
    <mergeCell ref="H5:J5"/>
  </mergeCell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Normal="100" workbookViewId="0">
      <selection activeCell="B4" sqref="B4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11.5" style="210" bestFit="1" customWidth="1"/>
    <col min="9" max="9" width="10.1640625" style="210" bestFit="1" customWidth="1"/>
    <col min="10" max="10" width="9.33203125" style="210" customWidth="1"/>
    <col min="11" max="11" width="10.1640625" style="210" bestFit="1" customWidth="1"/>
    <col min="12" max="15" width="9.33203125" style="210" customWidth="1"/>
    <col min="16" max="16" width="11.5" style="210" bestFit="1" customWidth="1"/>
    <col min="17" max="16384" width="9.33203125" style="210"/>
  </cols>
  <sheetData>
    <row r="1" spans="1:19" x14ac:dyDescent="0.2">
      <c r="A1" s="209" t="s">
        <v>127</v>
      </c>
      <c r="B1" s="209"/>
      <c r="C1" s="209"/>
      <c r="D1" s="209"/>
      <c r="J1" s="266" t="s">
        <v>141</v>
      </c>
      <c r="K1" s="265"/>
      <c r="L1" s="265"/>
      <c r="M1" s="265"/>
      <c r="N1" s="265"/>
      <c r="O1" s="265"/>
      <c r="P1" s="265"/>
      <c r="Q1" s="265"/>
      <c r="R1" s="265"/>
      <c r="S1" s="264"/>
    </row>
    <row r="2" spans="1:19" x14ac:dyDescent="0.2">
      <c r="A2" s="211" t="s">
        <v>128</v>
      </c>
      <c r="B2" s="209"/>
      <c r="C2" s="209"/>
      <c r="D2" s="209"/>
      <c r="J2" s="278" t="s">
        <v>142</v>
      </c>
      <c r="K2" s="216"/>
      <c r="L2" s="216"/>
      <c r="M2" s="216"/>
      <c r="N2" s="216"/>
      <c r="O2" s="216"/>
      <c r="P2" s="216"/>
      <c r="Q2" s="216"/>
      <c r="R2" s="216"/>
      <c r="S2" s="276"/>
    </row>
    <row r="3" spans="1:19" x14ac:dyDescent="0.2">
      <c r="A3" s="209" t="s">
        <v>129</v>
      </c>
      <c r="B3" s="209"/>
      <c r="C3" s="209"/>
      <c r="D3" s="209"/>
      <c r="J3" s="278" t="s">
        <v>143</v>
      </c>
      <c r="K3" s="216"/>
      <c r="L3" s="216"/>
      <c r="M3" s="216"/>
      <c r="N3" s="216"/>
      <c r="O3" s="216"/>
      <c r="P3" s="216"/>
      <c r="Q3" s="216"/>
      <c r="R3" s="216"/>
      <c r="S3" s="276"/>
    </row>
    <row r="4" spans="1:19" x14ac:dyDescent="0.2">
      <c r="J4" s="278" t="s">
        <v>144</v>
      </c>
      <c r="K4" s="216"/>
      <c r="L4" s="216"/>
      <c r="M4" s="216"/>
      <c r="N4" s="216"/>
      <c r="O4" s="216"/>
      <c r="P4" s="216"/>
      <c r="Q4" s="216"/>
      <c r="R4" s="216"/>
      <c r="S4" s="276"/>
    </row>
    <row r="5" spans="1:19" x14ac:dyDescent="0.2">
      <c r="J5" s="281" t="s">
        <v>179</v>
      </c>
      <c r="K5" s="216"/>
      <c r="L5" s="216"/>
      <c r="M5" s="216"/>
      <c r="N5" s="216"/>
      <c r="O5" s="216"/>
      <c r="P5" s="216"/>
      <c r="Q5" s="216"/>
      <c r="R5" s="216"/>
      <c r="S5" s="276"/>
    </row>
    <row r="6" spans="1:19" x14ac:dyDescent="0.2">
      <c r="A6" s="209" t="s">
        <v>130</v>
      </c>
      <c r="J6" s="281" t="s">
        <v>178</v>
      </c>
      <c r="K6" s="216"/>
      <c r="L6" s="216"/>
      <c r="M6" s="216"/>
      <c r="N6" s="216"/>
      <c r="O6" s="216"/>
      <c r="P6" s="216"/>
      <c r="Q6" s="216"/>
      <c r="R6" s="216"/>
      <c r="S6" s="276"/>
    </row>
    <row r="7" spans="1:19" x14ac:dyDescent="0.2">
      <c r="J7" s="278"/>
      <c r="K7" s="216"/>
      <c r="L7" s="216"/>
      <c r="M7" s="216"/>
      <c r="N7" s="216"/>
      <c r="O7" s="216"/>
      <c r="P7" s="216"/>
      <c r="Q7" s="216"/>
      <c r="R7" s="216"/>
      <c r="S7" s="276"/>
    </row>
    <row r="8" spans="1:19" ht="13.5" thickBot="1" x14ac:dyDescent="0.25">
      <c r="J8" s="275"/>
      <c r="K8" s="274"/>
      <c r="L8" s="274"/>
      <c r="M8" s="274"/>
      <c r="N8" s="274"/>
      <c r="O8" s="274"/>
      <c r="P8" s="274"/>
      <c r="Q8" s="274"/>
      <c r="R8" s="274"/>
      <c r="S8" s="271"/>
    </row>
    <row r="9" spans="1:19" ht="13.5" thickBot="1" x14ac:dyDescent="0.25">
      <c r="A9" s="209" t="s">
        <v>131</v>
      </c>
    </row>
    <row r="10" spans="1:19" x14ac:dyDescent="0.2">
      <c r="J10" s="266" t="s">
        <v>145</v>
      </c>
      <c r="K10" s="265"/>
      <c r="L10" s="265"/>
      <c r="M10" s="265"/>
      <c r="N10" s="265"/>
      <c r="O10" s="265"/>
      <c r="P10" s="265"/>
      <c r="Q10" s="265"/>
      <c r="R10" s="265"/>
      <c r="S10" s="264"/>
    </row>
    <row r="11" spans="1:19" x14ac:dyDescent="0.2">
      <c r="J11" s="278" t="s">
        <v>146</v>
      </c>
      <c r="K11" s="216"/>
      <c r="L11" s="216"/>
      <c r="M11" s="216"/>
      <c r="N11" s="216"/>
      <c r="O11" s="216"/>
      <c r="P11" s="216"/>
      <c r="Q11" s="216"/>
      <c r="R11" s="216"/>
      <c r="S11" s="276"/>
    </row>
    <row r="12" spans="1:19" x14ac:dyDescent="0.2">
      <c r="J12" s="278" t="s">
        <v>147</v>
      </c>
      <c r="K12" s="216"/>
      <c r="L12" s="216"/>
      <c r="M12" s="216"/>
      <c r="N12" s="216"/>
      <c r="O12" s="216"/>
      <c r="P12" s="216"/>
      <c r="Q12" s="216"/>
      <c r="R12" s="216"/>
      <c r="S12" s="276"/>
    </row>
    <row r="13" spans="1:19" ht="13.5" thickBot="1" x14ac:dyDescent="0.25">
      <c r="A13" s="212" t="s">
        <v>132</v>
      </c>
      <c r="B13" s="213" t="s">
        <v>133</v>
      </c>
      <c r="C13" s="214"/>
      <c r="J13" s="278"/>
      <c r="K13" s="216"/>
      <c r="L13" s="216"/>
      <c r="M13" s="216"/>
      <c r="N13" s="216"/>
      <c r="O13" s="216"/>
      <c r="P13" s="216"/>
      <c r="Q13" s="216"/>
      <c r="R13" s="216"/>
      <c r="S13" s="276"/>
    </row>
    <row r="14" spans="1:19" ht="13.5" thickTop="1" x14ac:dyDescent="0.2">
      <c r="A14" s="280"/>
      <c r="B14" s="217"/>
      <c r="C14" s="218"/>
      <c r="J14" s="278" t="s">
        <v>148</v>
      </c>
      <c r="K14" s="216"/>
      <c r="L14" s="216"/>
      <c r="M14" s="216"/>
      <c r="N14" s="216"/>
      <c r="O14" s="216"/>
      <c r="P14" s="216"/>
      <c r="Q14" s="216"/>
      <c r="R14" s="216"/>
      <c r="S14" s="276"/>
    </row>
    <row r="15" spans="1:19" x14ac:dyDescent="0.2">
      <c r="A15" s="280"/>
      <c r="B15" s="217"/>
      <c r="C15" s="218"/>
      <c r="J15" s="278" t="s">
        <v>149</v>
      </c>
      <c r="K15" s="216"/>
      <c r="L15" s="216"/>
      <c r="M15" s="216"/>
      <c r="N15" s="216"/>
      <c r="O15" s="216"/>
      <c r="P15" s="216"/>
      <c r="Q15" s="216"/>
      <c r="R15" s="216"/>
      <c r="S15" s="276"/>
    </row>
    <row r="16" spans="1:19" ht="13.5" thickBot="1" x14ac:dyDescent="0.25">
      <c r="A16" s="219"/>
      <c r="B16" s="221"/>
      <c r="C16" s="222"/>
      <c r="J16" s="275" t="s">
        <v>150</v>
      </c>
      <c r="K16" s="274"/>
      <c r="L16" s="274"/>
      <c r="M16" s="274"/>
      <c r="N16" s="274"/>
      <c r="O16" s="274"/>
      <c r="P16" s="274"/>
      <c r="Q16" s="274"/>
      <c r="R16" s="274"/>
      <c r="S16" s="271"/>
    </row>
    <row r="17" spans="1:22" ht="13.5" thickBot="1" x14ac:dyDescent="0.25"/>
    <row r="18" spans="1:22" x14ac:dyDescent="0.2">
      <c r="A18" s="223" t="s">
        <v>134</v>
      </c>
      <c r="B18" s="224"/>
      <c r="C18" s="224"/>
      <c r="D18" s="224"/>
      <c r="E18" s="224"/>
      <c r="F18" s="224"/>
      <c r="G18" s="215"/>
      <c r="H18" s="216"/>
      <c r="I18" s="216"/>
      <c r="J18" s="266" t="s">
        <v>151</v>
      </c>
      <c r="K18" s="265"/>
      <c r="L18" s="265"/>
      <c r="M18" s="265"/>
      <c r="N18" s="264"/>
      <c r="P18" s="279"/>
      <c r="Q18" s="325" t="s">
        <v>174</v>
      </c>
      <c r="R18" s="325"/>
      <c r="S18" s="325"/>
      <c r="T18" s="325"/>
      <c r="U18" s="325"/>
      <c r="V18" s="326"/>
    </row>
    <row r="19" spans="1:22" x14ac:dyDescent="0.2">
      <c r="A19" s="215"/>
      <c r="B19" s="269" t="s">
        <v>135</v>
      </c>
      <c r="C19" s="39"/>
      <c r="D19" s="216"/>
      <c r="E19" s="269" t="s">
        <v>138</v>
      </c>
      <c r="F19" s="235">
        <f>+C19*C20*5</f>
        <v>0</v>
      </c>
      <c r="G19" s="215"/>
      <c r="H19" s="216"/>
      <c r="I19" s="216"/>
      <c r="J19" s="278" t="s">
        <v>152</v>
      </c>
      <c r="K19" s="216"/>
      <c r="L19" s="261">
        <v>5</v>
      </c>
      <c r="M19" s="277" t="s">
        <v>177</v>
      </c>
      <c r="N19" s="276"/>
      <c r="P19" s="215"/>
      <c r="Q19" s="327" t="s">
        <v>173</v>
      </c>
      <c r="R19" s="327"/>
      <c r="S19" s="327"/>
      <c r="T19" s="328" t="s">
        <v>95</v>
      </c>
      <c r="U19" s="328"/>
      <c r="V19" s="329"/>
    </row>
    <row r="20" spans="1:22" ht="13.5" thickBot="1" x14ac:dyDescent="0.25">
      <c r="A20" s="215"/>
      <c r="B20" s="269" t="s">
        <v>136</v>
      </c>
      <c r="C20" s="39"/>
      <c r="D20" s="216"/>
      <c r="E20" s="270" t="s">
        <v>139</v>
      </c>
      <c r="F20" s="235">
        <f>+F19*52</f>
        <v>0</v>
      </c>
      <c r="G20" s="215"/>
      <c r="H20" s="216"/>
      <c r="I20" s="216"/>
      <c r="J20" s="275" t="s">
        <v>153</v>
      </c>
      <c r="K20" s="274"/>
      <c r="L20" s="273">
        <v>1</v>
      </c>
      <c r="M20" s="272" t="s">
        <v>177</v>
      </c>
      <c r="N20" s="271"/>
      <c r="P20" s="29" t="s">
        <v>37</v>
      </c>
      <c r="Q20" s="15" t="s">
        <v>40</v>
      </c>
      <c r="R20" s="15" t="s">
        <v>41</v>
      </c>
      <c r="S20" s="251" t="s">
        <v>42</v>
      </c>
      <c r="T20" s="15" t="s">
        <v>40</v>
      </c>
      <c r="U20" s="15" t="s">
        <v>41</v>
      </c>
      <c r="V20" s="251" t="s">
        <v>42</v>
      </c>
    </row>
    <row r="21" spans="1:22" ht="13.5" thickBot="1" x14ac:dyDescent="0.25">
      <c r="A21" s="215"/>
      <c r="B21" s="268" t="s">
        <v>176</v>
      </c>
      <c r="C21" s="39"/>
      <c r="D21" s="216"/>
      <c r="E21" s="270" t="s">
        <v>140</v>
      </c>
      <c r="F21" s="235">
        <f>+F20*C22</f>
        <v>0</v>
      </c>
      <c r="G21" s="215"/>
      <c r="H21" s="216"/>
      <c r="I21" s="216"/>
      <c r="P21" s="248">
        <v>120</v>
      </c>
      <c r="Q21" s="248">
        <v>2.246</v>
      </c>
      <c r="R21" s="248">
        <v>5.73</v>
      </c>
      <c r="S21" s="248">
        <v>0.54700000000000004</v>
      </c>
      <c r="T21" s="258">
        <v>3.8300000000000001E-2</v>
      </c>
      <c r="U21" s="248">
        <v>1.4200000000000001E-2</v>
      </c>
      <c r="V21" s="248">
        <v>0.65800000000000003</v>
      </c>
    </row>
    <row r="22" spans="1:22" x14ac:dyDescent="0.2">
      <c r="A22" s="215"/>
      <c r="B22" s="269" t="s">
        <v>137</v>
      </c>
      <c r="C22" s="39"/>
      <c r="D22" s="216"/>
      <c r="E22" s="268" t="s">
        <v>175</v>
      </c>
      <c r="F22" s="267">
        <f>+F19*C22/60</f>
        <v>0</v>
      </c>
      <c r="G22" s="215"/>
      <c r="H22" s="216"/>
      <c r="I22" s="216"/>
      <c r="J22" s="266" t="s">
        <v>154</v>
      </c>
      <c r="K22" s="265"/>
      <c r="L22" s="264"/>
      <c r="P22" s="248">
        <v>130</v>
      </c>
      <c r="Q22" s="262">
        <f>AVERAGE(Q21,Q23)</f>
        <v>2.1274999999999999</v>
      </c>
      <c r="R22" s="248">
        <f t="shared" ref="R22:S22" si="0">AVERAGE(R21,R23)</f>
        <v>4.8600000000000003</v>
      </c>
      <c r="S22" s="262">
        <f t="shared" si="0"/>
        <v>0.44450000000000001</v>
      </c>
      <c r="T22" s="263">
        <f>AVERAGE(T21,T23)</f>
        <v>3.5949999999999996E-2</v>
      </c>
      <c r="U22" s="248">
        <f t="shared" ref="U22:V22" si="1">AVERAGE(U21,U23)</f>
        <v>1.32E-2</v>
      </c>
      <c r="V22" s="262">
        <f t="shared" si="1"/>
        <v>0.58850000000000002</v>
      </c>
    </row>
    <row r="23" spans="1:22" x14ac:dyDescent="0.2">
      <c r="A23" s="219"/>
      <c r="B23" s="230" t="s">
        <v>115</v>
      </c>
      <c r="C23" s="39"/>
      <c r="D23" s="220"/>
      <c r="E23" s="220"/>
      <c r="F23" s="220"/>
      <c r="G23" s="215"/>
      <c r="H23" s="216"/>
      <c r="I23" s="216"/>
      <c r="J23" s="260" t="s">
        <v>155</v>
      </c>
      <c r="K23" s="226"/>
      <c r="L23" s="259">
        <v>0.27</v>
      </c>
      <c r="M23" s="216"/>
      <c r="N23" s="216"/>
      <c r="O23" s="216"/>
      <c r="P23" s="248">
        <v>140</v>
      </c>
      <c r="Q23" s="248">
        <v>2.0089999999999999</v>
      </c>
      <c r="R23" s="248">
        <v>3.99</v>
      </c>
      <c r="S23" s="248">
        <v>0.34200000000000003</v>
      </c>
      <c r="T23" s="258">
        <v>3.3599999999999998E-2</v>
      </c>
      <c r="U23" s="248">
        <v>1.2200000000000001E-2</v>
      </c>
      <c r="V23" s="248">
        <v>0.51900000000000002</v>
      </c>
    </row>
    <row r="24" spans="1:22" ht="13.5" thickBot="1" x14ac:dyDescent="0.25">
      <c r="J24" s="257" t="s">
        <v>156</v>
      </c>
      <c r="K24" s="256"/>
      <c r="L24" s="255">
        <v>0.79730000000000001</v>
      </c>
      <c r="M24" s="216"/>
      <c r="N24" s="216"/>
      <c r="O24" s="216"/>
      <c r="P24" s="254"/>
      <c r="Q24" s="325" t="s">
        <v>174</v>
      </c>
      <c r="R24" s="325"/>
      <c r="S24" s="325"/>
      <c r="T24" s="325"/>
      <c r="U24" s="325"/>
      <c r="V24" s="326"/>
    </row>
    <row r="25" spans="1:22" x14ac:dyDescent="0.2">
      <c r="A25" s="223" t="s">
        <v>157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173</v>
      </c>
      <c r="R25" s="242"/>
      <c r="S25" s="242"/>
      <c r="T25" s="253" t="s">
        <v>95</v>
      </c>
      <c r="U25" s="253"/>
      <c r="V25" s="252"/>
    </row>
    <row r="26" spans="1:22" x14ac:dyDescent="0.2">
      <c r="A26" s="282"/>
      <c r="B26" s="250"/>
      <c r="C26" s="250"/>
      <c r="D26" s="250"/>
      <c r="E26" s="250" t="s">
        <v>158</v>
      </c>
      <c r="F26" s="250"/>
      <c r="G26" s="250"/>
      <c r="H26" s="249" t="s">
        <v>159</v>
      </c>
      <c r="L26" s="210" t="s">
        <v>113</v>
      </c>
      <c r="P26" s="29" t="s">
        <v>37</v>
      </c>
      <c r="Q26" s="251" t="s">
        <v>40</v>
      </c>
      <c r="R26" s="251" t="s">
        <v>41</v>
      </c>
      <c r="S26" s="251" t="s">
        <v>42</v>
      </c>
      <c r="T26" s="251" t="s">
        <v>40</v>
      </c>
      <c r="U26" s="251" t="s">
        <v>41</v>
      </c>
      <c r="V26" s="251" t="s">
        <v>42</v>
      </c>
    </row>
    <row r="27" spans="1:22" ht="12.75" customHeight="1" x14ac:dyDescent="0.2">
      <c r="A27" s="282"/>
      <c r="B27" s="250" t="s">
        <v>112</v>
      </c>
      <c r="C27" s="235"/>
      <c r="D27" s="250"/>
      <c r="E27" s="250" t="s">
        <v>160</v>
      </c>
      <c r="F27" s="250" t="s">
        <v>161</v>
      </c>
      <c r="G27" s="250" t="s">
        <v>161</v>
      </c>
      <c r="H27" s="249" t="s">
        <v>48</v>
      </c>
      <c r="J27" s="330" t="s">
        <v>163</v>
      </c>
      <c r="K27" s="210" t="s">
        <v>158</v>
      </c>
      <c r="L27" s="210" t="s">
        <v>162</v>
      </c>
      <c r="P27" s="248">
        <f>C23</f>
        <v>0</v>
      </c>
      <c r="Q27" s="248" t="str">
        <f>IF($C$23="","",VLOOKUP($C$23,$P$21:$S$23,2))</f>
        <v/>
      </c>
      <c r="R27" s="248" t="str">
        <f>IF($C$23="","",VLOOKUP($C$23,$P$21:$S$23,3))</f>
        <v/>
      </c>
      <c r="S27" s="248" t="str">
        <f>IF($C$23="","",VLOOKUP($C$23,$P$21:$S$23,4))</f>
        <v/>
      </c>
      <c r="T27" s="248" t="str">
        <f>IF($C$23="","",VLOOKUP($C$23,$P$21:$V$23,5))</f>
        <v/>
      </c>
      <c r="U27" s="248" t="str">
        <f>IF($C$23="","",VLOOKUP($C$23,$P$21:$V$23,6))</f>
        <v/>
      </c>
      <c r="V27" s="248" t="str">
        <f>IF($C$23="","",VLOOKUP($C$23,$P$21:$V$23,7))</f>
        <v/>
      </c>
    </row>
    <row r="28" spans="1:22" ht="13.5" thickBot="1" x14ac:dyDescent="0.25">
      <c r="A28" s="283" t="s">
        <v>164</v>
      </c>
      <c r="B28" s="247" t="s">
        <v>165</v>
      </c>
      <c r="C28" s="247" t="s">
        <v>74</v>
      </c>
      <c r="D28" s="247" t="s">
        <v>166</v>
      </c>
      <c r="E28" s="247" t="s">
        <v>167</v>
      </c>
      <c r="F28" s="247" t="s">
        <v>183</v>
      </c>
      <c r="G28" s="247" t="s">
        <v>168</v>
      </c>
      <c r="H28" s="246" t="s">
        <v>122</v>
      </c>
      <c r="J28" s="330"/>
      <c r="K28" s="210" t="s">
        <v>184</v>
      </c>
      <c r="L28" s="210" t="s">
        <v>167</v>
      </c>
      <c r="M28" s="236" t="s">
        <v>172</v>
      </c>
      <c r="O28" s="236" t="s">
        <v>171</v>
      </c>
      <c r="P28" s="236" t="s">
        <v>170</v>
      </c>
    </row>
    <row r="29" spans="1:22" x14ac:dyDescent="0.2">
      <c r="A29" s="284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5" t="e">
        <f>+J29*(F29/1000)</f>
        <v>#DIV/0!</v>
      </c>
      <c r="L29" s="234" t="e">
        <f>IF(AND($F$21="",K29=""),"",$F$21*K29)</f>
        <v>#DIV/0!</v>
      </c>
      <c r="M29" s="243" t="e">
        <f t="shared" ref="M29:M44" si="5">+E29/(D29*L29)</f>
        <v>#VALUE!</v>
      </c>
      <c r="N29" s="243" t="e">
        <f t="shared" ref="N29:N44" si="6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4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ref="K30:K44" si="7">+J30*(F30/1000)</f>
        <v>#DIV/0!</v>
      </c>
      <c r="L30" s="234" t="e">
        <f t="shared" ref="L30:L44" si="8">IF(AND($F$21="",K30=""),"",$F$21*K30)</f>
        <v>#DIV/0!</v>
      </c>
      <c r="M30" s="243" t="e">
        <f t="shared" si="5"/>
        <v>#VALUE!</v>
      </c>
      <c r="N30" s="243" t="e">
        <f t="shared" si="6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4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7"/>
        <v>#DIV/0!</v>
      </c>
      <c r="L31" s="234" t="e">
        <f t="shared" si="8"/>
        <v>#DIV/0!</v>
      </c>
      <c r="M31" s="243" t="e">
        <f t="shared" si="5"/>
        <v>#VALUE!</v>
      </c>
      <c r="N31" s="243" t="e">
        <f t="shared" si="6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4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7"/>
        <v>#DIV/0!</v>
      </c>
      <c r="L32" s="234" t="e">
        <f t="shared" si="8"/>
        <v>#DIV/0!</v>
      </c>
      <c r="M32" s="243" t="e">
        <f t="shared" si="5"/>
        <v>#VALUE!</v>
      </c>
      <c r="N32" s="243" t="e">
        <f t="shared" si="6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4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7"/>
        <v>#DIV/0!</v>
      </c>
      <c r="L33" s="234" t="e">
        <f t="shared" si="8"/>
        <v>#DIV/0!</v>
      </c>
      <c r="M33" s="243" t="e">
        <f t="shared" si="5"/>
        <v>#VALUE!</v>
      </c>
      <c r="N33" s="243" t="e">
        <f t="shared" si="6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4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7"/>
        <v>#DIV/0!</v>
      </c>
      <c r="L34" s="234" t="e">
        <f t="shared" si="8"/>
        <v>#DIV/0!</v>
      </c>
      <c r="M34" s="243" t="e">
        <f t="shared" si="5"/>
        <v>#VALUE!</v>
      </c>
      <c r="N34" s="243" t="e">
        <f t="shared" si="6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4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7"/>
        <v>#DIV/0!</v>
      </c>
      <c r="L35" s="234" t="e">
        <f t="shared" si="8"/>
        <v>#DIV/0!</v>
      </c>
      <c r="M35" s="243" t="e">
        <f t="shared" si="5"/>
        <v>#VALUE!</v>
      </c>
      <c r="N35" s="243" t="e">
        <f t="shared" si="6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4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7"/>
        <v>#DIV/0!</v>
      </c>
      <c r="L36" s="234" t="e">
        <f t="shared" si="8"/>
        <v>#DIV/0!</v>
      </c>
      <c r="M36" s="243" t="e">
        <f t="shared" si="5"/>
        <v>#VALUE!</v>
      </c>
      <c r="N36" s="243" t="e">
        <f t="shared" si="6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4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7"/>
        <v>#DIV/0!</v>
      </c>
      <c r="L37" s="234" t="e">
        <f t="shared" si="8"/>
        <v>#DIV/0!</v>
      </c>
      <c r="M37" s="243" t="e">
        <f t="shared" si="5"/>
        <v>#VALUE!</v>
      </c>
      <c r="N37" s="243" t="e">
        <f t="shared" si="6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4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35" t="e">
        <f t="shared" si="7"/>
        <v>#DIV/0!</v>
      </c>
      <c r="L38" s="234" t="e">
        <f t="shared" si="8"/>
        <v>#DIV/0!</v>
      </c>
      <c r="M38" s="233" t="e">
        <f t="shared" si="5"/>
        <v>#VALUE!</v>
      </c>
      <c r="N38" s="233" t="e">
        <f t="shared" si="6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4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35" t="e">
        <f t="shared" si="7"/>
        <v>#DIV/0!</v>
      </c>
      <c r="L39" s="234" t="e">
        <f t="shared" si="8"/>
        <v>#DIV/0!</v>
      </c>
      <c r="M39" s="233" t="e">
        <f t="shared" si="5"/>
        <v>#VALUE!</v>
      </c>
      <c r="N39" s="233" t="e">
        <f t="shared" si="6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4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35" t="e">
        <f t="shared" si="7"/>
        <v>#DIV/0!</v>
      </c>
      <c r="L40" s="234" t="e">
        <f t="shared" si="8"/>
        <v>#DIV/0!</v>
      </c>
      <c r="M40" s="233" t="e">
        <f t="shared" si="5"/>
        <v>#VALUE!</v>
      </c>
      <c r="N40" s="233" t="e">
        <f t="shared" si="6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4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35" t="e">
        <f t="shared" si="7"/>
        <v>#DIV/0!</v>
      </c>
      <c r="L41" s="234" t="e">
        <f t="shared" si="8"/>
        <v>#DIV/0!</v>
      </c>
      <c r="M41" s="233" t="e">
        <f t="shared" si="5"/>
        <v>#VALUE!</v>
      </c>
      <c r="N41" s="233" t="e">
        <f t="shared" si="6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4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35" t="e">
        <f t="shared" si="7"/>
        <v>#DIV/0!</v>
      </c>
      <c r="L42" s="234" t="e">
        <f t="shared" si="8"/>
        <v>#DIV/0!</v>
      </c>
      <c r="M42" s="233" t="e">
        <f t="shared" si="5"/>
        <v>#VALUE!</v>
      </c>
      <c r="N42" s="233" t="e">
        <f t="shared" si="6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4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35" t="e">
        <f t="shared" si="7"/>
        <v>#DIV/0!</v>
      </c>
      <c r="L43" s="234" t="e">
        <f t="shared" si="8"/>
        <v>#DIV/0!</v>
      </c>
      <c r="M43" s="233" t="e">
        <f t="shared" si="5"/>
        <v>#VALUE!</v>
      </c>
      <c r="N43" s="233" t="e">
        <f t="shared" si="6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5"/>
      <c r="B44" s="286"/>
      <c r="C44" s="286"/>
      <c r="D44" s="286"/>
      <c r="E44" s="239" t="str">
        <f t="shared" si="2"/>
        <v/>
      </c>
      <c r="F44" s="286"/>
      <c r="G44" s="286"/>
      <c r="H44" s="238" t="e">
        <f t="shared" si="3"/>
        <v>#VALUE!</v>
      </c>
      <c r="J44" s="233" t="e">
        <f>+(G44/C44)^2</f>
        <v>#DIV/0!</v>
      </c>
      <c r="K44" s="235" t="e">
        <f t="shared" si="7"/>
        <v>#DIV/0!</v>
      </c>
      <c r="L44" s="234" t="e">
        <f t="shared" si="8"/>
        <v>#DIV/0!</v>
      </c>
      <c r="M44" s="233" t="e">
        <f t="shared" si="5"/>
        <v>#VALUE!</v>
      </c>
      <c r="N44" s="233" t="e">
        <f t="shared" si="6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169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57" fitToHeight="3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5" zoomScaleNormal="75" workbookViewId="0">
      <selection activeCell="A3" sqref="A3"/>
    </sheetView>
  </sheetViews>
  <sheetFormatPr defaultColWidth="10.6640625" defaultRowHeight="15.75" x14ac:dyDescent="0.25"/>
  <cols>
    <col min="1" max="1" width="17.6640625" style="145" customWidth="1"/>
    <col min="2" max="2" width="14" style="145" bestFit="1" customWidth="1"/>
    <col min="3" max="3" width="10.6640625" style="145"/>
    <col min="4" max="4" width="12.6640625" style="145" bestFit="1" customWidth="1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126</v>
      </c>
      <c r="I1" s="146" t="s">
        <v>103</v>
      </c>
      <c r="M1" s="147" t="s">
        <v>1</v>
      </c>
    </row>
    <row r="2" spans="1:22" x14ac:dyDescent="0.25">
      <c r="A2" s="144">
        <f>Table!B3</f>
        <v>0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104</v>
      </c>
      <c r="B5" s="148"/>
      <c r="D5" s="149" t="s">
        <v>105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106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107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108</v>
      </c>
      <c r="B12" s="145" t="s">
        <v>109</v>
      </c>
      <c r="F12" s="145" t="s">
        <v>110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111</v>
      </c>
      <c r="F14" s="145" t="s">
        <v>112</v>
      </c>
      <c r="G14" s="145" t="s">
        <v>113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114</v>
      </c>
      <c r="C15" s="145" t="s">
        <v>115</v>
      </c>
      <c r="D15" s="145" t="s">
        <v>116</v>
      </c>
      <c r="E15" s="145" t="s">
        <v>117</v>
      </c>
      <c r="F15" s="145" t="s">
        <v>165</v>
      </c>
      <c r="G15" s="145" t="s">
        <v>180</v>
      </c>
      <c r="H15" s="145" t="s">
        <v>181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119</v>
      </c>
      <c r="E18" s="167" t="s">
        <v>120</v>
      </c>
      <c r="F18" s="331" t="s">
        <v>121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112</v>
      </c>
      <c r="D19" s="167" t="s">
        <v>113</v>
      </c>
      <c r="E19" s="167" t="s">
        <v>113</v>
      </c>
      <c r="F19" s="331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117</v>
      </c>
      <c r="C20" s="168" t="s">
        <v>165</v>
      </c>
      <c r="D20" s="168" t="s">
        <v>180</v>
      </c>
      <c r="E20" s="168" t="s">
        <v>182</v>
      </c>
      <c r="F20" s="332"/>
      <c r="G20" s="168" t="s">
        <v>122</v>
      </c>
      <c r="H20" s="168" t="s">
        <v>118</v>
      </c>
      <c r="L20" s="333" t="s">
        <v>123</v>
      </c>
      <c r="M20" s="333"/>
      <c r="N20" s="333"/>
      <c r="O20" s="333"/>
      <c r="P20" s="333"/>
      <c r="Q20" s="333"/>
      <c r="R20" s="333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291" t="str">
        <f t="shared" ref="D21:D28" si="0">IF(A21="","",B21*RefOutput*(RefDist/C21)^2)</f>
        <v/>
      </c>
      <c r="E21" s="292"/>
      <c r="F21" s="170" t="str">
        <f>IF(OR(D21="TBD",D21=""),"",E21/(D21*1000))</f>
        <v/>
      </c>
      <c r="G21" s="171" t="str">
        <f>IF(M22="","",M22)</f>
        <v/>
      </c>
      <c r="H21" s="172" t="str">
        <f t="shared" ref="H21:H30" si="1">IF(M22="","",VLOOKUP(G21,$T$12:$U$47,2))</f>
        <v/>
      </c>
      <c r="L21" s="147" t="s">
        <v>124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291" t="str">
        <f t="shared" si="0"/>
        <v/>
      </c>
      <c r="E22" s="292"/>
      <c r="F22" s="170" t="str">
        <f t="shared" ref="F22:F28" si="2">IF(OR(D22="TBD",D22=""),"",E22/(D22*1000))</f>
        <v/>
      </c>
      <c r="G22" s="171" t="str">
        <f t="shared" ref="G22:G28" si="3">IF(M23="","",M23)</f>
        <v/>
      </c>
      <c r="H22" s="172" t="str">
        <f t="shared" si="1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291" t="str">
        <f t="shared" si="0"/>
        <v/>
      </c>
      <c r="E23" s="292"/>
      <c r="F23" s="170" t="str">
        <f t="shared" si="2"/>
        <v/>
      </c>
      <c r="G23" s="171" t="str">
        <f t="shared" si="3"/>
        <v/>
      </c>
      <c r="H23" s="172" t="str">
        <f t="shared" si="1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291" t="str">
        <f t="shared" si="0"/>
        <v/>
      </c>
      <c r="E24" s="292"/>
      <c r="F24" s="170" t="str">
        <f t="shared" si="2"/>
        <v/>
      </c>
      <c r="G24" s="171" t="str">
        <f t="shared" si="3"/>
        <v/>
      </c>
      <c r="H24" s="172" t="str">
        <f t="shared" si="1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291" t="str">
        <f t="shared" si="0"/>
        <v/>
      </c>
      <c r="E25" s="292"/>
      <c r="F25" s="170" t="str">
        <f t="shared" si="2"/>
        <v/>
      </c>
      <c r="G25" s="171" t="str">
        <f t="shared" si="3"/>
        <v/>
      </c>
      <c r="H25" s="172" t="str">
        <f t="shared" si="1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291" t="str">
        <f t="shared" si="0"/>
        <v/>
      </c>
      <c r="E26" s="292"/>
      <c r="F26" s="170" t="str">
        <f t="shared" si="2"/>
        <v/>
      </c>
      <c r="G26" s="171" t="str">
        <f t="shared" si="3"/>
        <v/>
      </c>
      <c r="H26" s="172" t="str">
        <f t="shared" si="1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0"/>
        <v/>
      </c>
      <c r="E27" s="165"/>
      <c r="F27" s="170" t="str">
        <f t="shared" si="2"/>
        <v/>
      </c>
      <c r="G27" s="171" t="str">
        <f t="shared" si="3"/>
        <v/>
      </c>
      <c r="H27" s="172" t="str">
        <f t="shared" si="1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0"/>
        <v/>
      </c>
      <c r="E28" s="165"/>
      <c r="F28" s="170" t="str">
        <f t="shared" si="2"/>
        <v/>
      </c>
      <c r="G28" s="171" t="str">
        <f t="shared" si="3"/>
        <v/>
      </c>
      <c r="H28" s="172" t="str">
        <f t="shared" si="1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1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1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125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309" t="s">
        <v>221</v>
      </c>
    </row>
    <row r="3" spans="1:2" x14ac:dyDescent="0.2">
      <c r="A3" t="s">
        <v>131</v>
      </c>
      <c r="B3" t="s">
        <v>222</v>
      </c>
    </row>
    <row r="4" spans="1:2" ht="51" x14ac:dyDescent="0.2">
      <c r="A4" s="308" t="s">
        <v>228</v>
      </c>
      <c r="B4">
        <v>1</v>
      </c>
    </row>
    <row r="5" spans="1:2" x14ac:dyDescent="0.2">
      <c r="A5" s="308" t="s">
        <v>223</v>
      </c>
      <c r="B5">
        <v>0.5</v>
      </c>
    </row>
    <row r="6" spans="1:2" x14ac:dyDescent="0.2">
      <c r="A6" s="308" t="s">
        <v>224</v>
      </c>
      <c r="B6">
        <v>0.2</v>
      </c>
    </row>
    <row r="7" spans="1:2" x14ac:dyDescent="0.2">
      <c r="A7" s="308" t="s">
        <v>225</v>
      </c>
      <c r="B7">
        <v>0.125</v>
      </c>
    </row>
    <row r="8" spans="1:2" ht="25.5" x14ac:dyDescent="0.2">
      <c r="A8" s="308" t="s">
        <v>226</v>
      </c>
      <c r="B8">
        <v>0.05</v>
      </c>
    </row>
    <row r="9" spans="1:2" ht="38.25" x14ac:dyDescent="0.2">
      <c r="A9" s="308" t="s">
        <v>227</v>
      </c>
      <c r="B9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9" sqref="F9"/>
    </sheetView>
  </sheetViews>
  <sheetFormatPr defaultRowHeight="12.75" x14ac:dyDescent="0.2"/>
  <cols>
    <col min="1" max="1" width="13.5" customWidth="1"/>
  </cols>
  <sheetData>
    <row r="1" spans="1:10" x14ac:dyDescent="0.2">
      <c r="A1" s="309" t="s">
        <v>229</v>
      </c>
    </row>
    <row r="3" spans="1:10" x14ac:dyDescent="0.2">
      <c r="B3" s="334" t="s">
        <v>230</v>
      </c>
      <c r="C3" s="334"/>
      <c r="D3" s="334"/>
      <c r="E3" s="334" t="s">
        <v>231</v>
      </c>
      <c r="F3" s="334"/>
      <c r="G3" s="334"/>
    </row>
    <row r="4" spans="1:10" ht="45" customHeight="1" x14ac:dyDescent="0.2">
      <c r="A4" s="314" t="s">
        <v>37</v>
      </c>
      <c r="B4" s="314" t="s">
        <v>232</v>
      </c>
      <c r="C4" s="314" t="s">
        <v>233</v>
      </c>
      <c r="D4" s="314" t="s">
        <v>234</v>
      </c>
      <c r="E4" s="314" t="s">
        <v>235</v>
      </c>
      <c r="F4" s="314" t="s">
        <v>236</v>
      </c>
      <c r="G4" s="314" t="s">
        <v>237</v>
      </c>
      <c r="H4" s="314" t="s">
        <v>238</v>
      </c>
      <c r="I4" s="314" t="s">
        <v>239</v>
      </c>
      <c r="J4" s="314" t="s">
        <v>240</v>
      </c>
    </row>
    <row r="5" spans="1:10" x14ac:dyDescent="0.2">
      <c r="A5">
        <v>25</v>
      </c>
      <c r="B5" s="311">
        <v>0</v>
      </c>
      <c r="C5" s="311">
        <v>0</v>
      </c>
      <c r="D5" s="311">
        <v>0</v>
      </c>
      <c r="E5" s="311">
        <v>0</v>
      </c>
      <c r="F5" s="311">
        <v>0</v>
      </c>
      <c r="G5" s="311">
        <v>0</v>
      </c>
      <c r="H5" s="311">
        <v>0.92500000000000004</v>
      </c>
      <c r="I5" s="311">
        <v>0</v>
      </c>
      <c r="J5" s="311">
        <v>0</v>
      </c>
    </row>
    <row r="6" spans="1:10" x14ac:dyDescent="0.2">
      <c r="A6">
        <v>30</v>
      </c>
      <c r="B6" s="311">
        <v>0</v>
      </c>
      <c r="C6" s="311">
        <v>0</v>
      </c>
      <c r="D6" s="311">
        <v>0</v>
      </c>
      <c r="E6" s="311">
        <v>0</v>
      </c>
      <c r="F6" s="311">
        <v>0</v>
      </c>
      <c r="G6" s="311">
        <v>0</v>
      </c>
      <c r="H6" s="311">
        <v>4.67</v>
      </c>
      <c r="I6" s="311">
        <v>0</v>
      </c>
      <c r="J6" s="311">
        <v>0</v>
      </c>
    </row>
    <row r="7" spans="1:10" x14ac:dyDescent="0.2">
      <c r="A7">
        <v>35</v>
      </c>
      <c r="B7" s="311">
        <v>0</v>
      </c>
      <c r="C7" s="311">
        <v>0</v>
      </c>
      <c r="D7" s="311">
        <v>0</v>
      </c>
      <c r="E7" s="311">
        <v>0</v>
      </c>
      <c r="F7" s="311">
        <v>0</v>
      </c>
      <c r="G7" s="311">
        <v>0</v>
      </c>
      <c r="H7" s="311">
        <v>1.1000000000000001</v>
      </c>
      <c r="I7" s="311">
        <v>0</v>
      </c>
      <c r="J7" s="311">
        <v>0</v>
      </c>
    </row>
    <row r="8" spans="1:10" x14ac:dyDescent="0.2">
      <c r="A8">
        <v>40</v>
      </c>
      <c r="B8" s="311">
        <v>1.3799999999999999E-4</v>
      </c>
      <c r="C8" s="311">
        <v>0</v>
      </c>
      <c r="D8" s="311">
        <v>1.3799999999999999E-4</v>
      </c>
      <c r="E8" s="311">
        <v>0</v>
      </c>
      <c r="F8" s="311">
        <v>0</v>
      </c>
      <c r="G8" s="311">
        <v>0</v>
      </c>
      <c r="H8" s="311">
        <v>0</v>
      </c>
      <c r="I8" s="311">
        <v>0</v>
      </c>
      <c r="J8" s="311">
        <v>0</v>
      </c>
    </row>
    <row r="9" spans="1:10" x14ac:dyDescent="0.2">
      <c r="A9">
        <v>45</v>
      </c>
      <c r="B9" s="311">
        <v>7.1000000000000002E-4</v>
      </c>
      <c r="C9" s="311">
        <v>0</v>
      </c>
      <c r="D9" s="311">
        <v>7.1000000000000002E-4</v>
      </c>
      <c r="E9" s="311">
        <v>0</v>
      </c>
      <c r="F9" s="311">
        <v>5.7799999999999995E-4</v>
      </c>
      <c r="G9" s="311">
        <v>0</v>
      </c>
      <c r="H9" s="311">
        <v>0</v>
      </c>
      <c r="I9" s="311">
        <v>0</v>
      </c>
      <c r="J9" s="311">
        <v>0</v>
      </c>
    </row>
    <row r="10" spans="1:10" x14ac:dyDescent="0.2">
      <c r="A10">
        <v>50</v>
      </c>
      <c r="B10" s="311">
        <v>8.4799999999999997E-3</v>
      </c>
      <c r="C10" s="311">
        <v>6.7799999999999996E-3</v>
      </c>
      <c r="D10" s="311">
        <v>1.6999999999999999E-3</v>
      </c>
      <c r="E10" s="311">
        <v>0</v>
      </c>
      <c r="F10" s="311">
        <v>7.6499999999999995E-4</v>
      </c>
      <c r="G10" s="311">
        <v>0</v>
      </c>
      <c r="H10" s="311">
        <v>0</v>
      </c>
      <c r="I10" s="311">
        <v>0.34</v>
      </c>
      <c r="J10" s="311">
        <v>8.9399999999999993E-2</v>
      </c>
    </row>
    <row r="11" spans="1:10" x14ac:dyDescent="0.2">
      <c r="A11">
        <v>55</v>
      </c>
      <c r="B11" s="311">
        <v>1.09E-2</v>
      </c>
      <c r="C11" s="311">
        <v>4.5600000000000003E-4</v>
      </c>
      <c r="D11" s="311">
        <v>1.04E-2</v>
      </c>
      <c r="E11" s="311">
        <v>7.0199999999999999E-2</v>
      </c>
      <c r="F11" s="311">
        <v>7.2599999999999997E-4</v>
      </c>
      <c r="G11" s="311">
        <v>0</v>
      </c>
      <c r="H11" s="311">
        <v>0</v>
      </c>
      <c r="I11" s="311">
        <v>0.42</v>
      </c>
      <c r="J11" s="311">
        <v>3.9800000000000002E-2</v>
      </c>
    </row>
    <row r="12" spans="1:10" x14ac:dyDescent="0.2">
      <c r="A12">
        <v>60</v>
      </c>
      <c r="B12" s="311">
        <v>9.8100000000000007E-2</v>
      </c>
      <c r="C12" s="311">
        <v>8.9599999999999992E-3</v>
      </c>
      <c r="D12" s="311">
        <v>8.9099999999999999E-2</v>
      </c>
      <c r="E12" s="311">
        <v>0.113</v>
      </c>
      <c r="F12" s="311">
        <v>1.52E-2</v>
      </c>
      <c r="G12" s="311">
        <v>0</v>
      </c>
      <c r="H12" s="311">
        <v>0</v>
      </c>
      <c r="I12" s="311">
        <v>1.96</v>
      </c>
      <c r="J12" s="311">
        <v>0.69899999999999995</v>
      </c>
    </row>
    <row r="13" spans="1:10" x14ac:dyDescent="0.2">
      <c r="A13">
        <v>65</v>
      </c>
      <c r="B13" s="311">
        <v>0.104</v>
      </c>
      <c r="C13" s="311">
        <v>3.4200000000000001E-2</v>
      </c>
      <c r="D13" s="311">
        <v>7.0000000000000007E-2</v>
      </c>
      <c r="E13" s="311">
        <v>0.187</v>
      </c>
      <c r="F13" s="311">
        <v>2.52E-2</v>
      </c>
      <c r="G13" s="311">
        <v>0</v>
      </c>
      <c r="H13" s="311">
        <v>0</v>
      </c>
      <c r="I13" s="311">
        <v>4.55</v>
      </c>
      <c r="J13" s="311">
        <v>15</v>
      </c>
    </row>
    <row r="14" spans="1:10" x14ac:dyDescent="0.2">
      <c r="A14">
        <v>70</v>
      </c>
      <c r="B14" s="311">
        <v>0.45800000000000002</v>
      </c>
      <c r="C14" s="311">
        <v>7.2499999999999995E-2</v>
      </c>
      <c r="D14" s="311">
        <v>0.38500000000000001</v>
      </c>
      <c r="E14" s="311">
        <v>0.14499999999999999</v>
      </c>
      <c r="F14" s="311">
        <v>8.8900000000000007E-2</v>
      </c>
      <c r="G14" s="311">
        <v>2.0199999999999999E-2</v>
      </c>
      <c r="H14" s="311">
        <v>0</v>
      </c>
      <c r="I14" s="311">
        <v>6.03</v>
      </c>
      <c r="J14" s="311">
        <v>12.2</v>
      </c>
    </row>
    <row r="15" spans="1:10" x14ac:dyDescent="0.2">
      <c r="A15">
        <v>75</v>
      </c>
      <c r="B15" s="311">
        <v>0.501</v>
      </c>
      <c r="C15" s="311">
        <v>9.5299999999999996E-2</v>
      </c>
      <c r="D15" s="311">
        <v>0.40500000000000003</v>
      </c>
      <c r="E15" s="311">
        <v>0.19400000000000001</v>
      </c>
      <c r="F15" s="311">
        <v>0.224</v>
      </c>
      <c r="G15" s="311">
        <v>2.3600000000000001E-3</v>
      </c>
      <c r="H15" s="311">
        <v>0</v>
      </c>
      <c r="I15" s="311">
        <v>8.02</v>
      </c>
      <c r="J15" s="311">
        <v>15.3</v>
      </c>
    </row>
    <row r="16" spans="1:10" x14ac:dyDescent="0.2">
      <c r="A16">
        <v>80</v>
      </c>
      <c r="B16" s="311">
        <v>0.56000000000000005</v>
      </c>
      <c r="C16" s="311">
        <v>0.14000000000000001</v>
      </c>
      <c r="D16" s="311">
        <v>0.42</v>
      </c>
      <c r="E16" s="311">
        <v>1.72</v>
      </c>
      <c r="F16" s="311">
        <v>0.42799999999999999</v>
      </c>
      <c r="G16" s="311">
        <v>0</v>
      </c>
      <c r="H16" s="311">
        <v>0</v>
      </c>
      <c r="I16" s="311">
        <v>25.4</v>
      </c>
      <c r="J16" s="311">
        <v>11</v>
      </c>
    </row>
    <row r="17" spans="1:10" x14ac:dyDescent="0.2">
      <c r="A17">
        <v>85</v>
      </c>
      <c r="B17" s="311">
        <v>0.315</v>
      </c>
      <c r="C17" s="311">
        <v>6.6199999999999995E-2</v>
      </c>
      <c r="D17" s="311">
        <v>0.249</v>
      </c>
      <c r="E17" s="311">
        <v>2.19</v>
      </c>
      <c r="F17" s="311">
        <v>0.218</v>
      </c>
      <c r="G17" s="311">
        <v>7.8299999999999995E-4</v>
      </c>
      <c r="H17" s="311">
        <v>0</v>
      </c>
      <c r="I17" s="311">
        <v>40.299999999999997</v>
      </c>
      <c r="J17" s="311">
        <v>4.09</v>
      </c>
    </row>
    <row r="18" spans="1:10" x14ac:dyDescent="0.2">
      <c r="A18">
        <v>90</v>
      </c>
      <c r="B18" s="311">
        <v>0.17599999999999999</v>
      </c>
      <c r="C18" s="311">
        <v>1.41E-2</v>
      </c>
      <c r="D18" s="311">
        <v>0.16200000000000001</v>
      </c>
      <c r="E18" s="311">
        <v>1.46</v>
      </c>
      <c r="F18" s="311">
        <v>5.33E-2</v>
      </c>
      <c r="G18" s="311">
        <v>0</v>
      </c>
      <c r="H18" s="311">
        <v>0</v>
      </c>
      <c r="I18" s="311">
        <v>21</v>
      </c>
      <c r="J18" s="311">
        <v>3.43</v>
      </c>
    </row>
    <row r="19" spans="1:10" x14ac:dyDescent="0.2">
      <c r="A19">
        <v>95</v>
      </c>
      <c r="B19" s="311">
        <v>2.18E-2</v>
      </c>
      <c r="C19" s="311">
        <v>3.5100000000000001E-3</v>
      </c>
      <c r="D19" s="311">
        <v>1.8200000000000001E-2</v>
      </c>
      <c r="E19" s="311">
        <v>1.1499999999999999</v>
      </c>
      <c r="F19" s="311">
        <v>4.8899999999999999E-2</v>
      </c>
      <c r="G19" s="311">
        <v>0</v>
      </c>
      <c r="H19" s="311">
        <v>0</v>
      </c>
      <c r="I19" s="311">
        <v>10.6</v>
      </c>
      <c r="J19" s="311">
        <v>0.67300000000000004</v>
      </c>
    </row>
    <row r="20" spans="1:10" x14ac:dyDescent="0.2">
      <c r="A20">
        <v>100</v>
      </c>
      <c r="B20" s="311">
        <v>1.55E-2</v>
      </c>
      <c r="C20" s="311">
        <v>8.8400000000000002E-4</v>
      </c>
      <c r="D20" s="311">
        <v>1.46E-2</v>
      </c>
      <c r="E20" s="311">
        <v>1.1200000000000001</v>
      </c>
      <c r="F20" s="311">
        <v>5.8700000000000002E-2</v>
      </c>
      <c r="G20" s="311">
        <v>3.0099999999999998E-2</v>
      </c>
      <c r="H20" s="311">
        <v>0</v>
      </c>
      <c r="I20" s="311">
        <v>7.4</v>
      </c>
      <c r="J20" s="311">
        <v>1.53</v>
      </c>
    </row>
    <row r="21" spans="1:10" x14ac:dyDescent="0.2">
      <c r="A21">
        <v>105</v>
      </c>
      <c r="B21" s="311">
        <v>3.48E-3</v>
      </c>
      <c r="C21" s="311">
        <v>1.97E-3</v>
      </c>
      <c r="D21" s="311">
        <v>1.5100000000000001E-3</v>
      </c>
      <c r="E21" s="311">
        <v>0.96399999999999997</v>
      </c>
      <c r="F21" s="311">
        <v>1.0500000000000001E-2</v>
      </c>
      <c r="G21" s="311">
        <v>0</v>
      </c>
      <c r="H21" s="311">
        <v>0</v>
      </c>
      <c r="I21" s="311">
        <v>7.02</v>
      </c>
      <c r="J21" s="311">
        <v>9.2700000000000005E-2</v>
      </c>
    </row>
    <row r="22" spans="1:10" x14ac:dyDescent="0.2">
      <c r="A22">
        <v>110</v>
      </c>
      <c r="B22" s="311">
        <v>1.0500000000000001E-2</v>
      </c>
      <c r="C22" s="311">
        <v>9.9100000000000004E-3</v>
      </c>
      <c r="D22" s="311">
        <v>5.5099999999999995E-4</v>
      </c>
      <c r="E22" s="311">
        <v>0.747</v>
      </c>
      <c r="F22" s="311">
        <v>6.4600000000000005E-2</v>
      </c>
      <c r="G22" s="311">
        <v>2.1399999999999999E-2</v>
      </c>
      <c r="H22" s="311">
        <v>0</v>
      </c>
      <c r="I22" s="311">
        <v>6.59</v>
      </c>
      <c r="J22" s="311">
        <v>3.0499999999999999E-2</v>
      </c>
    </row>
    <row r="23" spans="1:10" x14ac:dyDescent="0.2">
      <c r="A23">
        <v>115</v>
      </c>
      <c r="B23" s="311">
        <v>4.1000000000000002E-2</v>
      </c>
      <c r="C23" s="311">
        <v>3.7400000000000003E-2</v>
      </c>
      <c r="D23" s="311">
        <v>3.6900000000000001E-3</v>
      </c>
      <c r="E23" s="311">
        <v>1.44</v>
      </c>
      <c r="F23" s="311">
        <v>2.9000000000000001E-2</v>
      </c>
      <c r="G23" s="311">
        <v>9.3600000000000003E-2</v>
      </c>
      <c r="H23" s="311">
        <v>0</v>
      </c>
      <c r="I23" s="311">
        <v>13.8</v>
      </c>
      <c r="J23" s="311">
        <v>0</v>
      </c>
    </row>
    <row r="24" spans="1:10" x14ac:dyDescent="0.2">
      <c r="A24">
        <v>120</v>
      </c>
      <c r="B24" s="311">
        <v>6.9900000000000004E-2</v>
      </c>
      <c r="C24" s="311">
        <v>5.1200000000000002E-2</v>
      </c>
      <c r="D24" s="311">
        <v>1.8700000000000001E-2</v>
      </c>
      <c r="E24" s="311">
        <v>0.93700000000000006</v>
      </c>
      <c r="F24" s="311">
        <v>0.104</v>
      </c>
      <c r="G24" s="311">
        <v>4.7399999999999998E-2</v>
      </c>
      <c r="H24" s="311">
        <v>0</v>
      </c>
      <c r="I24" s="311">
        <v>3.35</v>
      </c>
      <c r="J24" s="311">
        <v>0</v>
      </c>
    </row>
    <row r="25" spans="1:10" x14ac:dyDescent="0.2">
      <c r="A25">
        <v>125</v>
      </c>
      <c r="B25" s="311">
        <v>4.8399999999999999E-2</v>
      </c>
      <c r="C25" s="311">
        <v>4.8099999999999997E-2</v>
      </c>
      <c r="D25" s="311">
        <v>3.4699999999999998E-4</v>
      </c>
      <c r="E25" s="311">
        <v>0.13800000000000001</v>
      </c>
      <c r="F25" s="311">
        <v>8.1299999999999997E-2</v>
      </c>
      <c r="G25" s="311">
        <v>0</v>
      </c>
      <c r="H25" s="311">
        <v>0</v>
      </c>
      <c r="I25" s="311">
        <v>2.75</v>
      </c>
      <c r="J25" s="311">
        <v>0</v>
      </c>
    </row>
    <row r="26" spans="1:10" x14ac:dyDescent="0.2">
      <c r="A26">
        <v>130</v>
      </c>
      <c r="B26" s="311">
        <v>1.8400000000000001E-3</v>
      </c>
      <c r="C26" s="311">
        <v>1.7099999999999999E-3</v>
      </c>
      <c r="D26" s="311">
        <v>1.25E-4</v>
      </c>
      <c r="E26" s="311">
        <v>0.153</v>
      </c>
      <c r="F26" s="311">
        <v>4.4600000000000001E-2</v>
      </c>
      <c r="G26" s="311">
        <v>0</v>
      </c>
      <c r="H26" s="311">
        <v>0</v>
      </c>
      <c r="I26" s="311">
        <v>3.1E-2</v>
      </c>
      <c r="J26" s="311">
        <v>0</v>
      </c>
    </row>
    <row r="27" spans="1:10" x14ac:dyDescent="0.2">
      <c r="A27">
        <v>135</v>
      </c>
      <c r="B27" s="311">
        <v>7.7299999999999999E-3</v>
      </c>
      <c r="C27" s="311">
        <v>7.7299999999999999E-3</v>
      </c>
      <c r="D27" s="311">
        <v>0</v>
      </c>
      <c r="E27" s="311">
        <v>0.14599999999999999</v>
      </c>
      <c r="F27" s="311">
        <v>9.4699999999999993E-3</v>
      </c>
      <c r="G27" s="311">
        <v>0</v>
      </c>
      <c r="H27" s="311">
        <v>0</v>
      </c>
      <c r="I27" s="311">
        <v>0</v>
      </c>
      <c r="J27" s="311">
        <v>0</v>
      </c>
    </row>
    <row r="28" spans="1:10" x14ac:dyDescent="0.2">
      <c r="A28">
        <v>140</v>
      </c>
      <c r="B28" s="311">
        <v>0</v>
      </c>
      <c r="C28" s="311">
        <v>0</v>
      </c>
      <c r="D28" s="311">
        <v>0</v>
      </c>
      <c r="E28" s="311">
        <v>1.9199999999999998E-2</v>
      </c>
      <c r="F28" s="311">
        <v>4.2599999999999999E-3</v>
      </c>
      <c r="G28" s="311">
        <v>0</v>
      </c>
      <c r="H28" s="311">
        <v>0</v>
      </c>
      <c r="I28" s="311">
        <v>0</v>
      </c>
      <c r="J28" s="311">
        <v>0</v>
      </c>
    </row>
    <row r="29" spans="1:10" x14ac:dyDescent="0.2">
      <c r="A29" t="s">
        <v>241</v>
      </c>
      <c r="B29" s="310">
        <f>SUM(B5:B28)</f>
        <v>2.4524780000000002</v>
      </c>
      <c r="C29" s="310">
        <f t="shared" ref="C29:J29" si="0">SUM(C5:C28)</f>
        <v>0.60091000000000006</v>
      </c>
      <c r="D29" s="310">
        <f t="shared" si="0"/>
        <v>1.8507709999999995</v>
      </c>
      <c r="E29" s="310">
        <f t="shared" si="0"/>
        <v>12.8934</v>
      </c>
      <c r="F29" s="310">
        <f t="shared" si="0"/>
        <v>1.5099989999999996</v>
      </c>
      <c r="G29" s="310">
        <f t="shared" si="0"/>
        <v>0.21584300000000001</v>
      </c>
      <c r="H29" s="310">
        <f t="shared" si="0"/>
        <v>6.6950000000000003</v>
      </c>
      <c r="I29" s="310">
        <f t="shared" si="0"/>
        <v>159.56100000000001</v>
      </c>
      <c r="J29" s="310">
        <f t="shared" si="0"/>
        <v>64.174399999999991</v>
      </c>
    </row>
    <row r="30" spans="1:10" x14ac:dyDescent="0.2">
      <c r="A30" t="s">
        <v>242</v>
      </c>
      <c r="B30" s="334">
        <v>110</v>
      </c>
      <c r="C30" s="334"/>
      <c r="D30" s="334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309" t="s">
        <v>243</v>
      </c>
    </row>
    <row r="2" spans="1:6" x14ac:dyDescent="0.2">
      <c r="A2" s="309" t="s">
        <v>244</v>
      </c>
    </row>
    <row r="3" spans="1:6" ht="24" customHeight="1" x14ac:dyDescent="0.2">
      <c r="C3" s="335" t="s">
        <v>245</v>
      </c>
      <c r="D3" s="335"/>
      <c r="E3" s="335" t="s">
        <v>246</v>
      </c>
      <c r="F3" s="335"/>
    </row>
    <row r="4" spans="1:6" s="308" customFormat="1" ht="23.25" customHeight="1" x14ac:dyDescent="0.2">
      <c r="A4" s="314" t="s">
        <v>247</v>
      </c>
      <c r="B4" s="314" t="s">
        <v>248</v>
      </c>
      <c r="C4" s="314" t="s">
        <v>249</v>
      </c>
      <c r="D4" s="314" t="s">
        <v>250</v>
      </c>
      <c r="E4" s="314" t="s">
        <v>249</v>
      </c>
      <c r="F4" s="314" t="s">
        <v>250</v>
      </c>
    </row>
    <row r="5" spans="1:6" x14ac:dyDescent="0.2">
      <c r="A5" t="s">
        <v>251</v>
      </c>
      <c r="B5" s="208">
        <f>NCRP147_4.2!C29</f>
        <v>0.60091000000000006</v>
      </c>
      <c r="C5">
        <v>120</v>
      </c>
      <c r="D5">
        <v>160</v>
      </c>
      <c r="E5" s="312">
        <f>$B$5*C5</f>
        <v>72.109200000000001</v>
      </c>
      <c r="F5" s="312">
        <f>$B$5*D5</f>
        <v>96.145600000000002</v>
      </c>
    </row>
    <row r="6" spans="1:6" x14ac:dyDescent="0.2">
      <c r="A6" t="s">
        <v>234</v>
      </c>
      <c r="B6" s="208">
        <f>NCRP147_4.2!D29</f>
        <v>1.8507709999999995</v>
      </c>
      <c r="C6">
        <v>120</v>
      </c>
      <c r="D6">
        <v>160</v>
      </c>
      <c r="E6" s="312">
        <f t="shared" ref="E6:E12" si="0">$B$5*C6</f>
        <v>72.109200000000001</v>
      </c>
      <c r="F6" s="312">
        <f t="shared" ref="F6:F12" si="1">$B$5*D6</f>
        <v>96.145600000000002</v>
      </c>
    </row>
    <row r="7" spans="1:6" x14ac:dyDescent="0.2">
      <c r="A7" t="s">
        <v>237</v>
      </c>
      <c r="B7" s="208">
        <f>NCRP147_4.2!G29</f>
        <v>0.21584300000000001</v>
      </c>
      <c r="C7">
        <v>200</v>
      </c>
      <c r="D7">
        <v>400</v>
      </c>
      <c r="E7" s="312">
        <f t="shared" si="0"/>
        <v>120.18200000000002</v>
      </c>
      <c r="F7" s="312">
        <f t="shared" si="1"/>
        <v>240.36400000000003</v>
      </c>
    </row>
    <row r="8" spans="1:6" x14ac:dyDescent="0.2">
      <c r="A8" t="s">
        <v>235</v>
      </c>
      <c r="B8" s="208">
        <f>NCRP147_4.2!E29</f>
        <v>12.8934</v>
      </c>
      <c r="C8">
        <v>20</v>
      </c>
      <c r="D8">
        <v>30</v>
      </c>
      <c r="E8" s="312">
        <f t="shared" si="0"/>
        <v>12.0182</v>
      </c>
      <c r="F8" s="312">
        <f t="shared" si="1"/>
        <v>18.0273</v>
      </c>
    </row>
    <row r="9" spans="1:6" x14ac:dyDescent="0.2">
      <c r="A9" t="s">
        <v>236</v>
      </c>
      <c r="B9" s="208">
        <f>NCRP147_4.2!F29</f>
        <v>1.5099989999999996</v>
      </c>
      <c r="C9">
        <v>25</v>
      </c>
      <c r="D9">
        <v>40</v>
      </c>
      <c r="E9" s="312">
        <f t="shared" si="0"/>
        <v>15.022750000000002</v>
      </c>
      <c r="F9" s="312">
        <f t="shared" si="1"/>
        <v>24.0364</v>
      </c>
    </row>
    <row r="10" spans="1:6" x14ac:dyDescent="0.2">
      <c r="A10" t="s">
        <v>252</v>
      </c>
      <c r="B10" s="208">
        <f>NCRP147_4.2!H29</f>
        <v>6.6950000000000003</v>
      </c>
      <c r="C10">
        <v>80</v>
      </c>
      <c r="D10">
        <v>160</v>
      </c>
      <c r="E10" s="312">
        <f t="shared" si="0"/>
        <v>48.072800000000001</v>
      </c>
      <c r="F10" s="312">
        <f t="shared" si="1"/>
        <v>96.145600000000002</v>
      </c>
    </row>
    <row r="11" spans="1:6" x14ac:dyDescent="0.2">
      <c r="A11" t="s">
        <v>239</v>
      </c>
      <c r="B11" s="208">
        <f>NCRP147_4.2!I29</f>
        <v>159.56100000000001</v>
      </c>
      <c r="C11">
        <v>20</v>
      </c>
      <c r="D11">
        <v>30</v>
      </c>
      <c r="E11" s="312">
        <f t="shared" si="0"/>
        <v>12.0182</v>
      </c>
      <c r="F11" s="312">
        <f t="shared" si="1"/>
        <v>18.0273</v>
      </c>
    </row>
    <row r="12" spans="1:6" x14ac:dyDescent="0.2">
      <c r="A12" t="s">
        <v>240</v>
      </c>
      <c r="B12" s="208">
        <f>NCRP147_4.2!J29</f>
        <v>64.174399999999991</v>
      </c>
      <c r="C12">
        <v>20</v>
      </c>
      <c r="D12">
        <v>30</v>
      </c>
      <c r="E12" s="312">
        <f t="shared" si="0"/>
        <v>12.0182</v>
      </c>
      <c r="F12" s="312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309" t="s">
        <v>253</v>
      </c>
    </row>
    <row r="3" spans="1:2" x14ac:dyDescent="0.2">
      <c r="A3" t="s">
        <v>67</v>
      </c>
      <c r="B3" t="s">
        <v>254</v>
      </c>
    </row>
    <row r="4" spans="1:2" x14ac:dyDescent="0.2">
      <c r="A4" t="s">
        <v>210</v>
      </c>
      <c r="B4">
        <v>0.89</v>
      </c>
    </row>
    <row r="5" spans="1:2" x14ac:dyDescent="0.2">
      <c r="A5" t="s">
        <v>255</v>
      </c>
      <c r="B5">
        <v>0.09</v>
      </c>
    </row>
    <row r="6" spans="1:2" x14ac:dyDescent="0.2">
      <c r="A6" t="s">
        <v>256</v>
      </c>
      <c r="B6">
        <v>0.02</v>
      </c>
    </row>
    <row r="7" spans="1:2" x14ac:dyDescent="0.2">
      <c r="A7" t="s">
        <v>257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2017-12-13T19:01:46Z</dcterms:modified>
</cp:coreProperties>
</file>