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/>
  </bookViews>
  <sheets>
    <sheet name="Table" sheetId="1" r:id="rId1"/>
    <sheet name="RadFluoro" sheetId="2" r:id="rId2"/>
    <sheet name="Fluoro" sheetId="3" r:id="rId3"/>
    <sheet name="NM" sheetId="4" r:id="rId4"/>
    <sheet name="CT" sheetId="5" r:id="rId5"/>
    <sheet name="ShieldEvaluation" sheetId="6" r:id="rId6"/>
    <sheet name="FitParameters" sheetId="7" r:id="rId7"/>
    <sheet name="NCRP147_4.1" sheetId="8" r:id="rId8"/>
    <sheet name="NCRP147_4.2" sheetId="9" r:id="rId9"/>
    <sheet name="NCRP147_4.3" sheetId="10" r:id="rId10"/>
    <sheet name="NCRP147_4.4" sheetId="11" r:id="rId11"/>
    <sheet name="NCRP147_4.5" sheetId="12" r:id="rId12"/>
    <sheet name="NCRP147_4.7" sheetId="13" r:id="rId13"/>
    <sheet name="NCRP147_5.2" sheetId="14" r:id="rId14"/>
    <sheet name="NCRP147_A1" sheetId="15" r:id="rId15"/>
    <sheet name="NCRP147_B1" sheetId="16" r:id="rId16"/>
    <sheet name="NCRP147_C1" sheetId="17" r:id="rId17"/>
    <sheet name="W_Rh_Al_Ag" sheetId="18" r:id="rId18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 localSheetId="2">Fluoro!$B$5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4">CT!$A$1:$H$50</definedName>
    <definedName name="_xlnm.Print_Area" localSheetId="2">Fluoro!$A$1:$L$41</definedName>
    <definedName name="_xlnm.Print_Area" localSheetId="3">NM!$A$1:$Q$73</definedName>
    <definedName name="_xlnm.Print_Area" localSheetId="1">RadFluoro!$A$1:$N$66</definedName>
    <definedName name="_xlnm.Print_Area" localSheetId="5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  <definedName name="Z_488A6099_7FEF_4C88_B110_024D46F0253F_.wvu.PrintArea" localSheetId="4" hidden="1">CT!$A$1:$H$50</definedName>
    <definedName name="Z_488A6099_7FEF_4C88_B110_024D46F0253F_.wvu.PrintArea" localSheetId="2" hidden="1">Fluoro!$A$1:$L$41</definedName>
    <definedName name="Z_488A6099_7FEF_4C88_B110_024D46F0253F_.wvu.PrintArea" localSheetId="3" hidden="1">NM!$A$1:$Q$73</definedName>
    <definedName name="Z_488A6099_7FEF_4C88_B110_024D46F0253F_.wvu.PrintArea" localSheetId="1" hidden="1">RadFluoro!$A$1:$N$66</definedName>
    <definedName name="Z_488A6099_7FEF_4C88_B110_024D46F0253F_.wvu.PrintArea" localSheetId="5" hidden="1">ShieldEvaluation!$A$1:$H$34</definedName>
    <definedName name="Z_488A6099_7FEF_4C88_B110_024D46F0253F_.wvu.PrintArea" localSheetId="0" hidden="1">Table!$A$1:$N$112</definedName>
  </definedNames>
  <calcPr calcId="162913" iterateCount="1"/>
  <customWorkbookViews>
    <customWorkbookView name="Eugene Mah - Personal View" guid="{488A6099-7FEF-4C88-B110-024D46F0253F}" mergeInterval="0" personalView="1" maximized="1" xWindow="-8" yWindow="-8" windowWidth="1382" windowHeight="784" activeSheetId="1"/>
  </customWorkbookViews>
</workbook>
</file>

<file path=xl/calcChain.xml><?xml version="1.0" encoding="utf-8"?>
<calcChain xmlns="http://schemas.openxmlformats.org/spreadsheetml/2006/main">
  <c r="E6" i="10" l="1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5" i="10"/>
  <c r="F5" i="10"/>
  <c r="Q3" i="3" l="1"/>
  <c r="Q4" i="3" s="1"/>
  <c r="R3" i="3"/>
  <c r="R4" i="3" s="1"/>
  <c r="B12" i="3"/>
  <c r="K12" i="3" s="1"/>
  <c r="L12" i="3" s="1"/>
  <c r="G12" i="3"/>
  <c r="H12" i="3" s="1"/>
  <c r="B13" i="3"/>
  <c r="K13" i="3" s="1"/>
  <c r="L13" i="3" s="1"/>
  <c r="B14" i="3"/>
  <c r="G14" i="3"/>
  <c r="H14" i="3" s="1"/>
  <c r="K14" i="3"/>
  <c r="L14" i="3" s="1"/>
  <c r="B15" i="3"/>
  <c r="G15" i="3" s="1"/>
  <c r="H15" i="3" s="1"/>
  <c r="B16" i="3"/>
  <c r="G16" i="3"/>
  <c r="H16" i="3" s="1"/>
  <c r="K16" i="3"/>
  <c r="L16" i="3" s="1"/>
  <c r="B17" i="3"/>
  <c r="K17" i="3" s="1"/>
  <c r="L17" i="3" s="1"/>
  <c r="B18" i="3"/>
  <c r="G18" i="3"/>
  <c r="H18" i="3" s="1"/>
  <c r="K18" i="3"/>
  <c r="L18" i="3" s="1"/>
  <c r="B19" i="3"/>
  <c r="G19" i="3" s="1"/>
  <c r="H19" i="3" s="1"/>
  <c r="B20" i="3"/>
  <c r="G20" i="3"/>
  <c r="H20" i="3" s="1"/>
  <c r="K20" i="3"/>
  <c r="L20" i="3" s="1"/>
  <c r="G21" i="3"/>
  <c r="H21" i="3" s="1"/>
  <c r="K21" i="3"/>
  <c r="L21" i="3" s="1"/>
  <c r="G22" i="3"/>
  <c r="H22" i="3" s="1"/>
  <c r="K22" i="3"/>
  <c r="L22" i="3" s="1"/>
  <c r="B23" i="3"/>
  <c r="K23" i="3" s="1"/>
  <c r="L23" i="3" s="1"/>
  <c r="B24" i="3"/>
  <c r="G24" i="3"/>
  <c r="H24" i="3" s="1"/>
  <c r="K24" i="3"/>
  <c r="L24" i="3" s="1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U41" i="3"/>
  <c r="V41" i="3"/>
  <c r="U42" i="3"/>
  <c r="V42" i="3"/>
  <c r="U43" i="3"/>
  <c r="V43" i="3"/>
  <c r="U44" i="3"/>
  <c r="B6" i="3" s="1"/>
  <c r="D6" i="3" s="1"/>
  <c r="V44" i="3"/>
  <c r="B7" i="3" s="1"/>
  <c r="D7" i="3" s="1"/>
  <c r="B29" i="3" l="1"/>
  <c r="B31" i="3"/>
  <c r="B33" i="3"/>
  <c r="B35" i="3"/>
  <c r="B37" i="3"/>
  <c r="B39" i="3"/>
  <c r="B41" i="3"/>
  <c r="B32" i="3"/>
  <c r="B36" i="3"/>
  <c r="B38" i="3"/>
  <c r="C29" i="3"/>
  <c r="C31" i="3"/>
  <c r="C33" i="3"/>
  <c r="C39" i="3"/>
  <c r="C41" i="3"/>
  <c r="C30" i="3"/>
  <c r="C34" i="3"/>
  <c r="C38" i="3"/>
  <c r="C40" i="3"/>
  <c r="C35" i="3"/>
  <c r="C37" i="3"/>
  <c r="G23" i="3"/>
  <c r="H23" i="3" s="1"/>
  <c r="B40" i="3" s="1"/>
  <c r="D40" i="3" s="1"/>
  <c r="K19" i="3"/>
  <c r="L19" i="3" s="1"/>
  <c r="C36" i="3" s="1"/>
  <c r="G17" i="3"/>
  <c r="H17" i="3" s="1"/>
  <c r="B34" i="3" s="1"/>
  <c r="D34" i="3" s="1"/>
  <c r="K15" i="3"/>
  <c r="L15" i="3" s="1"/>
  <c r="C32" i="3" s="1"/>
  <c r="G13" i="3"/>
  <c r="H13" i="3" s="1"/>
  <c r="B30" i="3" s="1"/>
  <c r="D30" i="3" s="1"/>
  <c r="F34" i="3" l="1"/>
  <c r="E34" i="3"/>
  <c r="F30" i="3"/>
  <c r="E30" i="3"/>
  <c r="F40" i="3"/>
  <c r="E40" i="3"/>
  <c r="D38" i="3"/>
  <c r="D35" i="3"/>
  <c r="D36" i="3"/>
  <c r="D41" i="3"/>
  <c r="D33" i="3"/>
  <c r="D39" i="3"/>
  <c r="D31" i="3"/>
  <c r="D32" i="3"/>
  <c r="D37" i="3"/>
  <c r="D29" i="3"/>
  <c r="F39" i="3" l="1"/>
  <c r="E39" i="3"/>
  <c r="F35" i="3"/>
  <c r="E35" i="3"/>
  <c r="F33" i="3"/>
  <c r="E33" i="3"/>
  <c r="E38" i="3"/>
  <c r="F38" i="3"/>
  <c r="F37" i="3"/>
  <c r="E37" i="3"/>
  <c r="F41" i="3"/>
  <c r="E41" i="3"/>
  <c r="F29" i="3"/>
  <c r="E29" i="3"/>
  <c r="E32" i="3"/>
  <c r="F32" i="3"/>
  <c r="F31" i="3"/>
  <c r="E31" i="3"/>
  <c r="F36" i="3"/>
  <c r="E36" i="3"/>
  <c r="D14" i="4" l="1"/>
  <c r="D7" i="4"/>
  <c r="B7" i="4"/>
  <c r="B3" i="4"/>
  <c r="D8" i="4" s="1"/>
  <c r="B76" i="4"/>
  <c r="B75" i="4"/>
  <c r="B74" i="4"/>
  <c r="B73" i="4"/>
  <c r="B72" i="4"/>
  <c r="B71" i="4"/>
  <c r="B70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M59" i="4"/>
  <c r="L59" i="4"/>
  <c r="K59" i="4"/>
  <c r="J59" i="4"/>
  <c r="I59" i="4"/>
  <c r="H59" i="4"/>
  <c r="G59" i="4"/>
  <c r="F59" i="4"/>
  <c r="E59" i="4"/>
  <c r="D59" i="4"/>
  <c r="C59" i="4"/>
  <c r="B59" i="4"/>
  <c r="B55" i="4"/>
  <c r="B54" i="4"/>
  <c r="B53" i="4"/>
  <c r="B52" i="4"/>
  <c r="B51" i="4"/>
  <c r="B50" i="4"/>
  <c r="B49" i="4"/>
  <c r="B48" i="4"/>
  <c r="N46" i="4"/>
  <c r="M46" i="4"/>
  <c r="L46" i="4"/>
  <c r="K46" i="4"/>
  <c r="J46" i="4"/>
  <c r="I46" i="4"/>
  <c r="H46" i="4"/>
  <c r="G46" i="4"/>
  <c r="F46" i="4"/>
  <c r="E46" i="4"/>
  <c r="D46" i="4"/>
  <c r="C46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E29" i="4"/>
  <c r="F29" i="4" s="1"/>
  <c r="M61" i="4" s="1"/>
  <c r="E28" i="4"/>
  <c r="F28" i="4" s="1"/>
  <c r="L61" i="4" s="1"/>
  <c r="E27" i="4"/>
  <c r="F27" i="4" s="1"/>
  <c r="K61" i="4" s="1"/>
  <c r="E26" i="4"/>
  <c r="F26" i="4" s="1"/>
  <c r="J61" i="4" s="1"/>
  <c r="E25" i="4"/>
  <c r="F25" i="4" s="1"/>
  <c r="I61" i="4" s="1"/>
  <c r="E24" i="4"/>
  <c r="F24" i="4" s="1"/>
  <c r="H61" i="4" s="1"/>
  <c r="E23" i="4"/>
  <c r="F23" i="4" s="1"/>
  <c r="G61" i="4" s="1"/>
  <c r="E22" i="4"/>
  <c r="F22" i="4" s="1"/>
  <c r="F61" i="4" s="1"/>
  <c r="E21" i="4"/>
  <c r="F21" i="4" s="1"/>
  <c r="E61" i="4" s="1"/>
  <c r="E20" i="4"/>
  <c r="F20" i="4" s="1"/>
  <c r="D61" i="4" s="1"/>
  <c r="E19" i="4"/>
  <c r="F19" i="4" s="1"/>
  <c r="C61" i="4" s="1"/>
  <c r="F18" i="4"/>
  <c r="B61" i="4" s="1"/>
  <c r="E18" i="4"/>
  <c r="M17" i="4"/>
  <c r="M18" i="4" s="1"/>
  <c r="M4" i="4"/>
  <c r="B12" i="4" s="1"/>
  <c r="L4" i="4"/>
  <c r="L7" i="4" s="1"/>
  <c r="L8" i="4" s="1"/>
  <c r="M3" i="4"/>
  <c r="E7" i="4" s="1"/>
  <c r="D11" i="4" l="1"/>
  <c r="D10" i="4"/>
  <c r="D13" i="4"/>
  <c r="D9" i="4"/>
  <c r="D12" i="4"/>
  <c r="E12" i="4" s="1"/>
  <c r="L11" i="4"/>
  <c r="L10" i="4"/>
  <c r="M48" i="4"/>
  <c r="M69" i="4" s="1"/>
  <c r="I48" i="4"/>
  <c r="I69" i="4" s="1"/>
  <c r="E48" i="4"/>
  <c r="E69" i="4" s="1"/>
  <c r="K48" i="4"/>
  <c r="K69" i="4" s="1"/>
  <c r="G48" i="4"/>
  <c r="G69" i="4" s="1"/>
  <c r="C48" i="4"/>
  <c r="C69" i="4" s="1"/>
  <c r="L48" i="4"/>
  <c r="L69" i="4" s="1"/>
  <c r="D48" i="4"/>
  <c r="D69" i="4" s="1"/>
  <c r="N48" i="4"/>
  <c r="N69" i="4" s="1"/>
  <c r="F48" i="4"/>
  <c r="F69" i="4" s="1"/>
  <c r="J48" i="4"/>
  <c r="J69" i="4" s="1"/>
  <c r="H48" i="4"/>
  <c r="H69" i="4" s="1"/>
  <c r="L6" i="4"/>
  <c r="M6" i="4"/>
  <c r="B14" i="4" s="1"/>
  <c r="E14" i="4" s="1"/>
  <c r="M7" i="4"/>
  <c r="B8" i="4"/>
  <c r="E8" i="4" s="1"/>
  <c r="B9" i="4"/>
  <c r="E9" i="4" s="1"/>
  <c r="AF37" i="18"/>
  <c r="AE37" i="18"/>
  <c r="AF36" i="18"/>
  <c r="AE36" i="18"/>
  <c r="AA37" i="18"/>
  <c r="Z37" i="18"/>
  <c r="AA36" i="18"/>
  <c r="Z36" i="18"/>
  <c r="V37" i="18"/>
  <c r="U37" i="18"/>
  <c r="V36" i="18"/>
  <c r="U36" i="18"/>
  <c r="Q37" i="18"/>
  <c r="P37" i="18"/>
  <c r="Q36" i="18"/>
  <c r="P36" i="18"/>
  <c r="L37" i="18"/>
  <c r="K37" i="18"/>
  <c r="L36" i="18"/>
  <c r="K36" i="18"/>
  <c r="G37" i="18"/>
  <c r="F37" i="18"/>
  <c r="G36" i="18"/>
  <c r="F36" i="18"/>
  <c r="F29" i="18"/>
  <c r="E29" i="18"/>
  <c r="F28" i="18"/>
  <c r="E28" i="18"/>
  <c r="F27" i="18"/>
  <c r="E27" i="18"/>
  <c r="F26" i="18"/>
  <c r="E26" i="18"/>
  <c r="K29" i="18"/>
  <c r="J29" i="18"/>
  <c r="K28" i="18"/>
  <c r="J28" i="18"/>
  <c r="K27" i="18"/>
  <c r="J27" i="18"/>
  <c r="K26" i="18"/>
  <c r="J26" i="18"/>
  <c r="P29" i="18"/>
  <c r="O29" i="18"/>
  <c r="P28" i="18"/>
  <c r="O28" i="18"/>
  <c r="P27" i="18"/>
  <c r="O27" i="18"/>
  <c r="P26" i="18"/>
  <c r="O26" i="18"/>
  <c r="U29" i="18"/>
  <c r="T29" i="18"/>
  <c r="U28" i="18"/>
  <c r="T28" i="18"/>
  <c r="U27" i="18"/>
  <c r="T27" i="18"/>
  <c r="U26" i="18"/>
  <c r="T26" i="18"/>
  <c r="Z29" i="18"/>
  <c r="Y29" i="18"/>
  <c r="Z28" i="18"/>
  <c r="Y28" i="18"/>
  <c r="Z27" i="18"/>
  <c r="Y27" i="18"/>
  <c r="Z26" i="18"/>
  <c r="Y26" i="18"/>
  <c r="AE29" i="18"/>
  <c r="AD29" i="18"/>
  <c r="AE28" i="18"/>
  <c r="AD28" i="18"/>
  <c r="AE27" i="18"/>
  <c r="AD27" i="18"/>
  <c r="AE26" i="18"/>
  <c r="AD26" i="18"/>
  <c r="AE19" i="18"/>
  <c r="AD19" i="18"/>
  <c r="AE18" i="18"/>
  <c r="AD18" i="18"/>
  <c r="AE17" i="18"/>
  <c r="AD17" i="18"/>
  <c r="AE16" i="18"/>
  <c r="AD16" i="18"/>
  <c r="AE15" i="18"/>
  <c r="AD15" i="18"/>
  <c r="AE14" i="18"/>
  <c r="AD14" i="18"/>
  <c r="Z19" i="18"/>
  <c r="Y19" i="18"/>
  <c r="Z18" i="18"/>
  <c r="Y18" i="18"/>
  <c r="Z17" i="18"/>
  <c r="Y17" i="18"/>
  <c r="Z16" i="18"/>
  <c r="Y16" i="18"/>
  <c r="Z15" i="18"/>
  <c r="Y15" i="18"/>
  <c r="Z14" i="18"/>
  <c r="Y14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K19" i="18"/>
  <c r="J19" i="18"/>
  <c r="K18" i="18"/>
  <c r="J18" i="18"/>
  <c r="K17" i="18"/>
  <c r="J17" i="18"/>
  <c r="K16" i="18"/>
  <c r="J16" i="18"/>
  <c r="K15" i="18"/>
  <c r="J15" i="18"/>
  <c r="K14" i="18"/>
  <c r="J14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AE7" i="18"/>
  <c r="AD7" i="18"/>
  <c r="AE6" i="18"/>
  <c r="AD6" i="18"/>
  <c r="AE5" i="18"/>
  <c r="AD5" i="18"/>
  <c r="AE4" i="18"/>
  <c r="AD4" i="18"/>
  <c r="Z7" i="18"/>
  <c r="Y7" i="18"/>
  <c r="Z6" i="18"/>
  <c r="Y6" i="18"/>
  <c r="Z5" i="18"/>
  <c r="Y5" i="18"/>
  <c r="Z4" i="18"/>
  <c r="Y4" i="18"/>
  <c r="U7" i="18"/>
  <c r="T7" i="18"/>
  <c r="U6" i="18"/>
  <c r="T6" i="18"/>
  <c r="U5" i="18"/>
  <c r="T5" i="18"/>
  <c r="U4" i="18"/>
  <c r="T4" i="18"/>
  <c r="P7" i="18"/>
  <c r="O7" i="18"/>
  <c r="P6" i="18"/>
  <c r="O6" i="18"/>
  <c r="P5" i="18"/>
  <c r="O5" i="18"/>
  <c r="P4" i="18"/>
  <c r="O4" i="18"/>
  <c r="K7" i="18"/>
  <c r="J7" i="18"/>
  <c r="K6" i="18"/>
  <c r="J6" i="18"/>
  <c r="K5" i="18"/>
  <c r="J5" i="18"/>
  <c r="K4" i="18"/>
  <c r="J4" i="18"/>
  <c r="F7" i="18"/>
  <c r="E7" i="18"/>
  <c r="F6" i="18"/>
  <c r="E6" i="18"/>
  <c r="F5" i="18"/>
  <c r="E5" i="18"/>
  <c r="F4" i="18"/>
  <c r="E4" i="18"/>
  <c r="C53" i="4" l="1"/>
  <c r="C74" i="4" s="1"/>
  <c r="N53" i="4"/>
  <c r="N74" i="4" s="1"/>
  <c r="J53" i="4"/>
  <c r="J74" i="4" s="1"/>
  <c r="M53" i="4"/>
  <c r="M74" i="4" s="1"/>
  <c r="F53" i="4"/>
  <c r="F74" i="4" s="1"/>
  <c r="H53" i="4"/>
  <c r="H74" i="4" s="1"/>
  <c r="K53" i="4"/>
  <c r="K74" i="4" s="1"/>
  <c r="I53" i="4"/>
  <c r="I74" i="4" s="1"/>
  <c r="L53" i="4"/>
  <c r="L74" i="4" s="1"/>
  <c r="G53" i="4"/>
  <c r="G74" i="4" s="1"/>
  <c r="E53" i="4"/>
  <c r="E74" i="4" s="1"/>
  <c r="D53" i="4"/>
  <c r="D74" i="4" s="1"/>
  <c r="K49" i="4"/>
  <c r="K70" i="4" s="1"/>
  <c r="G49" i="4"/>
  <c r="G70" i="4" s="1"/>
  <c r="C49" i="4"/>
  <c r="C70" i="4" s="1"/>
  <c r="M49" i="4"/>
  <c r="M70" i="4" s="1"/>
  <c r="I49" i="4"/>
  <c r="I70" i="4" s="1"/>
  <c r="E49" i="4"/>
  <c r="E70" i="4" s="1"/>
  <c r="N49" i="4"/>
  <c r="N70" i="4" s="1"/>
  <c r="F49" i="4"/>
  <c r="F70" i="4" s="1"/>
  <c r="L49" i="4"/>
  <c r="L70" i="4" s="1"/>
  <c r="D49" i="4"/>
  <c r="D70" i="4" s="1"/>
  <c r="H49" i="4"/>
  <c r="H70" i="4" s="1"/>
  <c r="J49" i="4"/>
  <c r="J70" i="4" s="1"/>
  <c r="M50" i="4"/>
  <c r="M71" i="4" s="1"/>
  <c r="I50" i="4"/>
  <c r="I71" i="4" s="1"/>
  <c r="E50" i="4"/>
  <c r="E71" i="4" s="1"/>
  <c r="K50" i="4"/>
  <c r="K71" i="4" s="1"/>
  <c r="G50" i="4"/>
  <c r="G71" i="4" s="1"/>
  <c r="C50" i="4"/>
  <c r="C71" i="4" s="1"/>
  <c r="H50" i="4"/>
  <c r="H71" i="4" s="1"/>
  <c r="J50" i="4"/>
  <c r="J71" i="4" s="1"/>
  <c r="N50" i="4"/>
  <c r="N71" i="4" s="1"/>
  <c r="F50" i="4"/>
  <c r="F71" i="4" s="1"/>
  <c r="L50" i="4"/>
  <c r="L71" i="4" s="1"/>
  <c r="D50" i="4"/>
  <c r="D71" i="4" s="1"/>
  <c r="K55" i="4"/>
  <c r="K76" i="4" s="1"/>
  <c r="G55" i="4"/>
  <c r="G76" i="4" s="1"/>
  <c r="C55" i="4"/>
  <c r="C76" i="4" s="1"/>
  <c r="M55" i="4"/>
  <c r="M76" i="4" s="1"/>
  <c r="I55" i="4"/>
  <c r="I76" i="4" s="1"/>
  <c r="E55" i="4"/>
  <c r="E76" i="4" s="1"/>
  <c r="J55" i="4"/>
  <c r="J76" i="4" s="1"/>
  <c r="H55" i="4"/>
  <c r="H76" i="4" s="1"/>
  <c r="N55" i="4"/>
  <c r="N76" i="4" s="1"/>
  <c r="F55" i="4"/>
  <c r="F76" i="4" s="1"/>
  <c r="L55" i="4"/>
  <c r="L76" i="4" s="1"/>
  <c r="D55" i="4"/>
  <c r="D76" i="4" s="1"/>
  <c r="M8" i="4"/>
  <c r="B13" i="4"/>
  <c r="E13" i="4" s="1"/>
  <c r="A66" i="2"/>
  <c r="A55" i="2"/>
  <c r="A56" i="2"/>
  <c r="A57" i="2"/>
  <c r="A58" i="2"/>
  <c r="A59" i="2"/>
  <c r="A60" i="2"/>
  <c r="A61" i="2"/>
  <c r="A62" i="2"/>
  <c r="A63" i="2"/>
  <c r="A64" i="2"/>
  <c r="A65" i="2"/>
  <c r="A54" i="2"/>
  <c r="A40" i="2"/>
  <c r="A41" i="2"/>
  <c r="A42" i="2"/>
  <c r="A43" i="2"/>
  <c r="A44" i="2"/>
  <c r="A45" i="2"/>
  <c r="A46" i="2"/>
  <c r="A47" i="2"/>
  <c r="A48" i="2"/>
  <c r="A49" i="2"/>
  <c r="A50" i="2"/>
  <c r="A51" i="2"/>
  <c r="A39" i="2"/>
  <c r="G11" i="2"/>
  <c r="F11" i="2"/>
  <c r="E11" i="2"/>
  <c r="G10" i="2"/>
  <c r="F10" i="2"/>
  <c r="J61" i="2" s="1"/>
  <c r="E10" i="2"/>
  <c r="J57" i="2" s="1"/>
  <c r="G9" i="2"/>
  <c r="F9" i="2"/>
  <c r="E9" i="2"/>
  <c r="G8" i="2"/>
  <c r="F8" i="2"/>
  <c r="J49" i="2" s="1"/>
  <c r="E8" i="2"/>
  <c r="G7" i="2"/>
  <c r="F7" i="2"/>
  <c r="E7" i="2"/>
  <c r="J34" i="2" s="1"/>
  <c r="M54" i="4" l="1"/>
  <c r="M75" i="4" s="1"/>
  <c r="I54" i="4"/>
  <c r="I75" i="4" s="1"/>
  <c r="E54" i="4"/>
  <c r="E75" i="4" s="1"/>
  <c r="K54" i="4"/>
  <c r="K75" i="4" s="1"/>
  <c r="G54" i="4"/>
  <c r="G75" i="4" s="1"/>
  <c r="C54" i="4"/>
  <c r="C75" i="4" s="1"/>
  <c r="H54" i="4"/>
  <c r="H75" i="4" s="1"/>
  <c r="N54" i="4"/>
  <c r="N75" i="4" s="1"/>
  <c r="F54" i="4"/>
  <c r="F75" i="4" s="1"/>
  <c r="J54" i="4"/>
  <c r="J75" i="4" s="1"/>
  <c r="L54" i="4"/>
  <c r="L75" i="4" s="1"/>
  <c r="D54" i="4"/>
  <c r="D75" i="4" s="1"/>
  <c r="M10" i="4"/>
  <c r="B10" i="4"/>
  <c r="E10" i="4" s="1"/>
  <c r="B11" i="4"/>
  <c r="E11" i="4" s="1"/>
  <c r="M11" i="4"/>
  <c r="J47" i="2"/>
  <c r="J46" i="2"/>
  <c r="J64" i="2"/>
  <c r="L34" i="2" s="1"/>
  <c r="M34" i="2" s="1"/>
  <c r="J65" i="2"/>
  <c r="J32" i="2"/>
  <c r="J54" i="2"/>
  <c r="J58" i="2"/>
  <c r="J62" i="2"/>
  <c r="J66" i="2"/>
  <c r="J31" i="2"/>
  <c r="L31" i="2" s="1"/>
  <c r="M31" i="2" s="1"/>
  <c r="J33" i="2"/>
  <c r="J45" i="2"/>
  <c r="J55" i="2"/>
  <c r="J59" i="2"/>
  <c r="J63" i="2"/>
  <c r="J30" i="2"/>
  <c r="J48" i="2"/>
  <c r="J56" i="2"/>
  <c r="J60" i="2"/>
  <c r="M52" i="4" l="1"/>
  <c r="M73" i="4" s="1"/>
  <c r="I52" i="4"/>
  <c r="I73" i="4" s="1"/>
  <c r="E52" i="4"/>
  <c r="E73" i="4" s="1"/>
  <c r="K52" i="4"/>
  <c r="K73" i="4" s="1"/>
  <c r="G52" i="4"/>
  <c r="G73" i="4" s="1"/>
  <c r="C52" i="4"/>
  <c r="C73" i="4" s="1"/>
  <c r="L52" i="4"/>
  <c r="L73" i="4" s="1"/>
  <c r="D52" i="4"/>
  <c r="D73" i="4" s="1"/>
  <c r="F52" i="4"/>
  <c r="F73" i="4" s="1"/>
  <c r="J52" i="4"/>
  <c r="J73" i="4" s="1"/>
  <c r="H52" i="4"/>
  <c r="H73" i="4" s="1"/>
  <c r="N52" i="4"/>
  <c r="N73" i="4" s="1"/>
  <c r="K51" i="4"/>
  <c r="K72" i="4" s="1"/>
  <c r="G51" i="4"/>
  <c r="G72" i="4" s="1"/>
  <c r="C51" i="4"/>
  <c r="C72" i="4" s="1"/>
  <c r="M51" i="4"/>
  <c r="M72" i="4" s="1"/>
  <c r="I51" i="4"/>
  <c r="I72" i="4" s="1"/>
  <c r="E51" i="4"/>
  <c r="E72" i="4" s="1"/>
  <c r="J51" i="4"/>
  <c r="J72" i="4" s="1"/>
  <c r="H51" i="4"/>
  <c r="H72" i="4" s="1"/>
  <c r="N51" i="4"/>
  <c r="N72" i="4" s="1"/>
  <c r="F51" i="4"/>
  <c r="F72" i="4" s="1"/>
  <c r="L51" i="4"/>
  <c r="L72" i="4" s="1"/>
  <c r="D51" i="4"/>
  <c r="D72" i="4" s="1"/>
  <c r="L30" i="2"/>
  <c r="M30" i="2" s="1"/>
  <c r="L33" i="2"/>
  <c r="M33" i="2" s="1"/>
  <c r="L32" i="2"/>
  <c r="M32" i="2" s="1"/>
  <c r="L47" i="4" l="1"/>
  <c r="K60" i="4" s="1"/>
  <c r="K62" i="4" s="1"/>
  <c r="K63" i="4" s="1"/>
  <c r="K64" i="4" s="1"/>
  <c r="J47" i="4"/>
  <c r="I60" i="4" s="1"/>
  <c r="I62" i="4" s="1"/>
  <c r="I63" i="4" s="1"/>
  <c r="I64" i="4" s="1"/>
  <c r="C47" i="4"/>
  <c r="B60" i="4" s="1"/>
  <c r="B62" i="4" s="1"/>
  <c r="B63" i="4" s="1"/>
  <c r="B64" i="4" s="1"/>
  <c r="H47" i="4"/>
  <c r="G60" i="4" s="1"/>
  <c r="G62" i="4" s="1"/>
  <c r="G63" i="4" s="1"/>
  <c r="G64" i="4" s="1"/>
  <c r="M47" i="4"/>
  <c r="L60" i="4" s="1"/>
  <c r="L62" i="4" s="1"/>
  <c r="L63" i="4" s="1"/>
  <c r="L64" i="4" s="1"/>
  <c r="F47" i="4"/>
  <c r="E60" i="4" s="1"/>
  <c r="E62" i="4" s="1"/>
  <c r="E63" i="4" s="1"/>
  <c r="E64" i="4" s="1"/>
  <c r="E47" i="4"/>
  <c r="D60" i="4" s="1"/>
  <c r="D62" i="4" s="1"/>
  <c r="D63" i="4" s="1"/>
  <c r="D64" i="4" s="1"/>
  <c r="G47" i="4"/>
  <c r="F60" i="4" s="1"/>
  <c r="F62" i="4" s="1"/>
  <c r="F63" i="4" s="1"/>
  <c r="F64" i="4" s="1"/>
  <c r="D47" i="4"/>
  <c r="C60" i="4" s="1"/>
  <c r="C62" i="4" s="1"/>
  <c r="C63" i="4" s="1"/>
  <c r="C64" i="4" s="1"/>
  <c r="N47" i="4"/>
  <c r="M60" i="4" s="1"/>
  <c r="M62" i="4" s="1"/>
  <c r="M63" i="4" s="1"/>
  <c r="M64" i="4" s="1"/>
  <c r="I47" i="4"/>
  <c r="H60" i="4" s="1"/>
  <c r="H62" i="4" s="1"/>
  <c r="H63" i="4" s="1"/>
  <c r="H64" i="4" s="1"/>
  <c r="K47" i="4"/>
  <c r="J60" i="4" s="1"/>
  <c r="J62" i="4" s="1"/>
  <c r="J63" i="4" s="1"/>
  <c r="J64" i="4" s="1"/>
  <c r="C7" i="2"/>
  <c r="J44" i="2"/>
  <c r="J43" i="2"/>
  <c r="J42" i="2"/>
  <c r="J41" i="2"/>
  <c r="J40" i="2"/>
  <c r="J39" i="2"/>
  <c r="J51" i="2"/>
  <c r="J50" i="2"/>
  <c r="J36" i="2"/>
  <c r="J35" i="2"/>
  <c r="L35" i="2" l="1"/>
  <c r="M35" i="2" s="1"/>
  <c r="L36" i="2"/>
  <c r="M36" i="2" s="1"/>
  <c r="J29" i="2"/>
  <c r="L29" i="2" s="1"/>
  <c r="M29" i="2" s="1"/>
  <c r="J28" i="2"/>
  <c r="L28" i="2" s="1"/>
  <c r="M28" i="2" s="1"/>
  <c r="J25" i="2"/>
  <c r="L25" i="2" s="1"/>
  <c r="M25" i="2" s="1"/>
  <c r="J24" i="2"/>
  <c r="L24" i="2" s="1"/>
  <c r="M24" i="2" s="1"/>
  <c r="D78" i="2"/>
  <c r="E78" i="2" s="1"/>
  <c r="F78" i="2" s="1"/>
  <c r="G78" i="2" s="1"/>
  <c r="I78" i="2" s="1"/>
  <c r="D79" i="2"/>
  <c r="E79" i="2" s="1"/>
  <c r="F79" i="2" s="1"/>
  <c r="G79" i="2" s="1"/>
  <c r="I79" i="2" s="1"/>
  <c r="A71" i="2"/>
  <c r="A72" i="2"/>
  <c r="A73" i="2"/>
  <c r="A74" i="2"/>
  <c r="A75" i="2"/>
  <c r="A76" i="2"/>
  <c r="A77" i="2"/>
  <c r="A78" i="2"/>
  <c r="A79" i="2"/>
  <c r="A80" i="2"/>
  <c r="A81" i="2"/>
  <c r="A82" i="2"/>
  <c r="G26" i="2" l="1"/>
  <c r="H26" i="2" s="1"/>
  <c r="J26" i="2"/>
  <c r="L26" i="2" s="1"/>
  <c r="M26" i="2" s="1"/>
  <c r="G27" i="2"/>
  <c r="H27" i="2" s="1"/>
  <c r="J27" i="2"/>
  <c r="L27" i="2" s="1"/>
  <c r="M27" i="2" s="1"/>
  <c r="C8" i="2"/>
  <c r="G41" i="2" s="1"/>
  <c r="H41" i="2" s="1"/>
  <c r="B9" i="2"/>
  <c r="B8" i="2"/>
  <c r="B7" i="2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AO31" i="15"/>
  <c r="AN31" i="15"/>
  <c r="AO30" i="15"/>
  <c r="AN30" i="15"/>
  <c r="AO29" i="15"/>
  <c r="AN29" i="15"/>
  <c r="AO28" i="15"/>
  <c r="AN28" i="15"/>
  <c r="AO27" i="15"/>
  <c r="AN27" i="15"/>
  <c r="AO26" i="15"/>
  <c r="AN26" i="15"/>
  <c r="AO25" i="15"/>
  <c r="AN25" i="15"/>
  <c r="AO24" i="15"/>
  <c r="AN24" i="15"/>
  <c r="AO23" i="15"/>
  <c r="AN23" i="15"/>
  <c r="AO22" i="15"/>
  <c r="AN22" i="15"/>
  <c r="AO21" i="15"/>
  <c r="AN21" i="15"/>
  <c r="AO20" i="15"/>
  <c r="AN20" i="15"/>
  <c r="AO19" i="15"/>
  <c r="AN19" i="15"/>
  <c r="AO18" i="15"/>
  <c r="AN18" i="15"/>
  <c r="AO17" i="15"/>
  <c r="AN17" i="15"/>
  <c r="AO16" i="15"/>
  <c r="AN16" i="15"/>
  <c r="AO15" i="15"/>
  <c r="AN15" i="15"/>
  <c r="AO14" i="15"/>
  <c r="AN14" i="15"/>
  <c r="AO13" i="15"/>
  <c r="AN13" i="15"/>
  <c r="AO12" i="15"/>
  <c r="AN12" i="15"/>
  <c r="AO11" i="15"/>
  <c r="AN11" i="15"/>
  <c r="AO8" i="15"/>
  <c r="AN8" i="15"/>
  <c r="AO7" i="15"/>
  <c r="AN7" i="15"/>
  <c r="AO6" i="15"/>
  <c r="AN6" i="15"/>
  <c r="AH31" i="15"/>
  <c r="AG31" i="15"/>
  <c r="AH30" i="15"/>
  <c r="AG30" i="15"/>
  <c r="AH29" i="15"/>
  <c r="AG29" i="15"/>
  <c r="AH28" i="15"/>
  <c r="AG28" i="15"/>
  <c r="AH27" i="15"/>
  <c r="AG27" i="15"/>
  <c r="AH26" i="15"/>
  <c r="AG26" i="15"/>
  <c r="AH25" i="15"/>
  <c r="AG25" i="15"/>
  <c r="AH24" i="15"/>
  <c r="AG24" i="15"/>
  <c r="AH23" i="15"/>
  <c r="AG23" i="15"/>
  <c r="AH22" i="15"/>
  <c r="AG22" i="15"/>
  <c r="AH21" i="15"/>
  <c r="AG21" i="15"/>
  <c r="AH20" i="15"/>
  <c r="AG20" i="15"/>
  <c r="AH19" i="15"/>
  <c r="AG19" i="15"/>
  <c r="AH18" i="15"/>
  <c r="AG18" i="15"/>
  <c r="AH17" i="15"/>
  <c r="AG17" i="15"/>
  <c r="AH16" i="15"/>
  <c r="AG16" i="15"/>
  <c r="AH15" i="15"/>
  <c r="AG15" i="15"/>
  <c r="AH14" i="15"/>
  <c r="AG14" i="15"/>
  <c r="AH13" i="15"/>
  <c r="AG13" i="15"/>
  <c r="AH12" i="15"/>
  <c r="AG12" i="15"/>
  <c r="AH11" i="15"/>
  <c r="AG11" i="15"/>
  <c r="AH8" i="15"/>
  <c r="AG8" i="15"/>
  <c r="AH7" i="15"/>
  <c r="AG7" i="15"/>
  <c r="AH6" i="15"/>
  <c r="AG6" i="15"/>
  <c r="AA31" i="15"/>
  <c r="Z31" i="15"/>
  <c r="AA30" i="15"/>
  <c r="Z30" i="15"/>
  <c r="AA29" i="15"/>
  <c r="Z29" i="15"/>
  <c r="AA28" i="15"/>
  <c r="Z28" i="15"/>
  <c r="AA27" i="15"/>
  <c r="Z27" i="15"/>
  <c r="AA26" i="15"/>
  <c r="Z26" i="15"/>
  <c r="AA25" i="15"/>
  <c r="Z25" i="15"/>
  <c r="AA24" i="15"/>
  <c r="Z24" i="15"/>
  <c r="AA23" i="15"/>
  <c r="Z23" i="15"/>
  <c r="AA22" i="15"/>
  <c r="Z22" i="15"/>
  <c r="AA21" i="15"/>
  <c r="Z21" i="15"/>
  <c r="AA20" i="15"/>
  <c r="Z20" i="15"/>
  <c r="AA19" i="15"/>
  <c r="Z19" i="15"/>
  <c r="AA18" i="15"/>
  <c r="Z18" i="15"/>
  <c r="AA17" i="15"/>
  <c r="Z17" i="15"/>
  <c r="AA16" i="15"/>
  <c r="Z16" i="15"/>
  <c r="AA15" i="15"/>
  <c r="Z15" i="15"/>
  <c r="AA14" i="15"/>
  <c r="Z14" i="15"/>
  <c r="AA13" i="15"/>
  <c r="Z13" i="15"/>
  <c r="AA12" i="15"/>
  <c r="Z12" i="15"/>
  <c r="AA11" i="15"/>
  <c r="Z11" i="15"/>
  <c r="AA8" i="15"/>
  <c r="Z8" i="15"/>
  <c r="AA7" i="15"/>
  <c r="Z7" i="15"/>
  <c r="AA6" i="15"/>
  <c r="Z6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8" i="15"/>
  <c r="S8" i="15"/>
  <c r="T7" i="15"/>
  <c r="S7" i="15"/>
  <c r="T6" i="15"/>
  <c r="S6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8" i="15"/>
  <c r="E8" i="15"/>
  <c r="F7" i="15"/>
  <c r="E7" i="15"/>
  <c r="F6" i="15"/>
  <c r="E6" i="15"/>
  <c r="AE13" i="16"/>
  <c r="AD13" i="16"/>
  <c r="AE12" i="16"/>
  <c r="AD12" i="16"/>
  <c r="AE11" i="16"/>
  <c r="AD11" i="16"/>
  <c r="AE10" i="16"/>
  <c r="AD10" i="16"/>
  <c r="AE9" i="16"/>
  <c r="AD9" i="16"/>
  <c r="AE8" i="16"/>
  <c r="AD8" i="16"/>
  <c r="AE7" i="16"/>
  <c r="AD7" i="16"/>
  <c r="AE6" i="16"/>
  <c r="AD6" i="16"/>
  <c r="AE5" i="16"/>
  <c r="AD5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U6" i="16"/>
  <c r="T6" i="16"/>
  <c r="U5" i="16"/>
  <c r="T5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13" i="16"/>
  <c r="F13" i="16"/>
  <c r="F5" i="16"/>
  <c r="E5" i="16"/>
  <c r="AE19" i="17"/>
  <c r="AD19" i="17"/>
  <c r="AE18" i="17"/>
  <c r="AD18" i="17"/>
  <c r="AE17" i="17"/>
  <c r="AD17" i="17"/>
  <c r="AE16" i="17"/>
  <c r="AD16" i="17"/>
  <c r="AE15" i="17"/>
  <c r="AD15" i="17"/>
  <c r="AE14" i="17"/>
  <c r="AD14" i="17"/>
  <c r="AE13" i="17"/>
  <c r="AD13" i="17"/>
  <c r="AE12" i="17"/>
  <c r="AD12" i="17"/>
  <c r="AE11" i="17"/>
  <c r="AD11" i="17"/>
  <c r="AE10" i="17"/>
  <c r="AD10" i="17"/>
  <c r="AE9" i="17"/>
  <c r="AD9" i="17"/>
  <c r="AE8" i="17"/>
  <c r="AD8" i="17"/>
  <c r="AE7" i="17"/>
  <c r="AD7" i="17"/>
  <c r="AE6" i="17"/>
  <c r="AD6" i="17"/>
  <c r="AE5" i="17"/>
  <c r="AD5" i="17"/>
  <c r="Z19" i="17"/>
  <c r="Y19" i="17"/>
  <c r="Z18" i="17"/>
  <c r="Y18" i="17"/>
  <c r="Z17" i="17"/>
  <c r="Y17" i="17"/>
  <c r="Z16" i="17"/>
  <c r="Y16" i="17"/>
  <c r="Z15" i="17"/>
  <c r="Y15" i="17"/>
  <c r="Z14" i="17"/>
  <c r="Y14" i="17"/>
  <c r="Z13" i="17"/>
  <c r="Y13" i="17"/>
  <c r="Z12" i="17"/>
  <c r="Y12" i="17"/>
  <c r="Z11" i="17"/>
  <c r="Y11" i="17"/>
  <c r="Z10" i="17"/>
  <c r="Y10" i="17"/>
  <c r="Z9" i="17"/>
  <c r="Y9" i="17"/>
  <c r="Z8" i="17"/>
  <c r="Y8" i="17"/>
  <c r="Z7" i="17"/>
  <c r="Y7" i="17"/>
  <c r="Z6" i="17"/>
  <c r="Y6" i="17"/>
  <c r="Z5" i="17"/>
  <c r="Y5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T7" i="17"/>
  <c r="U6" i="17"/>
  <c r="T6" i="17"/>
  <c r="U5" i="17"/>
  <c r="T5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J5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D11" i="2"/>
  <c r="D10" i="2"/>
  <c r="C11" i="2"/>
  <c r="B11" i="2"/>
  <c r="B10" i="2"/>
  <c r="G35" i="2" l="1"/>
  <c r="N20" i="2"/>
  <c r="M20" i="2"/>
  <c r="N19" i="2"/>
  <c r="M19" i="2"/>
  <c r="N16" i="2"/>
  <c r="M16" i="2"/>
  <c r="N15" i="2"/>
  <c r="M15" i="2"/>
  <c r="D70" i="2"/>
  <c r="N36" i="2" l="1"/>
  <c r="N35" i="2"/>
  <c r="N31" i="2"/>
  <c r="N26" i="2"/>
  <c r="N34" i="2"/>
  <c r="N32" i="2"/>
  <c r="N27" i="2"/>
  <c r="N33" i="2"/>
  <c r="N29" i="2"/>
  <c r="N28" i="2"/>
  <c r="N30" i="2"/>
  <c r="E70" i="2"/>
  <c r="D80" i="2"/>
  <c r="E80" i="2" s="1"/>
  <c r="H35" i="2"/>
  <c r="D21" i="17"/>
  <c r="B21" i="17"/>
  <c r="C21" i="17"/>
  <c r="J39" i="5" l="1"/>
  <c r="K39" i="5" s="1"/>
  <c r="N12" i="2" l="1"/>
  <c r="M12" i="2"/>
  <c r="N11" i="2"/>
  <c r="M11" i="2"/>
  <c r="N8" i="2"/>
  <c r="M8" i="2"/>
  <c r="N7" i="2"/>
  <c r="M7" i="2"/>
  <c r="N24" i="2" l="1"/>
  <c r="I41" i="2"/>
  <c r="I26" i="2"/>
  <c r="I27" i="2"/>
  <c r="N25" i="2"/>
  <c r="I35" i="2"/>
  <c r="D77" i="2"/>
  <c r="D76" i="2"/>
  <c r="D75" i="2"/>
  <c r="D74" i="2"/>
  <c r="D73" i="2"/>
  <c r="D72" i="2"/>
  <c r="D82" i="2" s="1"/>
  <c r="E82" i="2" s="1"/>
  <c r="D71" i="2"/>
  <c r="D81" i="2" s="1"/>
  <c r="E81" i="2" s="1"/>
  <c r="A70" i="2" l="1"/>
  <c r="B61" i="15" l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I9" i="13"/>
  <c r="I10" i="13"/>
  <c r="I11" i="13"/>
  <c r="I12" i="13"/>
  <c r="I13" i="13"/>
  <c r="I14" i="13"/>
  <c r="I15" i="13"/>
  <c r="I16" i="13"/>
  <c r="I8" i="13"/>
  <c r="G9" i="13"/>
  <c r="G10" i="13"/>
  <c r="G11" i="13"/>
  <c r="G12" i="13"/>
  <c r="G13" i="13"/>
  <c r="G14" i="13"/>
  <c r="G15" i="13"/>
  <c r="G16" i="13"/>
  <c r="G8" i="13"/>
  <c r="B16" i="13"/>
  <c r="B15" i="13"/>
  <c r="B14" i="13"/>
  <c r="B13" i="13"/>
  <c r="B12" i="13"/>
  <c r="B11" i="13"/>
  <c r="B10" i="13"/>
  <c r="B9" i="13"/>
  <c r="B8" i="13"/>
  <c r="B12" i="10"/>
  <c r="B11" i="10"/>
  <c r="B10" i="10"/>
  <c r="B9" i="10"/>
  <c r="B8" i="10"/>
  <c r="B7" i="10"/>
  <c r="B6" i="10"/>
  <c r="B5" i="10"/>
  <c r="J29" i="9"/>
  <c r="I29" i="9"/>
  <c r="H29" i="9"/>
  <c r="G29" i="9"/>
  <c r="F29" i="9"/>
  <c r="E29" i="9"/>
  <c r="D29" i="9"/>
  <c r="C29" i="9"/>
  <c r="B29" i="9"/>
  <c r="E72" i="2" l="1"/>
  <c r="F72" i="2" s="1"/>
  <c r="E75" i="2"/>
  <c r="F75" i="2" s="1"/>
  <c r="G75" i="2" s="1"/>
  <c r="I75" i="2" s="1"/>
  <c r="E74" i="2"/>
  <c r="F74" i="2" s="1"/>
  <c r="G74" i="2" s="1"/>
  <c r="I74" i="2" s="1"/>
  <c r="E71" i="2"/>
  <c r="F71" i="2" s="1"/>
  <c r="F70" i="2"/>
  <c r="G71" i="2" l="1"/>
  <c r="I71" i="2" s="1"/>
  <c r="G70" i="2"/>
  <c r="I70" i="2" s="1"/>
  <c r="G72" i="2"/>
  <c r="I72" i="2" s="1"/>
  <c r="E76" i="2"/>
  <c r="F76" i="2" s="1"/>
  <c r="G76" i="2" s="1"/>
  <c r="I76" i="2" s="1"/>
  <c r="E73" i="2"/>
  <c r="F73" i="2" s="1"/>
  <c r="G73" i="2" s="1"/>
  <c r="I73" i="2" s="1"/>
  <c r="E77" i="2"/>
  <c r="F77" i="2" s="1"/>
  <c r="G77" i="2" s="1"/>
  <c r="I77" i="2" s="1"/>
  <c r="F80" i="2" l="1"/>
  <c r="G80" i="2" s="1"/>
  <c r="I80" i="2" s="1"/>
  <c r="F82" i="2"/>
  <c r="G82" i="2" s="1"/>
  <c r="I82" i="2" s="1"/>
  <c r="F81" i="2"/>
  <c r="G81" i="2" s="1"/>
  <c r="I81" i="2" s="1"/>
  <c r="A2" i="6"/>
  <c r="D28" i="6" l="1"/>
  <c r="D27" i="6"/>
  <c r="D26" i="6"/>
  <c r="D25" i="6"/>
  <c r="D24" i="6"/>
  <c r="D23" i="6"/>
  <c r="D22" i="6"/>
  <c r="D21" i="6"/>
  <c r="J44" i="5" l="1"/>
  <c r="K44" i="5" s="1"/>
  <c r="E44" i="5"/>
  <c r="J43" i="5"/>
  <c r="K43" i="5" s="1"/>
  <c r="E43" i="5"/>
  <c r="J42" i="5"/>
  <c r="K42" i="5" s="1"/>
  <c r="E42" i="5"/>
  <c r="J41" i="5"/>
  <c r="K41" i="5" s="1"/>
  <c r="E41" i="5"/>
  <c r="J40" i="5"/>
  <c r="K40" i="5" s="1"/>
  <c r="E40" i="5"/>
  <c r="E39" i="5"/>
  <c r="J38" i="5"/>
  <c r="K38" i="5" s="1"/>
  <c r="E38" i="5"/>
  <c r="J37" i="5"/>
  <c r="K37" i="5" s="1"/>
  <c r="E37" i="5"/>
  <c r="J36" i="5"/>
  <c r="K36" i="5" s="1"/>
  <c r="E36" i="5"/>
  <c r="J35" i="5"/>
  <c r="K35" i="5" s="1"/>
  <c r="E35" i="5"/>
  <c r="J34" i="5"/>
  <c r="K34" i="5" s="1"/>
  <c r="E34" i="5"/>
  <c r="J33" i="5"/>
  <c r="K33" i="5" s="1"/>
  <c r="E33" i="5"/>
  <c r="J32" i="5"/>
  <c r="K32" i="5" s="1"/>
  <c r="E32" i="5"/>
  <c r="J31" i="5"/>
  <c r="K31" i="5" s="1"/>
  <c r="E31" i="5"/>
  <c r="J30" i="5"/>
  <c r="K30" i="5" s="1"/>
  <c r="E30" i="5"/>
  <c r="J29" i="5"/>
  <c r="K29" i="5" s="1"/>
  <c r="E29" i="5"/>
  <c r="V22" i="5"/>
  <c r="U22" i="5"/>
  <c r="T22" i="5"/>
  <c r="S22" i="5"/>
  <c r="R22" i="5"/>
  <c r="Q22" i="5"/>
  <c r="F19" i="5"/>
  <c r="F20" i="5" s="1"/>
  <c r="F21" i="5" s="1"/>
  <c r="L44" i="5" l="1"/>
  <c r="L40" i="5"/>
  <c r="M40" i="5" s="1"/>
  <c r="L36" i="5"/>
  <c r="M36" i="5" s="1"/>
  <c r="L32" i="5"/>
  <c r="M32" i="5" s="1"/>
  <c r="L43" i="5"/>
  <c r="L31" i="5"/>
  <c r="M31" i="5" s="1"/>
  <c r="L42" i="5"/>
  <c r="M42" i="5" s="1"/>
  <c r="L38" i="5"/>
  <c r="M38" i="5" s="1"/>
  <c r="L34" i="5"/>
  <c r="M34" i="5" s="1"/>
  <c r="L30" i="5"/>
  <c r="M30" i="5" s="1"/>
  <c r="L39" i="5"/>
  <c r="L41" i="5"/>
  <c r="M41" i="5" s="1"/>
  <c r="L37" i="5"/>
  <c r="M37" i="5" s="1"/>
  <c r="L33" i="5"/>
  <c r="M33" i="5" s="1"/>
  <c r="L29" i="5"/>
  <c r="M29" i="5" s="1"/>
  <c r="L35" i="5"/>
  <c r="M35" i="5" s="1"/>
  <c r="M43" i="5"/>
  <c r="M44" i="5"/>
  <c r="F22" i="5"/>
  <c r="O35" i="5" l="1"/>
  <c r="N35" i="5"/>
  <c r="O32" i="5"/>
  <c r="N32" i="5"/>
  <c r="O42" i="5"/>
  <c r="N42" i="5"/>
  <c r="O36" i="5"/>
  <c r="N36" i="5"/>
  <c r="O38" i="5"/>
  <c r="N38" i="5"/>
  <c r="O44" i="5"/>
  <c r="N44" i="5"/>
  <c r="O33" i="5"/>
  <c r="N33" i="5"/>
  <c r="O30" i="5"/>
  <c r="N30" i="5"/>
  <c r="O31" i="5"/>
  <c r="N31" i="5"/>
  <c r="O40" i="5"/>
  <c r="N40" i="5"/>
  <c r="O41" i="5"/>
  <c r="N41" i="5"/>
  <c r="O29" i="5"/>
  <c r="N29" i="5"/>
  <c r="O43" i="5"/>
  <c r="N43" i="5"/>
  <c r="O37" i="5"/>
  <c r="N37" i="5"/>
  <c r="O34" i="5"/>
  <c r="N34" i="5"/>
  <c r="M39" i="5"/>
  <c r="N39" i="5" s="1"/>
  <c r="H37" i="5"/>
  <c r="P37" i="5"/>
  <c r="H33" i="5"/>
  <c r="P33" i="5"/>
  <c r="P32" i="5"/>
  <c r="H32" i="5"/>
  <c r="P42" i="5"/>
  <c r="H42" i="5"/>
  <c r="P40" i="5"/>
  <c r="H40" i="5"/>
  <c r="P29" i="5"/>
  <c r="H29" i="5"/>
  <c r="P31" i="5"/>
  <c r="H31" i="5"/>
  <c r="P30" i="5"/>
  <c r="H30" i="5"/>
  <c r="P35" i="5"/>
  <c r="H35" i="5"/>
  <c r="P44" i="5"/>
  <c r="H44" i="5"/>
  <c r="H41" i="5"/>
  <c r="P41" i="5"/>
  <c r="P36" i="5"/>
  <c r="H36" i="5"/>
  <c r="P38" i="5"/>
  <c r="H38" i="5"/>
  <c r="P34" i="5"/>
  <c r="H34" i="5"/>
  <c r="P43" i="5"/>
  <c r="H43" i="5"/>
  <c r="P39" i="5" l="1"/>
  <c r="O39" i="5"/>
  <c r="H39" i="5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7"/>
  <c r="AD30" i="7"/>
  <c r="AE30" i="7" s="1"/>
  <c r="Y30" i="7"/>
  <c r="Z30" i="7" s="1"/>
  <c r="T30" i="7"/>
  <c r="U30" i="7" s="1"/>
  <c r="O30" i="7"/>
  <c r="P30" i="7" s="1"/>
  <c r="J30" i="7"/>
  <c r="K30" i="7" s="1"/>
  <c r="E30" i="7"/>
  <c r="F30" i="7" s="1"/>
  <c r="AF29" i="7"/>
  <c r="AD29" i="7"/>
  <c r="AE29" i="7" s="1"/>
  <c r="Y29" i="7"/>
  <c r="Z29" i="7" s="1"/>
  <c r="T29" i="7"/>
  <c r="U29" i="7" s="1"/>
  <c r="O29" i="7"/>
  <c r="P29" i="7" s="1"/>
  <c r="J29" i="7"/>
  <c r="K29" i="7" s="1"/>
  <c r="E29" i="7"/>
  <c r="F29" i="7" s="1"/>
  <c r="AF28" i="7"/>
  <c r="AD28" i="7"/>
  <c r="AE28" i="7" s="1"/>
  <c r="Y28" i="7"/>
  <c r="Z28" i="7" s="1"/>
  <c r="T28" i="7"/>
  <c r="U28" i="7" s="1"/>
  <c r="O28" i="7"/>
  <c r="P28" i="7" s="1"/>
  <c r="J28" i="7"/>
  <c r="K28" i="7" s="1"/>
  <c r="E28" i="7"/>
  <c r="F28" i="7" s="1"/>
  <c r="AF27" i="7"/>
  <c r="AD27" i="7"/>
  <c r="AE27" i="7" s="1"/>
  <c r="Y27" i="7"/>
  <c r="Z27" i="7" s="1"/>
  <c r="T27" i="7"/>
  <c r="U27" i="7" s="1"/>
  <c r="O27" i="7"/>
  <c r="P27" i="7" s="1"/>
  <c r="J27" i="7"/>
  <c r="K27" i="7" s="1"/>
  <c r="E27" i="7"/>
  <c r="F27" i="7" s="1"/>
  <c r="AF26" i="7"/>
  <c r="AD26" i="7"/>
  <c r="AE26" i="7" s="1"/>
  <c r="Y26" i="7"/>
  <c r="Z26" i="7" s="1"/>
  <c r="T26" i="7"/>
  <c r="U26" i="7" s="1"/>
  <c r="O26" i="7"/>
  <c r="P26" i="7" s="1"/>
  <c r="J26" i="7"/>
  <c r="K26" i="7" s="1"/>
  <c r="E26" i="7"/>
  <c r="F26" i="7" s="1"/>
  <c r="AF25" i="7"/>
  <c r="AD25" i="7"/>
  <c r="AE25" i="7" s="1"/>
  <c r="Y25" i="7"/>
  <c r="Z25" i="7" s="1"/>
  <c r="T25" i="7"/>
  <c r="U25" i="7" s="1"/>
  <c r="O25" i="7"/>
  <c r="P25" i="7" s="1"/>
  <c r="J25" i="7"/>
  <c r="K25" i="7" s="1"/>
  <c r="E25" i="7"/>
  <c r="F25" i="7" s="1"/>
  <c r="AF24" i="7"/>
  <c r="AD24" i="7"/>
  <c r="AE24" i="7" s="1"/>
  <c r="Y24" i="7"/>
  <c r="Z24" i="7" s="1"/>
  <c r="T24" i="7"/>
  <c r="U24" i="7" s="1"/>
  <c r="O24" i="7"/>
  <c r="P24" i="7" s="1"/>
  <c r="J24" i="7"/>
  <c r="K24" i="7" s="1"/>
  <c r="E24" i="7"/>
  <c r="F24" i="7" s="1"/>
  <c r="AF23" i="7"/>
  <c r="AD23" i="7"/>
  <c r="AE23" i="7" s="1"/>
  <c r="Y23" i="7"/>
  <c r="Z23" i="7" s="1"/>
  <c r="T23" i="7"/>
  <c r="U23" i="7" s="1"/>
  <c r="O23" i="7"/>
  <c r="P23" i="7" s="1"/>
  <c r="J23" i="7"/>
  <c r="K23" i="7" s="1"/>
  <c r="E23" i="7"/>
  <c r="F23" i="7" s="1"/>
  <c r="AF22" i="7"/>
  <c r="AD22" i="7"/>
  <c r="AE22" i="7" s="1"/>
  <c r="Y22" i="7"/>
  <c r="Z22" i="7" s="1"/>
  <c r="T22" i="7"/>
  <c r="U22" i="7" s="1"/>
  <c r="O22" i="7"/>
  <c r="P22" i="7" s="1"/>
  <c r="J22" i="7"/>
  <c r="K22" i="7" s="1"/>
  <c r="E22" i="7"/>
  <c r="F22" i="7" s="1"/>
  <c r="AF21" i="7"/>
  <c r="AD21" i="7"/>
  <c r="AE21" i="7" s="1"/>
  <c r="Y21" i="7"/>
  <c r="Z21" i="7" s="1"/>
  <c r="T21" i="7"/>
  <c r="U21" i="7" s="1"/>
  <c r="O21" i="7"/>
  <c r="P21" i="7" s="1"/>
  <c r="J21" i="7"/>
  <c r="K21" i="7" s="1"/>
  <c r="E21" i="7"/>
  <c r="F21" i="7" s="1"/>
  <c r="AF20" i="7"/>
  <c r="AD20" i="7"/>
  <c r="AE20" i="7" s="1"/>
  <c r="Y20" i="7"/>
  <c r="Z20" i="7" s="1"/>
  <c r="T20" i="7"/>
  <c r="U20" i="7" s="1"/>
  <c r="O20" i="7"/>
  <c r="P20" i="7" s="1"/>
  <c r="J20" i="7"/>
  <c r="K20" i="7" s="1"/>
  <c r="E20" i="7"/>
  <c r="F20" i="7" s="1"/>
  <c r="AF19" i="7"/>
  <c r="AD19" i="7"/>
  <c r="AE19" i="7" s="1"/>
  <c r="Y19" i="7"/>
  <c r="Z19" i="7" s="1"/>
  <c r="T19" i="7"/>
  <c r="U19" i="7" s="1"/>
  <c r="O19" i="7"/>
  <c r="P19" i="7" s="1"/>
  <c r="J19" i="7"/>
  <c r="K19" i="7" s="1"/>
  <c r="E19" i="7"/>
  <c r="F19" i="7" s="1"/>
  <c r="AF18" i="7"/>
  <c r="AD18" i="7"/>
  <c r="AE18" i="7" s="1"/>
  <c r="Y18" i="7"/>
  <c r="Z18" i="7" s="1"/>
  <c r="T18" i="7"/>
  <c r="U18" i="7" s="1"/>
  <c r="O18" i="7"/>
  <c r="P18" i="7" s="1"/>
  <c r="J18" i="7"/>
  <c r="K18" i="7" s="1"/>
  <c r="E18" i="7"/>
  <c r="F18" i="7" s="1"/>
  <c r="AF17" i="7"/>
  <c r="AD17" i="7"/>
  <c r="AE17" i="7" s="1"/>
  <c r="Y17" i="7"/>
  <c r="Z17" i="7" s="1"/>
  <c r="T17" i="7"/>
  <c r="U17" i="7" s="1"/>
  <c r="O17" i="7"/>
  <c r="P17" i="7" s="1"/>
  <c r="J17" i="7"/>
  <c r="K17" i="7" s="1"/>
  <c r="E17" i="7"/>
  <c r="F17" i="7" s="1"/>
  <c r="AF16" i="7"/>
  <c r="AD16" i="7"/>
  <c r="AE16" i="7" s="1"/>
  <c r="Y16" i="7"/>
  <c r="Z16" i="7" s="1"/>
  <c r="T16" i="7"/>
  <c r="U16" i="7" s="1"/>
  <c r="O16" i="7"/>
  <c r="P16" i="7" s="1"/>
  <c r="J16" i="7"/>
  <c r="K16" i="7" s="1"/>
  <c r="E16" i="7"/>
  <c r="F16" i="7" s="1"/>
  <c r="AF15" i="7"/>
  <c r="AD15" i="7"/>
  <c r="AE15" i="7" s="1"/>
  <c r="Y15" i="7"/>
  <c r="Z15" i="7" s="1"/>
  <c r="T15" i="7"/>
  <c r="U15" i="7" s="1"/>
  <c r="O15" i="7"/>
  <c r="P15" i="7" s="1"/>
  <c r="J15" i="7"/>
  <c r="K15" i="7" s="1"/>
  <c r="E15" i="7"/>
  <c r="F15" i="7" s="1"/>
  <c r="AF14" i="7"/>
  <c r="AD14" i="7"/>
  <c r="AE14" i="7" s="1"/>
  <c r="Y14" i="7"/>
  <c r="Z14" i="7" s="1"/>
  <c r="T14" i="7"/>
  <c r="U14" i="7" s="1"/>
  <c r="O14" i="7"/>
  <c r="P14" i="7" s="1"/>
  <c r="J14" i="7"/>
  <c r="K14" i="7" s="1"/>
  <c r="E14" i="7"/>
  <c r="F14" i="7" s="1"/>
  <c r="AF13" i="7"/>
  <c r="AD13" i="7"/>
  <c r="AE13" i="7" s="1"/>
  <c r="Y13" i="7"/>
  <c r="Z13" i="7" s="1"/>
  <c r="T13" i="7"/>
  <c r="U13" i="7" s="1"/>
  <c r="O13" i="7"/>
  <c r="P13" i="7" s="1"/>
  <c r="J13" i="7"/>
  <c r="K13" i="7" s="1"/>
  <c r="E13" i="7"/>
  <c r="F13" i="7" s="1"/>
  <c r="AF12" i="7"/>
  <c r="AD12" i="7"/>
  <c r="AE12" i="7" s="1"/>
  <c r="Y12" i="7"/>
  <c r="Z12" i="7" s="1"/>
  <c r="T12" i="7"/>
  <c r="U12" i="7" s="1"/>
  <c r="O12" i="7"/>
  <c r="P12" i="7" s="1"/>
  <c r="J12" i="7"/>
  <c r="K12" i="7" s="1"/>
  <c r="E12" i="7"/>
  <c r="F12" i="7" s="1"/>
  <c r="AF11" i="7"/>
  <c r="AD11" i="7"/>
  <c r="AE11" i="7" s="1"/>
  <c r="Y11" i="7"/>
  <c r="Z11" i="7" s="1"/>
  <c r="T11" i="7"/>
  <c r="U11" i="7" s="1"/>
  <c r="O11" i="7"/>
  <c r="P11" i="7" s="1"/>
  <c r="J11" i="7"/>
  <c r="K11" i="7" s="1"/>
  <c r="E11" i="7"/>
  <c r="F11" i="7" s="1"/>
  <c r="AF10" i="7"/>
  <c r="AD10" i="7"/>
  <c r="AE10" i="7" s="1"/>
  <c r="Y10" i="7"/>
  <c r="Z10" i="7" s="1"/>
  <c r="T10" i="7"/>
  <c r="U10" i="7" s="1"/>
  <c r="O10" i="7"/>
  <c r="P10" i="7" s="1"/>
  <c r="J10" i="7"/>
  <c r="K10" i="7" s="1"/>
  <c r="E10" i="7"/>
  <c r="F10" i="7" s="1"/>
  <c r="AF9" i="7"/>
  <c r="AD9" i="7"/>
  <c r="AE9" i="7" s="1"/>
  <c r="Y9" i="7"/>
  <c r="Z9" i="7" s="1"/>
  <c r="T9" i="7"/>
  <c r="U9" i="7" s="1"/>
  <c r="O9" i="7"/>
  <c r="P9" i="7" s="1"/>
  <c r="J9" i="7"/>
  <c r="K9" i="7" s="1"/>
  <c r="E9" i="7"/>
  <c r="F9" i="7" s="1"/>
  <c r="AF8" i="7"/>
  <c r="AD8" i="7"/>
  <c r="AE8" i="7" s="1"/>
  <c r="Y8" i="7"/>
  <c r="Z8" i="7" s="1"/>
  <c r="T8" i="7"/>
  <c r="U8" i="7" s="1"/>
  <c r="O8" i="7"/>
  <c r="P8" i="7" s="1"/>
  <c r="J8" i="7"/>
  <c r="K8" i="7" s="1"/>
  <c r="E8" i="7"/>
  <c r="F8" i="7" s="1"/>
  <c r="AF7" i="7"/>
  <c r="AD7" i="7"/>
  <c r="AE7" i="7" s="1"/>
  <c r="Y7" i="7"/>
  <c r="Z7" i="7" s="1"/>
  <c r="T7" i="7"/>
  <c r="U7" i="7" s="1"/>
  <c r="O7" i="7"/>
  <c r="P7" i="7" s="1"/>
  <c r="J7" i="7"/>
  <c r="K7" i="7" s="1"/>
  <c r="E7" i="7"/>
  <c r="F7" i="7" s="1"/>
  <c r="AF6" i="7"/>
  <c r="AD6" i="7"/>
  <c r="AE6" i="7" s="1"/>
  <c r="Y6" i="7"/>
  <c r="Z6" i="7" s="1"/>
  <c r="T6" i="7"/>
  <c r="U6" i="7" s="1"/>
  <c r="O6" i="7"/>
  <c r="P6" i="7" s="1"/>
  <c r="J6" i="7"/>
  <c r="K6" i="7" s="1"/>
  <c r="E6" i="7"/>
  <c r="F6" i="7" s="1"/>
  <c r="AF5" i="7"/>
  <c r="AD5" i="7"/>
  <c r="AE5" i="7" s="1"/>
  <c r="Y5" i="7"/>
  <c r="Z5" i="7" s="1"/>
  <c r="T5" i="7"/>
  <c r="U5" i="7" s="1"/>
  <c r="O5" i="7"/>
  <c r="P5" i="7" s="1"/>
  <c r="J5" i="7"/>
  <c r="K5" i="7" s="1"/>
  <c r="E5" i="7"/>
  <c r="F5" i="7" s="1"/>
  <c r="H16" i="6"/>
  <c r="F21" i="6"/>
  <c r="L22" i="6" s="1"/>
  <c r="F22" i="6"/>
  <c r="L23" i="6" s="1"/>
  <c r="F23" i="6"/>
  <c r="L24" i="6" s="1"/>
  <c r="F24" i="6"/>
  <c r="L25" i="6" s="1"/>
  <c r="F25" i="6"/>
  <c r="L26" i="6" s="1"/>
  <c r="F26" i="6"/>
  <c r="L27" i="6" s="1"/>
  <c r="F27" i="6"/>
  <c r="L28" i="6" s="1"/>
  <c r="F28" i="6"/>
  <c r="L29" i="6" s="1"/>
  <c r="L30" i="6"/>
  <c r="M30" i="6" s="1"/>
  <c r="H29" i="6" s="1"/>
  <c r="L31" i="6"/>
  <c r="Q31" i="6" s="1"/>
  <c r="M31" i="6"/>
  <c r="H30" i="6" s="1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8" i="6"/>
  <c r="P18" i="6"/>
  <c r="O18" i="6"/>
  <c r="N18" i="6"/>
  <c r="M18" i="6"/>
  <c r="M17" i="6"/>
  <c r="M16" i="6"/>
  <c r="M15" i="6"/>
  <c r="M14" i="6"/>
  <c r="M13" i="6"/>
  <c r="P31" i="6"/>
  <c r="Q30" i="6"/>
  <c r="B28" i="6"/>
  <c r="B27" i="6"/>
  <c r="L73" i="1"/>
  <c r="L109" i="1" s="1"/>
  <c r="I80" i="1"/>
  <c r="F62" i="1" l="1"/>
  <c r="F98" i="1" s="1"/>
  <c r="N30" i="6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6"/>
  <c r="O31" i="6"/>
  <c r="R31" i="6"/>
  <c r="H80" i="1"/>
  <c r="R30" i="6"/>
  <c r="O30" i="6"/>
  <c r="P30" i="6"/>
  <c r="M28" i="6"/>
  <c r="G27" i="6" s="1"/>
  <c r="P28" i="6"/>
  <c r="Q28" i="6"/>
  <c r="R28" i="6"/>
  <c r="N28" i="6"/>
  <c r="O28" i="6"/>
  <c r="R22" i="6"/>
  <c r="O22" i="6"/>
  <c r="P22" i="6"/>
  <c r="Q22" i="6"/>
  <c r="M22" i="6"/>
  <c r="G21" i="6" s="1"/>
  <c r="N22" i="6"/>
  <c r="P25" i="6"/>
  <c r="R25" i="6"/>
  <c r="O25" i="6"/>
  <c r="Q25" i="6"/>
  <c r="N25" i="6"/>
  <c r="M25" i="6"/>
  <c r="G24" i="6" s="1"/>
  <c r="M24" i="6"/>
  <c r="G23" i="6" s="1"/>
  <c r="Q24" i="6"/>
  <c r="R24" i="6"/>
  <c r="N24" i="6"/>
  <c r="O24" i="6"/>
  <c r="P24" i="6"/>
  <c r="P27" i="6"/>
  <c r="O27" i="6"/>
  <c r="Q27" i="6"/>
  <c r="R27" i="6"/>
  <c r="N27" i="6"/>
  <c r="M27" i="6"/>
  <c r="G26" i="6" s="1"/>
  <c r="P29" i="6"/>
  <c r="R29" i="6"/>
  <c r="O29" i="6"/>
  <c r="Q29" i="6"/>
  <c r="N29" i="6"/>
  <c r="M29" i="6"/>
  <c r="G28" i="6" s="1"/>
  <c r="R26" i="6"/>
  <c r="O26" i="6"/>
  <c r="P26" i="6"/>
  <c r="N26" i="6"/>
  <c r="M26" i="6"/>
  <c r="G25" i="6" s="1"/>
  <c r="Q26" i="6"/>
  <c r="P23" i="6"/>
  <c r="O23" i="6"/>
  <c r="Q23" i="6"/>
  <c r="M23" i="6"/>
  <c r="G22" i="6" s="1"/>
  <c r="R23" i="6"/>
  <c r="N23" i="6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6"/>
  <c r="H23" i="6"/>
  <c r="H21" i="6"/>
  <c r="H22" i="6"/>
  <c r="H26" i="6"/>
  <c r="H24" i="6"/>
  <c r="H25" i="6"/>
  <c r="H27" i="6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guid="{A54D3B20-D548-4C0D-819A-BC57EEA8A953}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guid="{AC1E79F1-7911-4DCB-A234-C83519D2D5B4}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guid="{484AD04E-1C35-4B42-B523-527F1C6280C2}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guid="{BB7E0804-2760-4E8C-B908-C36DF42BEEEC}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guid="{2C367521-37CE-41D4-850A-E1028B940203}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guid="{F2EE60CF-A872-4EE8-905B-1046255D334E}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guid="{4D365BFC-D589-4FB7-B8F8-E6D576ABA83C}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guid="{CDA0C39E-59E9-40E2-B816-F8C9895C7A96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B6" authorId="0" guid="{16213089-000C-4D85-B9C6-E25F684E43F4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B7" authorId="0" guid="{2E435240-35C7-41D7-9114-E8558C60EAE9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Based on 90th percentile of one month of DAP data from Neuro 01</t>
        </r>
      </text>
    </comment>
    <comment ref="G10" authorId="0" guid="{E0B66C4F-D330-4C04-AB7D-1593A2511242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10" authorId="0" guid="{609FBDC6-4B23-4F49-992C-9FC71C2000C2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C11" authorId="0" guid="{951ECB1C-8446-4C60-864B-9BF05BB4DC6D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Dose limits per NCRP 116 recommendations.</t>
        </r>
      </text>
    </comment>
    <comment ref="D11" authorId="0" guid="{D748A59A-6E23-4CED-BCA2-88FA32133691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Occupancy factor</t>
        </r>
      </text>
    </comment>
    <comment ref="D28" authorId="0" guid="{8A00D5DC-0F86-4CE0-BC96-2AB17B6493E1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E28" authorId="0" guid="{640FAD60-AC0C-4FB9-A538-B01D60AC75A1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B1" authorId="0" guid="{A31E8ECD-7813-46DF-A833-56E18AD8FE93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Gamma ray exposure constant from Table 22-4, Cherry, Sorenson, Phelps, Physics in Nuclear Medicine 3ed</t>
        </r>
      </text>
    </comment>
    <comment ref="N4" authorId="0" guid="{97004C08-E98C-4235-9031-8DD948FF812E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activity in patient is attenuated by ~1 HVL of soft tissue (about 5 cm)</t>
        </r>
      </text>
    </comment>
    <comment ref="C6" authorId="0" guid="{CA1198F6-A1F4-4E6E-AB0F-4FDDFE19249F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Fraction of hour @ avg. activity</t>
        </r>
      </text>
    </comment>
    <comment ref="N8" authorId="0" guid="{4E0D1A1F-2EC3-4A24-8CB5-8B1F44DE4ACE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0.15 voided activity factor</t>
        </r>
      </text>
    </comment>
    <comment ref="C17" authorId="0" guid="{01FF8792-9D2B-451F-9F69-1D57913ACBDF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C - Controlled
U - Uncontrolled</t>
        </r>
      </text>
    </comment>
    <comment ref="B47" authorId="0" guid="{48277E40-4B17-4176-8775-6E254303938C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Sum of the exposures from the source areas to each target area</t>
        </r>
      </text>
    </comment>
  </commentList>
</comments>
</file>

<file path=xl/comments5.xml><?xml version="1.0" encoding="utf-8"?>
<comments xmlns="http://schemas.openxmlformats.org/spreadsheetml/2006/main">
  <authors>
    <author>Eugene Mah</author>
  </authors>
  <commentList>
    <comment ref="Q18" authorId="0" guid="{794EBF58-FEB9-4016-A8BC-D6B9E2BE0B29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guid="{74A3C24B-AEEA-44C2-A91A-B4EAAF3F5029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guid="{D8AA594C-68DA-4EF2-B51B-54E2D3FCE43A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guid="{C1690B31-F8CD-447B-BB92-5D0724CD4B55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guid="{52D99202-BDBA-4238-A7EC-E5D79EFA479C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guid="{B9439FC8-7257-42B9-9B7B-03D0B55A7D14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guid="{673B77F2-313F-4E9C-972A-97ACE9D9ABC3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guid="{8CD26A22-025D-48B9-AA27-7F17D46A1E78}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6.xml><?xml version="1.0" encoding="utf-8"?>
<comments xmlns="http://schemas.openxmlformats.org/spreadsheetml/2006/main">
  <authors>
    <author>Eugene Mah</author>
  </authors>
  <commentList>
    <comment ref="L11" authorId="0" guid="{CB6F28AA-5C7C-49C2-9EF1-E6C2719BC9A1}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guid="{65DD9A48-BA53-4E19-9805-AEBBFCF0813B}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guid="{C1F0F6D6-C41B-41E8-AC5C-0E47A2210A9E}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guid="{546CFB77-D1F3-42FF-9B28-3E42181167D9}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guid="{32E074A4-B70C-46D3-AC02-39A1394FBED4}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guid="{340B8057-1A8F-456D-AA2A-7882A2EA632C}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guid="{BC8AD7AA-D96D-4A2E-B3C3-8A28DEBC2BA9}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guid="{62E52DEA-38CA-4FC4-B810-A5AD2D69D8BD}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guid="{BF150470-71C3-4A84-BCDC-4B6973D4E316}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guid="{283A4AD4-F2E7-429C-A97D-D8313B5B4A5F}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guid="{20D3CEAA-A42E-44C9-A539-11B332CFD500}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guid="{2A62E9ED-6216-4E2B-A719-A75351A3B396}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<sst xmlns="http://schemas.openxmlformats.org/spreadsheetml/2006/main" count="1104" uniqueCount="421">
  <si>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</si>
  <si>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</si>
  <si>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</si>
  <si>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</si>
  <si>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</si>
  <si>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</si>
  <si>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</si>
  <si>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</si>
  <si>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</si>
  <si>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</si>
  <si>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</si>
  <si>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</si>
  <si>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</si>
  <si>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</si>
  <si>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</si>
  <si>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</si>
  <si>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</si>
  <si>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</si>
  <si>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</si>
  <si>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</si>
  <si>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</si>
  <si>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</si>
  <si>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</si>
  <si>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</si>
  <si>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</si>
  <si>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</si>
  <si>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</si>
  <si>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</si>
  <si>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</si>
  <si>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</si>
  <si>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</si>
  <si>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</si>
  <si>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</si>
  <si>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</si>
  <si>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</si>
  <si>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</si>
  <si>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</si>
  <si>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</si>
  <si>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</si>
  <si>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</si>
  <si>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</si>
  <si>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</si>
  <si>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</si>
  <si>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</si>
  <si>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</si>
  <si>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</si>
  <si>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</si>
  <si>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</si>
  <si>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</si>
  <si>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</si>
  <si>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</si>
  <si>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</si>
  <si>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</si>
  <si>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</si>
  <si>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</si>
  <si>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</si>
  <si>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</si>
  <si>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</si>
  <si>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</si>
  <si>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</si>
  <si>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</si>
  <si>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</si>
  <si>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</si>
  <si>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</si>
  <si>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</si>
  <si>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</si>
  <si>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</si>
  <si>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</si>
  <si>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</si>
  <si>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</si>
  <si>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</si>
  <si>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</si>
  <si>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</si>
  <si>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</si>
  <si>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</si>
  <si>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</si>
  <si>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</si>
  <si>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</si>
  <si>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</si>
  <si>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</si>
  <si>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</si>
  <si>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</si>
  <si>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</si>
  <si>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</si>
  <si>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</si>
  <si>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</si>
  <si>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</si>
  <si>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</si>
  <si>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</si>
  <si>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</si>
  <si>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</si>
  <si>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</si>
  <si>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</si>
  <si>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</si>
  <si>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</si>
  <si>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</si>
  <si>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</si>
  <si>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</si>
  <si>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</si>
  <si>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</si>
  <si>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</si>
  <si>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</si>
  <si>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</si>
  <si>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</si>
  <si>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</si>
  <si>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</si>
  <si>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</si>
  <si>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</si>
  <si>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</si>
  <si>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</si>
  <si>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</si>
  <si>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</si>
  <si>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</si>
  <si>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</si>
  <si>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</si>
  <si>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</si>
  <si>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</si>
  <si>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</si>
  <si>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</si>
  <si>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</si>
  <si>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</si>
  <si>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</si>
  <si>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</si>
  <si>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</si>
  <si>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</si>
  <si>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</si>
  <si>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</si>
  <si>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</si>
  <si>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</si>
  <si>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</si>
  <si>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</si>
  <si>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</si>
  <si>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</si>
  <si>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</si>
  <si>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</si>
  <si>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</si>
  <si>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</si>
  <si>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</si>
  <si>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</si>
  <si>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</si>
  <si>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</si>
  <si>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</si>
  <si>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</si>
  <si>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</si>
  <si>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</si>
  <si>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</si>
  <si>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</si>
  <si>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</si>
  <si>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</si>
  <si>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</si>
  <si>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</si>
  <si>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</si>
  <si>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</si>
  <si>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</si>
  <si>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</si>
  <si>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</si>
  <si>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</si>
  <si>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</si>
  <si>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</si>
  <si>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</si>
  <si>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</si>
  <si>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</si>
  <si>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</si>
  <si>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</si>
  <si>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</si>
  <si>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</si>
  <si>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</si>
  <si>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</si>
  <si>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</si>
  <si>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</si>
  <si>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</si>
  <si>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</si>
  <si>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</si>
  <si>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</si>
  <si>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</si>
  <si>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</si>
  <si>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</si>
  <si>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</si>
  <si>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</si>
  <si>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</si>
  <si>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</si>
  <si>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</si>
  <si>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</si>
  <si>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</si>
  <si>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</si>
  <si>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</si>
  <si>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</si>
  <si>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</si>
  <si>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</si>
  <si>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</si>
  <si>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</si>
  <si>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</si>
  <si>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</si>
  <si>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</si>
  <si>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</si>
  <si>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</si>
  <si>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</si>
  <si>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</si>
  <si>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</si>
  <si>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</si>
  <si>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</si>
  <si>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</si>
  <si>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</si>
  <si>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</si>
  <si>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</si>
  <si>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</si>
  <si>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</si>
  <si>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</si>
  <si>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</si>
  <si>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</si>
  <si>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</si>
  <si>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</si>
  <si>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</si>
  <si>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</si>
  <si>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</si>
  <si>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</si>
  <si>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</si>
  <si>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</si>
  <si>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</si>
  <si>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</si>
  <si>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</si>
  <si>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</si>
  <si>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</si>
  <si>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</si>
  <si>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</si>
  <si>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</si>
  <si>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</si>
  <si>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</si>
  <si>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</si>
  <si>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</si>
  <si>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</si>
  <si>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</si>
  <si>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</si>
  <si>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</si>
  <si>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</si>
  <si>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</si>
  <si>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</si>
  <si>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</si>
  <si>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</si>
  <si>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</si>
  <si>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</si>
  <si>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</si>
  <si>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</si>
  <si>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</si>
  <si>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</si>
  <si>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</si>
  <si>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</si>
  <si>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</si>
  <si>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</si>
  <si>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</si>
  <si>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</si>
  <si>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</si>
  <si>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</si>
  <si>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</si>
  <si>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</si>
  <si>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</si>
  <si>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</si>
  <si>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</si>
  <si>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</si>
  <si>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</si>
  <si>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</si>
  <si>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</si>
  <si>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</si>
  <si>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</si>
  <si>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</si>
  <si>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</si>
  <si>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</si>
  <si>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</si>
  <si>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</si>
  <si>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</si>
  <si>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</si>
  <si>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</si>
  <si>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</si>
  <si>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</si>
  <si>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</si>
  <si>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</si>
  <si>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</si>
  <si>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</si>
  <si>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</si>
  <si>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</si>
  <si>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</si>
  <si>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</si>
  <si>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</si>
  <si>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</si>
  <si>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</si>
  <si>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</si>
  <si>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</si>
  <si>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</si>
  <si>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</si>
  <si>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</si>
  <si>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</si>
  <si>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</si>
  <si>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</si>
  <si>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</si>
  <si>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</si>
  <si>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</si>
  <si>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</si>
  <si>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</si>
  <si>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</si>
  <si>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</si>
  <si>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</si>
  <si>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</si>
  <si>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</si>
  <si>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</si>
  <si>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</si>
  <si>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</si>
  <si>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</si>
  <si>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</si>
  <si>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</si>
  <si>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</si>
  <si>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</si>
  <si>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</si>
  <si>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</si>
  <si>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</si>
  <si>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</si>
  <si>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</si>
  <si>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</si>
  <si>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</si>
  <si>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</si>
  <si>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</si>
  <si>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</si>
  <si>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</si>
  <si>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</si>
  <si>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</si>
  <si>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</si>
  <si>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</si>
  <si>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</si>
  <si>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</si>
  <si>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</si>
  <si>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</si>
  <si>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</si>
  <si>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</si>
  <si>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</si>
  <si>
    <t>Tc-99m</t>
  </si>
  <si>
    <t>mSv-m^2/MBq-h</t>
  </si>
  <si>
    <t>Activity Calculations</t>
  </si>
  <si>
    <t>N/day</t>
  </si>
  <si>
    <t>mCi</t>
  </si>
  <si>
    <t>MBq</t>
  </si>
  <si>
    <t>N/week</t>
  </si>
  <si>
    <t>Patients per week</t>
  </si>
  <si>
    <t>Administered activity</t>
  </si>
  <si>
    <t>Sources</t>
  </si>
  <si>
    <t>Avg activity (MBq)</t>
  </si>
  <si>
    <t>Work factor</t>
  </si>
  <si>
    <t>MBq-h/wk</t>
  </si>
  <si>
    <t>mSv-m^2/wk</t>
  </si>
  <si>
    <t>Equivalent unshielded activity in patient</t>
  </si>
  <si>
    <t>Hot lab</t>
  </si>
  <si>
    <t>Uptake duration (minutes)</t>
  </si>
  <si>
    <t>NM Hold 1</t>
  </si>
  <si>
    <t>Avg activity during uptake</t>
  </si>
  <si>
    <t>NM Hold 2</t>
  </si>
  <si>
    <t>Activity at end of uptake</t>
  </si>
  <si>
    <t>NM Camera 1</t>
  </si>
  <si>
    <t>Activity following void</t>
  </si>
  <si>
    <t>NM Camera 2</t>
  </si>
  <si>
    <t>Scan duration (minutes)</t>
  </si>
  <si>
    <t>Stress Lab</t>
  </si>
  <si>
    <t>Avg activity during scan</t>
  </si>
  <si>
    <t>Hot Toilet</t>
  </si>
  <si>
    <t>Activty at end of scan</t>
  </si>
  <si>
    <t>Radiology Waiting</t>
  </si>
  <si>
    <t>Lead mass attenuation coeff</t>
  </si>
  <si>
    <t>Lead density</t>
  </si>
  <si>
    <t>Areas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</si>
  <si>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</si>
  <si>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</si>
  <si>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</si>
  <si>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</si>
  <si>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</si>
  <si>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</si>
  <si>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</si>
  <si>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</si>
  <si>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</si>
  <si>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</si>
  <si>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</si>
  <si>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</si>
  <si>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</si>
  <si>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</si>
  <si>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</si>
  <si>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</si>
  <si>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</si>
  <si>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</si>
  <si>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</si>
  <si>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</si>
  <si>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</si>
  <si>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</si>
  <si>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</si>
  <si>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Target area</t>
  </si>
  <si>
    <t>Source area</t>
  </si>
  <si>
    <t>Required shielding for each target area from each source area</t>
  </si>
  <si>
    <t>mm Concrete</t>
  </si>
  <si>
    <t>uGy/week</t>
  </si>
  <si>
    <t>Exp @ Barrier</t>
  </si>
  <si>
    <t>B Plane</t>
  </si>
  <si>
    <t>A Plane</t>
  </si>
  <si>
    <t>Wall C Offices</t>
  </si>
  <si>
    <t>Wall B Offices</t>
  </si>
  <si>
    <t>Wall D2</t>
  </si>
  <si>
    <t>Wall D1</t>
  </si>
  <si>
    <t>µGy·m²</t>
  </si>
  <si>
    <t>Gy·cm²</t>
  </si>
  <si>
    <t>uGy/Gy-cm^2</t>
  </si>
  <si>
    <t>P (mSv)</t>
  </si>
  <si>
    <t>Distance (m)</t>
  </si>
  <si>
    <t>dGy·cm²</t>
  </si>
  <si>
    <t>Isocontour @ barrier</t>
  </si>
  <si>
    <t>B Plane Isocontour</t>
  </si>
  <si>
    <t>A Plane Isocontour</t>
  </si>
  <si>
    <t>cGy·cm²</t>
  </si>
  <si>
    <t>mGy·cm²</t>
  </si>
  <si>
    <t>B DAP/pt</t>
  </si>
  <si>
    <t>KAP Conversion Table</t>
  </si>
  <si>
    <t>A DAP/pt</t>
  </si>
  <si>
    <t>Pts/wk</t>
  </si>
  <si>
    <t>Neuro2</t>
  </si>
  <si>
    <t>Neuro 1</t>
  </si>
  <si>
    <t>B</t>
  </si>
  <si>
    <t>A</t>
  </si>
  <si>
    <t>EH649H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</si>
</sst>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401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165" fontId="8" fillId="0" borderId="24" xfId="0" applyNumberFormat="1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vertical="center"/>
    </xf>
    <xf numFmtId="0" fontId="2" fillId="0" borderId="0" xfId="4" applyFont="1" applyAlignment="1">
      <alignment horizontal="right" vertical="center"/>
    </xf>
    <xf numFmtId="2" fontId="2" fillId="0" borderId="24" xfId="4" applyNumberFormat="1" applyFont="1" applyFill="1" applyBorder="1" applyAlignment="1">
      <alignment horizontal="center" vertical="center"/>
    </xf>
    <xf numFmtId="164" fontId="2" fillId="0" borderId="24" xfId="4" applyNumberFormat="1" applyFont="1" applyFill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Font="1"/>
    <xf numFmtId="164" fontId="2" fillId="0" borderId="24" xfId="4" applyNumberFormat="1" applyFont="1" applyBorder="1" applyAlignment="1">
      <alignment horizontal="center" vertical="center"/>
    </xf>
    <xf numFmtId="0" fontId="2" fillId="8" borderId="24" xfId="4" applyFont="1" applyFill="1" applyBorder="1" applyAlignment="1">
      <alignment horizontal="center" vertical="center"/>
    </xf>
    <xf numFmtId="0" fontId="2" fillId="8" borderId="48" xfId="4" applyFont="1" applyFill="1" applyBorder="1" applyAlignment="1">
      <alignment horizontal="center" vertical="center"/>
    </xf>
    <xf numFmtId="2" fontId="2" fillId="8" borderId="24" xfId="4" applyNumberFormat="1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46" xfId="2" applyFont="1" applyBorder="1" applyAlignment="1">
      <alignment horizontal="center" vertical="center" wrapText="1"/>
    </xf>
    <xf numFmtId="0" fontId="2" fillId="0" borderId="0" xfId="4" applyFont="1" applyAlignment="1">
      <alignment horizontal="center" vertical="center" wrapText="1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47" xfId="4" applyFont="1" applyBorder="1" applyAlignment="1">
      <alignment horizontal="center" vertical="center"/>
    </xf>
    <xf numFmtId="164" fontId="2" fillId="8" borderId="47" xfId="4" applyNumberFormat="1" applyFont="1" applyFill="1" applyBorder="1" applyAlignment="1">
      <alignment horizontal="center" vertical="center"/>
    </xf>
    <xf numFmtId="0" fontId="2" fillId="0" borderId="46" xfId="4" applyFont="1" applyBorder="1" applyAlignment="1">
      <alignment horizontal="center" vertical="center"/>
    </xf>
    <xf numFmtId="0" fontId="2" fillId="8" borderId="46" xfId="4" applyFont="1" applyFill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0" fillId="0" borderId="29" xfId="4" applyFont="1" applyBorder="1" applyAlignment="1">
      <alignment horizontal="center" vertical="center"/>
    </xf>
    <xf numFmtId="0" fontId="2" fillId="0" borderId="30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176" fontId="2" fillId="0" borderId="0" xfId="4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95250</xdr:rowOff>
    </xdr:from>
    <xdr:to>
      <xdr:col>4</xdr:col>
      <xdr:colOff>0</xdr:colOff>
      <xdr:row>77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C4B5C2-26DD-4D3F-B577-BB44D7CCA2A1}">
  <header guid="{F4C4B5C2-26DD-4D3F-B577-BB44D7CCA2A1}" dateTime="2020-06-03T09:46:10" maxSheetId="19" userName="Eugene Mah" r:id="rId1">
    <sheetIdMap count="1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abSelected="1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customSheetViews>
    <customSheetView guid="{488A6099-7FEF-4C88-B110-024D46F0253F}">
      <rowBreaks count="2" manualBreakCount="2">
        <brk id="40" max="13" man="1"/>
        <brk id="76" max="13" man="1"/>
      </rowBreaks>
      <pageMargins left="0.25" right="0.25" top="0.5" bottom="0.5" header="0" footer="0.5"/>
      <printOptions horizontalCentered="1"/>
      <pageSetup orientation="landscape" horizontalDpi="360" verticalDpi="180" r:id="rId1"/>
      <headerFooter alignWithMargins="0">
        <oddHeader>&amp;A</oddHeader>
        <oddFooter>&amp;CPage &amp;P&amp;R&amp;D</oddFooter>
      </headerFooter>
    </customSheetView>
  </customSheetViews>
  <phoneticPr fontId="4" type="noConversion"/>
  <printOptions horizontalCentered="1"/>
  <pageMargins left="0.25" right="0.25" top="0.5" bottom="0.5" header="0" footer="0.5"/>
  <pageSetup orientation="landscape" horizontalDpi="360" verticalDpi="180" r:id="rId2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5" sqref="E5:F12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99" t="s">
        <v>230</v>
      </c>
      <c r="D3" s="399"/>
      <c r="E3" s="399" t="s">
        <v>231</v>
      </c>
      <c r="F3" s="399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B5*C5</f>
        <v>72.109200000000001</v>
      </c>
      <c r="F5" s="295">
        <f>B5*D5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B6*C6</f>
        <v>222.09251999999995</v>
      </c>
      <c r="F6" s="295">
        <f t="shared" ref="F6:F12" si="1">B6*D6</f>
        <v>296.12335999999993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43.168599999999998</v>
      </c>
      <c r="F7" s="295">
        <f t="shared" si="1"/>
        <v>86.337199999999996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257.86799999999999</v>
      </c>
      <c r="F8" s="295">
        <f t="shared" si="1"/>
        <v>386.80200000000002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37.749974999999992</v>
      </c>
      <c r="F9" s="295">
        <f t="shared" si="1"/>
        <v>60.399959999999986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535.6</v>
      </c>
      <c r="F10" s="295">
        <f t="shared" si="1"/>
        <v>1071.2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3191.2200000000003</v>
      </c>
      <c r="F11" s="295">
        <f t="shared" si="1"/>
        <v>4786.83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1283.4879999999998</v>
      </c>
      <c r="F12" s="295">
        <f t="shared" si="1"/>
        <v>1925.2319999999997</v>
      </c>
    </row>
  </sheetData>
  <customSheetViews>
    <customSheetView guid="{488A6099-7FEF-4C88-B110-024D46F0253F}">
      <selection activeCell="E5" sqref="E5:F12"/>
      <pageMargins left="0.7" right="0.7" top="0.75" bottom="0.75" header="0.3" footer="0.3"/>
    </customSheetView>
  </customSheetViews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customSheetViews>
    <customSheetView guid="{488A6099-7FEF-4C88-B110-024D46F0253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customSheetViews>
    <customSheetView guid="{488A6099-7FEF-4C88-B110-024D46F0253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8" sqref="J8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98" t="s">
        <v>248</v>
      </c>
      <c r="F6" s="398"/>
      <c r="G6" s="398"/>
      <c r="H6" s="398"/>
      <c r="I6" s="398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customSheetViews>
    <customSheetView guid="{488A6099-7FEF-4C88-B110-024D46F0253F}">
      <selection activeCell="J8" sqref="J8"/>
      <pageMargins left="0.7" right="0.7" top="0.75" bottom="0.75" header="0.3" footer="0.3"/>
    </customSheetView>
  </customSheetViews>
  <mergeCells count="1">
    <mergeCell ref="E6:I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customSheetViews>
    <customSheetView guid="{488A6099-7FEF-4C88-B110-024D46F0253F}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98" t="s">
        <v>94</v>
      </c>
      <c r="C4" s="398"/>
      <c r="D4" s="398"/>
      <c r="E4" s="398"/>
      <c r="F4" s="398"/>
      <c r="G4" s="398"/>
      <c r="H4" s="398"/>
      <c r="I4" s="398" t="s">
        <v>95</v>
      </c>
      <c r="J4" s="398"/>
      <c r="K4" s="398"/>
      <c r="L4" s="398"/>
      <c r="M4" s="398"/>
      <c r="N4" s="398"/>
      <c r="O4" s="398"/>
      <c r="P4" s="398" t="s">
        <v>52</v>
      </c>
      <c r="Q4" s="398"/>
      <c r="R4" s="398"/>
      <c r="S4" s="398"/>
      <c r="T4" s="398"/>
      <c r="U4" s="398"/>
      <c r="V4" s="398"/>
      <c r="W4" s="398" t="s">
        <v>54</v>
      </c>
      <c r="X4" s="398"/>
      <c r="Y4" s="398"/>
      <c r="Z4" s="398"/>
      <c r="AA4" s="398"/>
      <c r="AB4" s="398"/>
      <c r="AC4" s="398"/>
      <c r="AD4" s="398" t="s">
        <v>96</v>
      </c>
      <c r="AE4" s="398"/>
      <c r="AF4" s="398"/>
      <c r="AG4" s="398"/>
      <c r="AH4" s="398"/>
      <c r="AI4" s="398"/>
      <c r="AJ4" s="398"/>
      <c r="AK4" s="398" t="s">
        <v>58</v>
      </c>
      <c r="AL4" s="398"/>
      <c r="AM4" s="398"/>
      <c r="AN4" s="398"/>
      <c r="AO4" s="398"/>
      <c r="AP4" s="398"/>
      <c r="AQ4" s="398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400" t="s">
        <v>249</v>
      </c>
      <c r="B3" s="398" t="s">
        <v>94</v>
      </c>
      <c r="C3" s="398"/>
      <c r="D3" s="398"/>
      <c r="E3" s="305"/>
      <c r="F3" s="305"/>
      <c r="G3" s="398" t="s">
        <v>95</v>
      </c>
      <c r="H3" s="398"/>
      <c r="I3" s="398"/>
      <c r="J3" s="305"/>
      <c r="K3" s="305"/>
      <c r="L3" s="398" t="s">
        <v>52</v>
      </c>
      <c r="M3" s="398"/>
      <c r="N3" s="398"/>
      <c r="O3" s="305"/>
      <c r="P3" s="305"/>
      <c r="Q3" s="398" t="s">
        <v>54</v>
      </c>
      <c r="R3" s="398"/>
      <c r="S3" s="398"/>
      <c r="T3" s="305"/>
      <c r="U3" s="305"/>
      <c r="V3" s="398" t="s">
        <v>96</v>
      </c>
      <c r="W3" s="398"/>
      <c r="X3" s="398"/>
      <c r="Y3" s="305"/>
      <c r="Z3" s="305"/>
      <c r="AA3" s="398" t="s">
        <v>58</v>
      </c>
      <c r="AB3" s="398"/>
      <c r="AC3" s="398"/>
    </row>
    <row r="4" spans="1:31" x14ac:dyDescent="0.2">
      <c r="A4" s="400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customSheetViews>
    <customSheetView guid="{488A6099-7FEF-4C88-B110-024D46F0253F}">
      <selection activeCell="E5" sqref="E5:F5"/>
      <pageMargins left="0.7" right="0.7" top="0.75" bottom="0.75" header="0.3" footer="0.3"/>
    </customSheetView>
  </customSheetViews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>
      <selection activeCell="B2" sqref="B2:D2"/>
    </sheetView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98" t="s">
        <v>94</v>
      </c>
      <c r="C2" s="398"/>
      <c r="D2" s="398"/>
      <c r="E2" s="323"/>
      <c r="F2" s="323"/>
      <c r="G2" s="398" t="s">
        <v>95</v>
      </c>
      <c r="H2" s="398"/>
      <c r="I2" s="398"/>
      <c r="J2" s="323"/>
      <c r="K2" s="323"/>
      <c r="L2" s="398" t="s">
        <v>52</v>
      </c>
      <c r="M2" s="398"/>
      <c r="N2" s="398"/>
      <c r="O2" s="323"/>
      <c r="P2" s="323"/>
      <c r="Q2" s="398" t="s">
        <v>54</v>
      </c>
      <c r="R2" s="398"/>
      <c r="S2" s="398"/>
      <c r="T2" s="323"/>
      <c r="U2" s="323"/>
      <c r="V2" s="398" t="s">
        <v>96</v>
      </c>
      <c r="W2" s="398"/>
      <c r="X2" s="398"/>
      <c r="Y2" s="323"/>
      <c r="Z2" s="323"/>
      <c r="AA2" s="398" t="s">
        <v>58</v>
      </c>
      <c r="AB2" s="398"/>
      <c r="AC2" s="398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98" t="s">
        <v>94</v>
      </c>
      <c r="C12" s="398"/>
      <c r="D12" s="398"/>
      <c r="E12" s="323"/>
      <c r="F12" s="323"/>
      <c r="G12" s="398" t="s">
        <v>95</v>
      </c>
      <c r="H12" s="398"/>
      <c r="I12" s="398"/>
      <c r="J12" s="323"/>
      <c r="K12" s="323"/>
      <c r="L12" s="398" t="s">
        <v>52</v>
      </c>
      <c r="M12" s="398"/>
      <c r="N12" s="398"/>
      <c r="O12" s="323"/>
      <c r="P12" s="323"/>
      <c r="Q12" s="398" t="s">
        <v>54</v>
      </c>
      <c r="R12" s="398"/>
      <c r="S12" s="398"/>
      <c r="T12" s="323"/>
      <c r="U12" s="323"/>
      <c r="V12" s="398" t="s">
        <v>96</v>
      </c>
      <c r="W12" s="398"/>
      <c r="X12" s="398"/>
      <c r="Y12" s="323"/>
      <c r="Z12" s="323"/>
      <c r="AA12" s="398" t="s">
        <v>58</v>
      </c>
      <c r="AB12" s="398"/>
      <c r="AC12" s="398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98" t="s">
        <v>94</v>
      </c>
      <c r="C24" s="398"/>
      <c r="D24" s="398"/>
      <c r="E24" s="323"/>
      <c r="F24" s="323"/>
      <c r="G24" s="398" t="s">
        <v>95</v>
      </c>
      <c r="H24" s="398"/>
      <c r="I24" s="398"/>
      <c r="J24" s="323"/>
      <c r="K24" s="323"/>
      <c r="L24" s="398" t="s">
        <v>52</v>
      </c>
      <c r="M24" s="398"/>
      <c r="N24" s="398"/>
      <c r="O24" s="323"/>
      <c r="P24" s="323"/>
      <c r="Q24" s="398" t="s">
        <v>54</v>
      </c>
      <c r="R24" s="398"/>
      <c r="S24" s="398"/>
      <c r="T24" s="323"/>
      <c r="U24" s="323"/>
      <c r="V24" s="398" t="s">
        <v>96</v>
      </c>
      <c r="W24" s="398"/>
      <c r="X24" s="398"/>
      <c r="Y24" s="323"/>
      <c r="Z24" s="323"/>
      <c r="AA24" s="398" t="s">
        <v>58</v>
      </c>
      <c r="AB24" s="398"/>
      <c r="AC24" s="398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98" t="s">
        <v>94</v>
      </c>
      <c r="D34" s="398"/>
      <c r="E34" s="398"/>
      <c r="F34" s="398"/>
      <c r="G34" s="398"/>
      <c r="H34" s="398" t="s">
        <v>95</v>
      </c>
      <c r="I34" s="398"/>
      <c r="J34" s="398"/>
      <c r="K34" s="398"/>
      <c r="L34" s="398"/>
      <c r="M34" s="398" t="s">
        <v>52</v>
      </c>
      <c r="N34" s="398"/>
      <c r="O34" s="398"/>
      <c r="P34" s="398"/>
      <c r="Q34" s="398"/>
      <c r="R34" s="398" t="s">
        <v>54</v>
      </c>
      <c r="S34" s="398"/>
      <c r="T34" s="398"/>
      <c r="U34" s="398"/>
      <c r="V34" s="398"/>
      <c r="W34" s="398" t="s">
        <v>96</v>
      </c>
      <c r="X34" s="398"/>
      <c r="Y34" s="398"/>
      <c r="Z34" s="398"/>
      <c r="AA34" s="398"/>
      <c r="AB34" s="398" t="s">
        <v>58</v>
      </c>
      <c r="AC34" s="398"/>
      <c r="AD34" s="398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customSheetViews>
    <customSheetView guid="{488A6099-7FEF-4C88-B110-024D46F0253F}" scale="75">
      <selection activeCell="B2" sqref="B2:D2"/>
      <pageMargins left="0.7" right="0.7" top="0.75" bottom="0.75" header="0.3" footer="0.3"/>
    </customSheetView>
  </customSheetViews>
  <mergeCells count="24">
    <mergeCell ref="AB34:AD34"/>
    <mergeCell ref="C34:G34"/>
    <mergeCell ref="H34:L34"/>
    <mergeCell ref="M34:Q34"/>
    <mergeCell ref="R34:V34"/>
    <mergeCell ref="W34:AA34"/>
    <mergeCell ref="AA2:AC2"/>
    <mergeCell ref="B2:D2"/>
    <mergeCell ref="G2:I2"/>
    <mergeCell ref="L2:N2"/>
    <mergeCell ref="Q2:S2"/>
    <mergeCell ref="V2:X2"/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zoomScaleNormal="100" workbookViewId="0"/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20" width="8.6640625" style="306" customWidth="1"/>
    <col min="21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75"/>
      <c r="C2" s="376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77" t="s">
        <v>59</v>
      </c>
      <c r="C5" s="377"/>
      <c r="D5" s="377" t="s">
        <v>328</v>
      </c>
      <c r="E5" s="377"/>
      <c r="F5" s="377"/>
      <c r="J5" s="378" t="s">
        <v>305</v>
      </c>
      <c r="K5" s="377"/>
      <c r="L5" s="377"/>
      <c r="M5" s="377"/>
      <c r="N5" s="377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73" t="s">
        <v>306</v>
      </c>
      <c r="K9" s="374"/>
      <c r="L9" s="374"/>
      <c r="M9" s="374"/>
      <c r="N9" s="374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73" t="s">
        <v>303</v>
      </c>
      <c r="K13" s="374"/>
      <c r="L13" s="374"/>
      <c r="M13" s="374"/>
      <c r="N13" s="374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73" t="s">
        <v>304</v>
      </c>
      <c r="K17" s="374"/>
      <c r="L17" s="374"/>
      <c r="M17" s="374"/>
      <c r="N17" s="374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</sheetData>
  <customSheetViews>
    <customSheetView guid="{488A6099-7FEF-4C88-B110-024D46F0253F}">
      <pageMargins left="0.7" right="0.7" top="0.75" bottom="0.75" header="0.3" footer="0.3"/>
      <pageSetup scale="77" firstPageNumber="0" orientation="portrait" horizontalDpi="300" verticalDpi="300" r:id="rId1"/>
    </customSheetView>
  </customSheetViews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zoomScaleNormal="100" workbookViewId="0">
      <selection activeCell="M12" sqref="M12"/>
    </sheetView>
  </sheetViews>
  <sheetFormatPr defaultRowHeight="12.75" x14ac:dyDescent="0.2"/>
  <cols>
    <col min="1" max="14" width="12.83203125" style="350" customWidth="1"/>
    <col min="15" max="16" width="8.6640625" style="350" customWidth="1"/>
    <col min="17" max="17" width="8.6640625" style="352" customWidth="1"/>
    <col min="18" max="18" width="8.6640625" style="351" customWidth="1"/>
    <col min="19" max="20" width="8.6640625" style="350" customWidth="1"/>
    <col min="21" max="16384" width="9.33203125" style="350"/>
  </cols>
  <sheetData>
    <row r="1" spans="1:22" x14ac:dyDescent="0.2">
      <c r="A1" s="352" t="s">
        <v>2</v>
      </c>
      <c r="B1" s="351" t="s">
        <v>420</v>
      </c>
      <c r="Q1" s="381" t="s">
        <v>131</v>
      </c>
      <c r="R1" s="381"/>
      <c r="U1" s="350" t="s">
        <v>419</v>
      </c>
      <c r="V1" s="350" t="s">
        <v>418</v>
      </c>
    </row>
    <row r="2" spans="1:22" x14ac:dyDescent="0.2">
      <c r="A2" s="352" t="s">
        <v>8</v>
      </c>
      <c r="B2" s="382">
        <v>43880</v>
      </c>
      <c r="C2" s="383"/>
      <c r="Q2" s="352" t="s">
        <v>417</v>
      </c>
      <c r="R2" s="351" t="s">
        <v>416</v>
      </c>
      <c r="U2" s="350" t="s">
        <v>187</v>
      </c>
      <c r="V2" s="350" t="s">
        <v>187</v>
      </c>
    </row>
    <row r="3" spans="1:22" x14ac:dyDescent="0.2">
      <c r="A3" s="352" t="s">
        <v>9</v>
      </c>
      <c r="B3" s="351" t="s">
        <v>102</v>
      </c>
      <c r="P3" s="350">
        <v>2019</v>
      </c>
      <c r="Q3" s="352">
        <f>SUM(62,52,69,81,54,66,82,66,55,65,61,35)</f>
        <v>748</v>
      </c>
      <c r="R3" s="351">
        <f>SUM(41,41,53,55,47,69,77,57,38,56,50,49)</f>
        <v>633</v>
      </c>
      <c r="U3" s="350">
        <v>7621.5</v>
      </c>
      <c r="V3" s="350">
        <v>2492</v>
      </c>
    </row>
    <row r="4" spans="1:22" x14ac:dyDescent="0.2">
      <c r="P4" s="350" t="s">
        <v>415</v>
      </c>
      <c r="Q4" s="352">
        <f>Q3/52</f>
        <v>14.384615384615385</v>
      </c>
      <c r="R4" s="351">
        <f>R3/52</f>
        <v>12.173076923076923</v>
      </c>
      <c r="U4" s="350">
        <v>5987.4</v>
      </c>
      <c r="V4" s="350">
        <v>2097</v>
      </c>
    </row>
    <row r="5" spans="1:22" x14ac:dyDescent="0.2">
      <c r="A5" s="350" t="s">
        <v>309</v>
      </c>
      <c r="B5" s="372">
        <v>25</v>
      </c>
      <c r="F5"/>
      <c r="G5"/>
      <c r="U5" s="350">
        <v>5016.1000000000004</v>
      </c>
      <c r="V5" s="350">
        <v>893.58</v>
      </c>
    </row>
    <row r="6" spans="1:22" x14ac:dyDescent="0.2">
      <c r="A6" s="350" t="s">
        <v>414</v>
      </c>
      <c r="B6" s="370">
        <f>U44</f>
        <v>13489.4</v>
      </c>
      <c r="C6" s="350" t="s">
        <v>187</v>
      </c>
      <c r="D6" s="371">
        <f>IF(B6="","",B6/VLOOKUP(E6,$P$7:$Q$12,2,FALSE))</f>
        <v>134.89400000000001</v>
      </c>
      <c r="E6" s="368" t="s">
        <v>402</v>
      </c>
      <c r="F6"/>
      <c r="G6"/>
      <c r="I6"/>
      <c r="J6"/>
      <c r="K6"/>
      <c r="L6"/>
      <c r="M6"/>
      <c r="N6"/>
      <c r="P6" s="384" t="s">
        <v>413</v>
      </c>
      <c r="Q6" s="384"/>
      <c r="U6" s="350">
        <v>4706.8999999999996</v>
      </c>
      <c r="V6" s="350">
        <v>1113.0999999999999</v>
      </c>
    </row>
    <row r="7" spans="1:22" x14ac:dyDescent="0.2">
      <c r="A7" s="350" t="s">
        <v>412</v>
      </c>
      <c r="B7" s="370">
        <f>V44</f>
        <v>3694.099999999999</v>
      </c>
      <c r="C7" s="350" t="s">
        <v>187</v>
      </c>
      <c r="D7" s="369">
        <f>IF(B7="","",B7/VLOOKUP(E7,$P$7:$Q$12,2,FALSE))</f>
        <v>36.940999999999988</v>
      </c>
      <c r="E7" s="368" t="s">
        <v>402</v>
      </c>
      <c r="F7"/>
      <c r="G7"/>
      <c r="I7"/>
      <c r="J7"/>
      <c r="K7"/>
      <c r="L7"/>
      <c r="M7"/>
      <c r="N7"/>
      <c r="P7" s="364"/>
      <c r="Q7" s="364" t="s">
        <v>401</v>
      </c>
      <c r="U7" s="350">
        <v>8835</v>
      </c>
      <c r="V7" s="350">
        <v>3051.3</v>
      </c>
    </row>
    <row r="8" spans="1:22" x14ac:dyDescent="0.2">
      <c r="F8"/>
      <c r="G8"/>
      <c r="I8"/>
      <c r="J8"/>
      <c r="K8"/>
      <c r="L8"/>
      <c r="M8"/>
      <c r="N8"/>
      <c r="P8" s="364" t="s">
        <v>411</v>
      </c>
      <c r="Q8" s="364">
        <v>0.1</v>
      </c>
      <c r="U8" s="350">
        <v>13859</v>
      </c>
      <c r="V8" s="350">
        <v>3049.1</v>
      </c>
    </row>
    <row r="9" spans="1:22" x14ac:dyDescent="0.2">
      <c r="A9"/>
      <c r="B9"/>
      <c r="C9"/>
      <c r="D9"/>
      <c r="E9"/>
      <c r="F9"/>
      <c r="G9"/>
      <c r="I9"/>
      <c r="J9"/>
      <c r="K9"/>
      <c r="L9"/>
      <c r="M9"/>
      <c r="N9"/>
      <c r="P9" s="364" t="s">
        <v>410</v>
      </c>
      <c r="Q9" s="364">
        <v>1</v>
      </c>
      <c r="U9" s="350">
        <v>6427.5</v>
      </c>
      <c r="V9" s="350">
        <v>1677.3</v>
      </c>
    </row>
    <row r="10" spans="1:22" ht="25.5" x14ac:dyDescent="0.2">
      <c r="E10" s="381" t="s">
        <v>409</v>
      </c>
      <c r="F10" s="381"/>
      <c r="G10" s="365" t="s">
        <v>159</v>
      </c>
      <c r="H10" s="367" t="s">
        <v>407</v>
      </c>
      <c r="I10" s="381" t="s">
        <v>408</v>
      </c>
      <c r="J10" s="381"/>
      <c r="K10" s="365" t="s">
        <v>159</v>
      </c>
      <c r="L10" s="367" t="s">
        <v>407</v>
      </c>
      <c r="M10"/>
      <c r="N10"/>
      <c r="P10" s="364" t="s">
        <v>406</v>
      </c>
      <c r="Q10" s="364">
        <v>10</v>
      </c>
      <c r="U10" s="350">
        <v>5911.4</v>
      </c>
      <c r="V10" s="350">
        <v>960.17</v>
      </c>
    </row>
    <row r="11" spans="1:22" x14ac:dyDescent="0.2">
      <c r="B11" s="350" t="s">
        <v>405</v>
      </c>
      <c r="C11" s="355" t="s">
        <v>404</v>
      </c>
      <c r="D11" s="350" t="s">
        <v>73</v>
      </c>
      <c r="E11" s="350" t="s">
        <v>403</v>
      </c>
      <c r="F11" s="350" t="s">
        <v>164</v>
      </c>
      <c r="G11" s="366"/>
      <c r="H11" s="350" t="s">
        <v>403</v>
      </c>
      <c r="I11" s="350" t="s">
        <v>403</v>
      </c>
      <c r="J11" s="350" t="s">
        <v>164</v>
      </c>
      <c r="K11" s="365"/>
      <c r="L11" s="350" t="s">
        <v>403</v>
      </c>
      <c r="M11"/>
      <c r="N11"/>
      <c r="P11" s="364" t="s">
        <v>402</v>
      </c>
      <c r="Q11" s="364">
        <v>100</v>
      </c>
      <c r="U11" s="350">
        <v>13179</v>
      </c>
      <c r="V11" s="350">
        <v>2501.6</v>
      </c>
    </row>
    <row r="12" spans="1:22" x14ac:dyDescent="0.2">
      <c r="A12" s="350" t="s">
        <v>193</v>
      </c>
      <c r="B12" s="361">
        <f>21*12*0.0254</f>
        <v>6.4007999999999994</v>
      </c>
      <c r="C12" s="359">
        <v>0.02</v>
      </c>
      <c r="D12" s="359">
        <v>0.2</v>
      </c>
      <c r="E12" s="359">
        <v>0.4</v>
      </c>
      <c r="F12" s="359">
        <v>2.2000000000000002</v>
      </c>
      <c r="G12" s="358">
        <f t="shared" ref="G12:G24" si="0">IF(OR(B12="",F12=""),"",(F12/B12)^2)</f>
        <v>0.11813452702239247</v>
      </c>
      <c r="H12" s="358">
        <f t="shared" ref="H12:H24" si="1">IF(E12="","",E12*G12)</f>
        <v>4.7253810808956992E-2</v>
      </c>
      <c r="I12" s="360">
        <v>0.6</v>
      </c>
      <c r="J12" s="359">
        <v>2.2999999999999998</v>
      </c>
      <c r="K12" s="358">
        <f t="shared" ref="K12:K24" si="2">IF(OR(B12="",J12=""),"",(J12/B12)^2)</f>
        <v>0.12911810908025947</v>
      </c>
      <c r="L12" s="358">
        <f t="shared" ref="L12:L24" si="3">IF(I12="","",I12*K12)</f>
        <v>7.7470865448155679E-2</v>
      </c>
      <c r="M12"/>
      <c r="N12"/>
      <c r="P12" s="364" t="s">
        <v>401</v>
      </c>
      <c r="Q12" s="364">
        <v>1</v>
      </c>
      <c r="U12" s="350">
        <v>4248.3</v>
      </c>
      <c r="V12" s="350">
        <v>696.59</v>
      </c>
    </row>
    <row r="13" spans="1:22" x14ac:dyDescent="0.2">
      <c r="A13" s="350" t="s">
        <v>192</v>
      </c>
      <c r="B13" s="361">
        <f>23.7*12*0.0254</f>
        <v>7.2237599999999995</v>
      </c>
      <c r="C13" s="359">
        <v>0.02</v>
      </c>
      <c r="D13" s="359">
        <v>0.2</v>
      </c>
      <c r="E13" s="359">
        <v>0.4</v>
      </c>
      <c r="F13" s="359">
        <v>2.2000000000000002</v>
      </c>
      <c r="G13" s="358">
        <f t="shared" si="0"/>
        <v>9.2751030669720069E-2</v>
      </c>
      <c r="H13" s="358">
        <f t="shared" si="1"/>
        <v>3.710041226788803E-2</v>
      </c>
      <c r="I13" s="360">
        <v>0.6</v>
      </c>
      <c r="J13" s="359">
        <v>2.2999999999999998</v>
      </c>
      <c r="K13" s="358">
        <f t="shared" si="2"/>
        <v>0.10137457690967336</v>
      </c>
      <c r="L13" s="358">
        <f t="shared" si="3"/>
        <v>6.0824746145804014E-2</v>
      </c>
      <c r="M13"/>
      <c r="N13"/>
      <c r="U13" s="350">
        <v>3832.8</v>
      </c>
      <c r="V13" s="350">
        <v>560.65</v>
      </c>
    </row>
    <row r="14" spans="1:22" x14ac:dyDescent="0.2">
      <c r="A14" s="350" t="s">
        <v>194</v>
      </c>
      <c r="B14" s="361">
        <f>19*12*0.0254</f>
        <v>5.7911999999999999</v>
      </c>
      <c r="C14" s="359">
        <v>0.02</v>
      </c>
      <c r="D14" s="359">
        <v>0.2</v>
      </c>
      <c r="E14" s="359">
        <v>0.1</v>
      </c>
      <c r="F14" s="359">
        <v>2.6</v>
      </c>
      <c r="G14" s="358">
        <f t="shared" si="0"/>
        <v>0.20156242220763915</v>
      </c>
      <c r="H14" s="358">
        <f t="shared" si="1"/>
        <v>2.0156242220763915E-2</v>
      </c>
      <c r="I14" s="360">
        <v>0.1</v>
      </c>
      <c r="J14" s="359">
        <v>1.7</v>
      </c>
      <c r="K14" s="358">
        <f t="shared" si="2"/>
        <v>8.6170917186401935E-2</v>
      </c>
      <c r="L14" s="358">
        <f t="shared" si="3"/>
        <v>8.6170917186401946E-3</v>
      </c>
      <c r="M14"/>
      <c r="O14" s="379" t="s">
        <v>279</v>
      </c>
      <c r="P14" s="380"/>
      <c r="Q14" s="380"/>
      <c r="R14" s="380"/>
      <c r="S14" s="380"/>
      <c r="U14" s="350">
        <v>3873.1</v>
      </c>
      <c r="V14" s="350">
        <v>843.85</v>
      </c>
    </row>
    <row r="15" spans="1:22" x14ac:dyDescent="0.2">
      <c r="A15" s="350" t="s">
        <v>195</v>
      </c>
      <c r="B15" s="361">
        <f>14.5*12*0.0254</f>
        <v>4.4196</v>
      </c>
      <c r="C15" s="359">
        <v>0.02</v>
      </c>
      <c r="D15" s="359">
        <v>0.2</v>
      </c>
      <c r="E15" s="359">
        <v>0.4</v>
      </c>
      <c r="F15" s="359">
        <v>2.2000000000000002</v>
      </c>
      <c r="G15" s="358">
        <f t="shared" si="0"/>
        <v>0.24778752160225953</v>
      </c>
      <c r="H15" s="358">
        <f t="shared" si="1"/>
        <v>9.9115008640903821E-2</v>
      </c>
      <c r="I15" s="360">
        <v>0.6</v>
      </c>
      <c r="J15" s="359">
        <v>2</v>
      </c>
      <c r="K15" s="358">
        <f t="shared" si="2"/>
        <v>0.20478307570434667</v>
      </c>
      <c r="L15" s="358">
        <f t="shared" si="3"/>
        <v>0.122869845422608</v>
      </c>
      <c r="M15"/>
      <c r="O15" s="296" t="s">
        <v>40</v>
      </c>
      <c r="P15" s="296" t="s">
        <v>41</v>
      </c>
      <c r="Q15" s="296" t="s">
        <v>42</v>
      </c>
      <c r="R15" s="308" t="s">
        <v>296</v>
      </c>
      <c r="S15" s="308" t="s">
        <v>297</v>
      </c>
      <c r="U15" s="350">
        <v>5724</v>
      </c>
      <c r="V15" s="350">
        <v>1437.3</v>
      </c>
    </row>
    <row r="16" spans="1:22" x14ac:dyDescent="0.2">
      <c r="A16" s="350" t="s">
        <v>400</v>
      </c>
      <c r="B16" s="361">
        <f>22.8*12*0.0254</f>
        <v>6.9494400000000001</v>
      </c>
      <c r="C16" s="359">
        <v>0.02</v>
      </c>
      <c r="D16" s="359">
        <v>0.05</v>
      </c>
      <c r="E16" s="359">
        <v>0.1</v>
      </c>
      <c r="F16" s="359">
        <v>3</v>
      </c>
      <c r="G16" s="358">
        <f t="shared" si="0"/>
        <v>0.18635578976297992</v>
      </c>
      <c r="H16" s="358">
        <f t="shared" si="1"/>
        <v>1.8635578976297994E-2</v>
      </c>
      <c r="I16" s="360">
        <v>1.2</v>
      </c>
      <c r="J16" s="359">
        <v>2.9</v>
      </c>
      <c r="K16" s="358">
        <f t="shared" si="2"/>
        <v>0.17413913243407347</v>
      </c>
      <c r="L16" s="358">
        <f t="shared" si="3"/>
        <v>0.20896695892088815</v>
      </c>
      <c r="M16"/>
      <c r="N16" s="350" t="s">
        <v>14</v>
      </c>
      <c r="O16" s="363">
        <v>2.661</v>
      </c>
      <c r="P16" s="363">
        <v>19.54</v>
      </c>
      <c r="Q16" s="363">
        <v>0.50939999999999996</v>
      </c>
      <c r="R16" s="363">
        <v>7.3431040962044341</v>
      </c>
      <c r="S16" s="363">
        <v>1.3555134</v>
      </c>
      <c r="U16" s="350">
        <v>10504</v>
      </c>
      <c r="V16" s="350">
        <v>882.74</v>
      </c>
    </row>
    <row r="17" spans="1:22" x14ac:dyDescent="0.2">
      <c r="A17" s="350" t="s">
        <v>399</v>
      </c>
      <c r="B17" s="361">
        <f>19.5*12*0.0254</f>
        <v>5.9436</v>
      </c>
      <c r="C17" s="359">
        <v>0.02</v>
      </c>
      <c r="D17" s="359">
        <v>1</v>
      </c>
      <c r="E17" s="359">
        <v>0.1</v>
      </c>
      <c r="F17" s="359">
        <v>2.6</v>
      </c>
      <c r="G17" s="358">
        <f t="shared" si="0"/>
        <v>0.19135840740817286</v>
      </c>
      <c r="H17" s="358">
        <f t="shared" si="1"/>
        <v>1.9135840740817287E-2</v>
      </c>
      <c r="I17" s="360">
        <v>0.3</v>
      </c>
      <c r="J17" s="359">
        <v>2.6</v>
      </c>
      <c r="K17" s="358">
        <f t="shared" si="2"/>
        <v>0.19135840740817286</v>
      </c>
      <c r="L17" s="358">
        <f t="shared" si="3"/>
        <v>5.7407522222451858E-2</v>
      </c>
      <c r="N17" s="350" t="s">
        <v>50</v>
      </c>
      <c r="O17" s="363">
        <v>4.292E-2</v>
      </c>
      <c r="P17" s="363">
        <v>0.15379999999999999</v>
      </c>
      <c r="Q17" s="363">
        <v>0.42359999999999998</v>
      </c>
      <c r="R17" s="363">
        <v>3.5834109972041004</v>
      </c>
      <c r="S17" s="363">
        <v>1.8180912E-2</v>
      </c>
      <c r="U17" s="350">
        <v>11838</v>
      </c>
      <c r="V17" s="350">
        <v>3431.2</v>
      </c>
    </row>
    <row r="18" spans="1:22" x14ac:dyDescent="0.2">
      <c r="A18" s="350" t="s">
        <v>311</v>
      </c>
      <c r="B18" s="361">
        <f>21.5*12*0.0254</f>
        <v>6.5531999999999995</v>
      </c>
      <c r="C18" s="359">
        <v>0.02</v>
      </c>
      <c r="D18" s="359">
        <v>0.2</v>
      </c>
      <c r="E18" s="359">
        <v>0.4</v>
      </c>
      <c r="F18" s="359">
        <v>2.4</v>
      </c>
      <c r="G18" s="358">
        <f t="shared" si="0"/>
        <v>0.13412682314818389</v>
      </c>
      <c r="H18" s="358">
        <f t="shared" si="1"/>
        <v>5.3650729259273555E-2</v>
      </c>
      <c r="I18" s="360">
        <v>1.2</v>
      </c>
      <c r="J18" s="359">
        <v>2.8</v>
      </c>
      <c r="K18" s="358">
        <f t="shared" si="2"/>
        <v>0.18256150928502807</v>
      </c>
      <c r="L18" s="358">
        <f t="shared" si="3"/>
        <v>0.21907381114203367</v>
      </c>
      <c r="U18" s="350">
        <v>6734</v>
      </c>
      <c r="V18" s="350">
        <v>928.06</v>
      </c>
    </row>
    <row r="19" spans="1:22" x14ac:dyDescent="0.2">
      <c r="A19" s="350" t="s">
        <v>301</v>
      </c>
      <c r="B19" s="361">
        <f>22*12*0.0254</f>
        <v>6.7055999999999996</v>
      </c>
      <c r="C19" s="359">
        <v>0.1</v>
      </c>
      <c r="D19" s="359">
        <v>1</v>
      </c>
      <c r="E19" s="359">
        <v>0.4</v>
      </c>
      <c r="F19" s="359">
        <v>2</v>
      </c>
      <c r="G19" s="358">
        <f t="shared" si="0"/>
        <v>8.8957937328179526E-2</v>
      </c>
      <c r="H19" s="358">
        <f t="shared" si="1"/>
        <v>3.5583174931271812E-2</v>
      </c>
      <c r="I19" s="360">
        <v>1.2</v>
      </c>
      <c r="J19" s="359">
        <v>1.7</v>
      </c>
      <c r="K19" s="358">
        <f t="shared" si="2"/>
        <v>6.4272109719609699E-2</v>
      </c>
      <c r="L19" s="358">
        <f t="shared" si="3"/>
        <v>7.7126531663531631E-2</v>
      </c>
      <c r="U19" s="350">
        <v>8790.9</v>
      </c>
      <c r="V19" s="350">
        <v>2641.9</v>
      </c>
    </row>
    <row r="20" spans="1:22" x14ac:dyDescent="0.2">
      <c r="A20" s="350" t="s">
        <v>302</v>
      </c>
      <c r="B20" s="361">
        <f>22*12*0.0254</f>
        <v>6.7055999999999996</v>
      </c>
      <c r="C20" s="359">
        <v>0.1</v>
      </c>
      <c r="D20" s="359">
        <v>1</v>
      </c>
      <c r="E20" s="359">
        <v>0.4</v>
      </c>
      <c r="F20" s="359">
        <v>2</v>
      </c>
      <c r="G20" s="358">
        <f t="shared" si="0"/>
        <v>8.8957937328179526E-2</v>
      </c>
      <c r="H20" s="358">
        <f t="shared" si="1"/>
        <v>3.5583174931271812E-2</v>
      </c>
      <c r="I20" s="360">
        <v>1.2</v>
      </c>
      <c r="J20" s="359">
        <v>1.7</v>
      </c>
      <c r="K20" s="358">
        <f t="shared" si="2"/>
        <v>6.4272109719609699E-2</v>
      </c>
      <c r="L20" s="358">
        <f t="shared" si="3"/>
        <v>7.7126531663531631E-2</v>
      </c>
      <c r="U20" s="350">
        <v>9545</v>
      </c>
      <c r="V20" s="350">
        <v>2048.1</v>
      </c>
    </row>
    <row r="21" spans="1:22" x14ac:dyDescent="0.2">
      <c r="A21" s="350" t="s">
        <v>196</v>
      </c>
      <c r="B21" s="361">
        <v>3.3</v>
      </c>
      <c r="C21" s="359">
        <v>0.02</v>
      </c>
      <c r="D21" s="359">
        <v>1</v>
      </c>
      <c r="E21" s="359">
        <v>3</v>
      </c>
      <c r="F21" s="359">
        <v>0.8</v>
      </c>
      <c r="G21" s="358">
        <f t="shared" si="0"/>
        <v>5.8769513314967881E-2</v>
      </c>
      <c r="H21" s="358">
        <f t="shared" si="1"/>
        <v>0.17630853994490364</v>
      </c>
      <c r="I21" s="360">
        <v>9</v>
      </c>
      <c r="J21" s="359">
        <v>1</v>
      </c>
      <c r="K21" s="358">
        <f t="shared" si="2"/>
        <v>9.1827364554637289E-2</v>
      </c>
      <c r="L21" s="358">
        <f t="shared" si="3"/>
        <v>0.82644628099173556</v>
      </c>
      <c r="U21" s="350">
        <v>16093</v>
      </c>
      <c r="V21" s="350">
        <v>5085.3999999999996</v>
      </c>
    </row>
    <row r="22" spans="1:22" ht="12.75" customHeight="1" x14ac:dyDescent="0.2">
      <c r="A22" s="350" t="s">
        <v>197</v>
      </c>
      <c r="B22" s="361">
        <v>3.3</v>
      </c>
      <c r="C22" s="359">
        <v>0.02</v>
      </c>
      <c r="D22" s="359">
        <v>1</v>
      </c>
      <c r="E22" s="359">
        <v>3</v>
      </c>
      <c r="F22" s="359">
        <v>0.8</v>
      </c>
      <c r="G22" s="358">
        <f t="shared" si="0"/>
        <v>5.8769513314967881E-2</v>
      </c>
      <c r="H22" s="358">
        <f t="shared" si="1"/>
        <v>0.17630853994490364</v>
      </c>
      <c r="I22" s="360">
        <v>9</v>
      </c>
      <c r="J22" s="359">
        <v>1</v>
      </c>
      <c r="K22" s="358">
        <f t="shared" si="2"/>
        <v>9.1827364554637289E-2</v>
      </c>
      <c r="L22" s="358">
        <f t="shared" si="3"/>
        <v>0.82644628099173556</v>
      </c>
      <c r="Q22" s="362"/>
      <c r="R22" s="350"/>
      <c r="U22" s="350">
        <v>6166.3</v>
      </c>
      <c r="V22" s="350">
        <v>1244.5999999999999</v>
      </c>
    </row>
    <row r="23" spans="1:22" x14ac:dyDescent="0.2">
      <c r="A23" s="355" t="s">
        <v>398</v>
      </c>
      <c r="B23" s="361">
        <f>27.8*12*0.0254</f>
        <v>8.4734400000000001</v>
      </c>
      <c r="C23" s="359">
        <v>0.02</v>
      </c>
      <c r="D23" s="359">
        <v>1</v>
      </c>
      <c r="E23" s="359">
        <v>0.1</v>
      </c>
      <c r="F23" s="359">
        <v>2.6</v>
      </c>
      <c r="G23" s="358">
        <f t="shared" si="0"/>
        <v>9.4151485969874382E-2</v>
      </c>
      <c r="H23" s="358">
        <f t="shared" si="1"/>
        <v>9.4151485969874386E-3</v>
      </c>
      <c r="I23" s="360">
        <v>0.1</v>
      </c>
      <c r="J23" s="359">
        <v>1.7</v>
      </c>
      <c r="K23" s="358">
        <f t="shared" si="2"/>
        <v>4.0251153025582388E-2</v>
      </c>
      <c r="L23" s="358">
        <f t="shared" si="3"/>
        <v>4.025115302558239E-3</v>
      </c>
      <c r="O23" s="7"/>
      <c r="P23" s="7"/>
      <c r="Q23" s="7"/>
      <c r="R23" s="7"/>
      <c r="U23" s="350">
        <v>1502.5</v>
      </c>
      <c r="V23" s="350">
        <v>177.8</v>
      </c>
    </row>
    <row r="24" spans="1:22" x14ac:dyDescent="0.2">
      <c r="A24" s="355" t="s">
        <v>397</v>
      </c>
      <c r="B24" s="361">
        <f>19*12*0.0254</f>
        <v>5.7911999999999999</v>
      </c>
      <c r="C24" s="359">
        <v>0.02</v>
      </c>
      <c r="D24" s="359">
        <v>1</v>
      </c>
      <c r="E24" s="359">
        <v>0.4</v>
      </c>
      <c r="F24" s="359">
        <v>2.2000000000000002</v>
      </c>
      <c r="G24" s="358">
        <f t="shared" si="0"/>
        <v>0.14431392359245168</v>
      </c>
      <c r="H24" s="358">
        <f t="shared" si="1"/>
        <v>5.7725569436980678E-2</v>
      </c>
      <c r="I24" s="360">
        <v>0.6</v>
      </c>
      <c r="J24" s="359">
        <v>2</v>
      </c>
      <c r="K24" s="358">
        <f t="shared" si="2"/>
        <v>0.11926770544830718</v>
      </c>
      <c r="L24" s="358">
        <f t="shared" si="3"/>
        <v>7.1560623268984311E-2</v>
      </c>
      <c r="O24" s="7"/>
      <c r="P24" s="7"/>
      <c r="Q24" s="7"/>
      <c r="R24" s="7"/>
      <c r="U24" s="350">
        <v>5005.2</v>
      </c>
      <c r="V24" s="350">
        <v>1536.8</v>
      </c>
    </row>
    <row r="25" spans="1:22" x14ac:dyDescent="0.2">
      <c r="O25" s="7"/>
      <c r="P25" s="7"/>
      <c r="Q25" s="7"/>
      <c r="R25" s="7"/>
      <c r="U25" s="350">
        <v>13243</v>
      </c>
      <c r="V25" s="350">
        <v>3494.7</v>
      </c>
    </row>
    <row r="26" spans="1:22" x14ac:dyDescent="0.2">
      <c r="B26" s="355" t="s">
        <v>396</v>
      </c>
      <c r="C26" s="355" t="s">
        <v>395</v>
      </c>
      <c r="O26" s="7"/>
      <c r="P26" s="7"/>
      <c r="Q26" s="7"/>
      <c r="R26" s="7"/>
      <c r="U26" s="350">
        <v>12704</v>
      </c>
      <c r="V26" s="350">
        <v>2879.6</v>
      </c>
    </row>
    <row r="27" spans="1:22" x14ac:dyDescent="0.2">
      <c r="B27" s="355" t="s">
        <v>394</v>
      </c>
      <c r="C27" s="355" t="s">
        <v>394</v>
      </c>
      <c r="O27" s="7"/>
      <c r="P27" s="7"/>
      <c r="Q27" s="7"/>
      <c r="R27" s="7"/>
      <c r="U27" s="350">
        <v>8214.7000000000007</v>
      </c>
      <c r="V27" s="350">
        <v>958.97</v>
      </c>
    </row>
    <row r="28" spans="1:22" x14ac:dyDescent="0.2">
      <c r="B28" s="350" t="s">
        <v>393</v>
      </c>
      <c r="C28" s="350" t="s">
        <v>393</v>
      </c>
      <c r="D28" s="357" t="s">
        <v>168</v>
      </c>
      <c r="E28" s="356" t="s">
        <v>167</v>
      </c>
      <c r="F28" s="355" t="s">
        <v>392</v>
      </c>
      <c r="O28" s="7"/>
      <c r="P28" s="7"/>
      <c r="Q28" s="7"/>
      <c r="R28" s="7"/>
      <c r="U28" s="350">
        <v>5234.7</v>
      </c>
      <c r="V28" s="350">
        <v>1051.5</v>
      </c>
    </row>
    <row r="29" spans="1:22" x14ac:dyDescent="0.2">
      <c r="A29" s="350" t="str">
        <f t="shared" ref="A29:A41" si="4">IF(A12="","",A12)</f>
        <v>Door A</v>
      </c>
      <c r="B29" s="353">
        <f t="shared" ref="B29:B41" si="5">IF(OR(Nfl="",$D$6=""),"",Nfl*$D$6*H12)</f>
        <v>159.35638888158613</v>
      </c>
      <c r="C29" s="353">
        <f t="shared" ref="C29:C41" si="6">IF(OR(Nfl="",$D$7=""),"",Nfl*$D$7*L12)</f>
        <v>71.546281013007956</v>
      </c>
      <c r="D29" s="354">
        <f t="shared" ref="D29:D41" si="7">(C12*1000)/((B29+C29)*D12)</f>
        <v>0.43308290911339181</v>
      </c>
      <c r="E29" s="353">
        <f t="shared" ref="E29:E41" si="8">IF(D29&gt;1,0,LN((D29^(-$Q$16)+($P$16/$O$16))/(1+($P$16/$O$16)))/($O$16*$Q$16))</f>
        <v>4.5564899460986304E-2</v>
      </c>
      <c r="F29" s="353">
        <f t="shared" ref="F29:F41" si="9">IF(D29&gt;1,0,LN((D29^(-$Q$17)+($P$17/$O$17))/(1+($P$17/$O$17)))/($O$17*$Q$17))</f>
        <v>4.8821962728287431</v>
      </c>
      <c r="O29" s="7"/>
      <c r="P29" s="7"/>
      <c r="Q29" s="7"/>
      <c r="R29" s="7"/>
      <c r="U29" s="350">
        <v>11894</v>
      </c>
      <c r="V29" s="350">
        <v>3993.2</v>
      </c>
    </row>
    <row r="30" spans="1:22" x14ac:dyDescent="0.2">
      <c r="A30" s="350" t="str">
        <f t="shared" si="4"/>
        <v>Wall A</v>
      </c>
      <c r="B30" s="353">
        <f t="shared" si="5"/>
        <v>125.11557531161222</v>
      </c>
      <c r="C30" s="353">
        <f t="shared" si="6"/>
        <v>56.173173684303634</v>
      </c>
      <c r="D30" s="354">
        <f t="shared" si="7"/>
        <v>0.55160621138299559</v>
      </c>
      <c r="E30" s="353">
        <f t="shared" si="8"/>
        <v>3.065490532917943E-2</v>
      </c>
      <c r="F30" s="353">
        <f t="shared" si="9"/>
        <v>3.3361440909229043</v>
      </c>
      <c r="O30" s="7"/>
      <c r="P30" s="7"/>
      <c r="Q30" s="7"/>
      <c r="R30" s="7"/>
      <c r="U30" s="350">
        <v>8587.4</v>
      </c>
      <c r="V30" s="350">
        <v>2898.7</v>
      </c>
    </row>
    <row r="31" spans="1:22" x14ac:dyDescent="0.2">
      <c r="A31" s="350" t="str">
        <f t="shared" si="4"/>
        <v>Wall B</v>
      </c>
      <c r="B31" s="353">
        <f t="shared" si="5"/>
        <v>67.973903453193202</v>
      </c>
      <c r="C31" s="353">
        <f t="shared" si="6"/>
        <v>7.958099629457184</v>
      </c>
      <c r="D31" s="354">
        <f t="shared" si="7"/>
        <v>1.3169677598410265</v>
      </c>
      <c r="E31" s="353">
        <f t="shared" si="8"/>
        <v>0</v>
      </c>
      <c r="F31" s="353">
        <f t="shared" si="9"/>
        <v>0</v>
      </c>
      <c r="O31" s="7"/>
      <c r="P31" s="7"/>
      <c r="Q31" s="7"/>
      <c r="R31" s="7"/>
      <c r="U31" s="350">
        <v>4621.7</v>
      </c>
      <c r="V31" s="350">
        <v>1462.4</v>
      </c>
    </row>
    <row r="32" spans="1:22" x14ac:dyDescent="0.2">
      <c r="A32" s="350" t="str">
        <f t="shared" si="4"/>
        <v>Wall C</v>
      </c>
      <c r="B32" s="353">
        <f t="shared" si="5"/>
        <v>334.25049939015202</v>
      </c>
      <c r="C32" s="353">
        <f t="shared" si="6"/>
        <v>113.47337399391402</v>
      </c>
      <c r="D32" s="354">
        <f t="shared" si="7"/>
        <v>0.22335194959375795</v>
      </c>
      <c r="E32" s="353">
        <f t="shared" si="8"/>
        <v>9.4950156160457877E-2</v>
      </c>
      <c r="F32" s="353">
        <f t="shared" si="9"/>
        <v>9.7303769428424349</v>
      </c>
      <c r="O32" s="7"/>
      <c r="P32" s="7"/>
      <c r="Q32" s="7"/>
      <c r="R32" s="7"/>
      <c r="U32" s="350">
        <v>20430</v>
      </c>
      <c r="V32" s="350">
        <v>8160.9</v>
      </c>
    </row>
    <row r="33" spans="1:22" x14ac:dyDescent="0.2">
      <c r="A33" s="350" t="str">
        <f t="shared" si="4"/>
        <v>Wall D1</v>
      </c>
      <c r="B33" s="353">
        <f t="shared" si="5"/>
        <v>62.845694760718544</v>
      </c>
      <c r="C33" s="353">
        <f t="shared" si="6"/>
        <v>192.98621073741319</v>
      </c>
      <c r="D33" s="354">
        <f t="shared" si="7"/>
        <v>1.5635266415311169</v>
      </c>
      <c r="E33" s="353">
        <f t="shared" si="8"/>
        <v>0</v>
      </c>
      <c r="F33" s="353">
        <f t="shared" si="9"/>
        <v>0</v>
      </c>
      <c r="O33" s="7"/>
      <c r="P33" s="7"/>
      <c r="Q33" s="7"/>
      <c r="R33" s="7"/>
      <c r="U33" s="350">
        <v>6328</v>
      </c>
      <c r="V33" s="350">
        <v>1524.2</v>
      </c>
    </row>
    <row r="34" spans="1:22" x14ac:dyDescent="0.2">
      <c r="A34" s="350" t="str">
        <f t="shared" si="4"/>
        <v>Wall D2</v>
      </c>
      <c r="B34" s="353">
        <f t="shared" si="5"/>
        <v>64.532752522295183</v>
      </c>
      <c r="C34" s="353">
        <f t="shared" si="6"/>
        <v>53.017281960489839</v>
      </c>
      <c r="D34" s="354">
        <f t="shared" si="7"/>
        <v>0.17014031589185932</v>
      </c>
      <c r="E34" s="353">
        <f t="shared" si="8"/>
        <v>0.11934914396792326</v>
      </c>
      <c r="F34" s="353">
        <f t="shared" si="9"/>
        <v>12.00094812462822</v>
      </c>
      <c r="O34" s="7"/>
      <c r="P34" s="7"/>
      <c r="Q34" s="7"/>
      <c r="R34" s="7"/>
      <c r="U34" s="350">
        <v>9629.7999999999993</v>
      </c>
      <c r="V34" s="350">
        <v>1848.5</v>
      </c>
    </row>
    <row r="35" spans="1:22" x14ac:dyDescent="0.2">
      <c r="A35" s="350" t="str">
        <f t="shared" si="4"/>
        <v>Door D</v>
      </c>
      <c r="B35" s="353">
        <f t="shared" si="5"/>
        <v>180.92903681751119</v>
      </c>
      <c r="C35" s="353">
        <f t="shared" si="6"/>
        <v>202.32014143494658</v>
      </c>
      <c r="D35" s="354">
        <f t="shared" si="7"/>
        <v>0.26092684779124814</v>
      </c>
      <c r="E35" s="353">
        <f t="shared" si="8"/>
        <v>8.2134451329023028E-2</v>
      </c>
      <c r="F35" s="353">
        <f t="shared" si="9"/>
        <v>8.5074778852485693</v>
      </c>
      <c r="O35" s="7"/>
      <c r="P35" s="7"/>
      <c r="Q35" s="7"/>
      <c r="R35" s="7"/>
      <c r="U35" s="350">
        <v>22434</v>
      </c>
      <c r="V35" s="350">
        <v>6217.6</v>
      </c>
    </row>
    <row r="36" spans="1:22" x14ac:dyDescent="0.2">
      <c r="A36" s="350" t="str">
        <f t="shared" si="4"/>
        <v>Control Wall</v>
      </c>
      <c r="B36" s="353">
        <f t="shared" si="5"/>
        <v>119.99891997947451</v>
      </c>
      <c r="C36" s="353">
        <f t="shared" si="6"/>
        <v>71.228280154563024</v>
      </c>
      <c r="D36" s="354">
        <f t="shared" si="7"/>
        <v>0.52293815905847418</v>
      </c>
      <c r="E36" s="353">
        <f t="shared" si="8"/>
        <v>3.3813465537808313E-2</v>
      </c>
      <c r="F36" s="353">
        <f t="shared" si="9"/>
        <v>3.6674068262718866</v>
      </c>
      <c r="O36" s="7"/>
      <c r="P36" s="7"/>
      <c r="Q36" s="7"/>
      <c r="R36" s="7"/>
      <c r="U36" s="350">
        <v>2592</v>
      </c>
      <c r="V36" s="350">
        <v>454.73</v>
      </c>
    </row>
    <row r="37" spans="1:22" x14ac:dyDescent="0.2">
      <c r="A37" s="350" t="str">
        <f t="shared" si="4"/>
        <v>Control Window</v>
      </c>
      <c r="B37" s="353">
        <f t="shared" si="5"/>
        <v>119.99891997947451</v>
      </c>
      <c r="C37" s="353">
        <f t="shared" si="6"/>
        <v>71.228280154563024</v>
      </c>
      <c r="D37" s="354">
        <f t="shared" si="7"/>
        <v>0.52293815905847418</v>
      </c>
      <c r="E37" s="353">
        <f t="shared" si="8"/>
        <v>3.3813465537808313E-2</v>
      </c>
      <c r="F37" s="353">
        <f t="shared" si="9"/>
        <v>3.6674068262718866</v>
      </c>
      <c r="L37" s="351"/>
      <c r="U37" s="350">
        <v>5027.5</v>
      </c>
      <c r="V37" s="350">
        <v>1371.9</v>
      </c>
    </row>
    <row r="38" spans="1:22" x14ac:dyDescent="0.2">
      <c r="A38" s="350" t="str">
        <f t="shared" si="4"/>
        <v>Floor</v>
      </c>
      <c r="B38" s="353">
        <f t="shared" si="5"/>
        <v>594.57410468319586</v>
      </c>
      <c r="C38" s="353">
        <f t="shared" si="6"/>
        <v>763.24380165289233</v>
      </c>
      <c r="D38" s="354">
        <f t="shared" si="7"/>
        <v>1.4729515575448292E-2</v>
      </c>
      <c r="E38" s="353">
        <f t="shared" si="8"/>
        <v>0.47648819711003865</v>
      </c>
      <c r="F38" s="353">
        <f t="shared" si="9"/>
        <v>40.39552555100456</v>
      </c>
      <c r="K38" s="7"/>
      <c r="L38" s="7"/>
      <c r="M38" s="7"/>
      <c r="N38" s="7"/>
      <c r="U38" s="350">
        <v>7905.4</v>
      </c>
      <c r="V38" s="350">
        <v>2938.1</v>
      </c>
    </row>
    <row r="39" spans="1:22" x14ac:dyDescent="0.2">
      <c r="A39" s="350" t="str">
        <f t="shared" si="4"/>
        <v>Ceiling</v>
      </c>
      <c r="B39" s="353">
        <f t="shared" si="5"/>
        <v>594.57410468319586</v>
      </c>
      <c r="C39" s="353">
        <f t="shared" si="6"/>
        <v>763.24380165289233</v>
      </c>
      <c r="D39" s="354">
        <f t="shared" si="7"/>
        <v>1.4729515575448292E-2</v>
      </c>
      <c r="E39" s="353">
        <f t="shared" si="8"/>
        <v>0.47648819711003865</v>
      </c>
      <c r="F39" s="353">
        <f t="shared" si="9"/>
        <v>40.39552555100456</v>
      </c>
      <c r="K39" s="7"/>
      <c r="L39" s="7"/>
      <c r="M39" s="7"/>
      <c r="N39" s="7"/>
      <c r="U39" s="350">
        <v>7703.7</v>
      </c>
      <c r="V39" s="350">
        <v>2274.1</v>
      </c>
    </row>
    <row r="40" spans="1:22" x14ac:dyDescent="0.2">
      <c r="A40" s="350" t="str">
        <f t="shared" si="4"/>
        <v>Wall B Offices</v>
      </c>
      <c r="B40" s="353">
        <f t="shared" si="5"/>
        <v>31.75117637105059</v>
      </c>
      <c r="C40" s="353">
        <f t="shared" si="6"/>
        <v>3.7172946097950965</v>
      </c>
      <c r="D40" s="354">
        <f t="shared" si="7"/>
        <v>0.56388108782024338</v>
      </c>
      <c r="E40" s="353">
        <f t="shared" si="8"/>
        <v>2.9373341543286587E-2</v>
      </c>
      <c r="F40" s="353">
        <f t="shared" si="9"/>
        <v>3.2011341795083856</v>
      </c>
      <c r="K40" s="7"/>
      <c r="L40" s="7"/>
      <c r="M40" s="7"/>
      <c r="N40" s="7"/>
    </row>
    <row r="41" spans="1:22" x14ac:dyDescent="0.2">
      <c r="A41" s="350" t="str">
        <f t="shared" si="4"/>
        <v>Wall C Offices</v>
      </c>
      <c r="B41" s="353">
        <f t="shared" si="5"/>
        <v>194.6708240908018</v>
      </c>
      <c r="C41" s="353">
        <f t="shared" si="6"/>
        <v>66.088024604488723</v>
      </c>
      <c r="D41" s="354">
        <f t="shared" si="7"/>
        <v>7.6699218837904065E-2</v>
      </c>
      <c r="E41" s="353">
        <f t="shared" si="8"/>
        <v>0.20677236411755776</v>
      </c>
      <c r="F41" s="353">
        <f t="shared" si="9"/>
        <v>19.645493173408106</v>
      </c>
      <c r="K41" s="7"/>
      <c r="L41" s="7"/>
      <c r="M41" s="7"/>
      <c r="N41" s="7"/>
      <c r="U41" s="350">
        <f>AVERAGE(U3:U39)</f>
        <v>8431.1027027027048</v>
      </c>
      <c r="V41" s="350">
        <f>AVERAGE(V3:V39)</f>
        <v>2185.9254054054054</v>
      </c>
    </row>
    <row r="42" spans="1:22" x14ac:dyDescent="0.2">
      <c r="K42" s="7"/>
      <c r="L42" s="7"/>
      <c r="M42" s="7"/>
      <c r="N42" s="7"/>
      <c r="U42" s="350">
        <f>STDEV(U3:U39)</f>
        <v>4642.1016557090679</v>
      </c>
      <c r="V42" s="350">
        <f>STDEV(V3:V39)</f>
        <v>1652.6720630502098</v>
      </c>
    </row>
    <row r="43" spans="1:22" x14ac:dyDescent="0.2">
      <c r="K43" s="7"/>
      <c r="L43" s="7"/>
      <c r="M43" s="7"/>
      <c r="N43" s="7"/>
      <c r="U43" s="350">
        <f>MEDIAN(U3:U39)</f>
        <v>7621.5</v>
      </c>
      <c r="V43" s="350">
        <f>MEDIAN(V3:V39)</f>
        <v>1677.3</v>
      </c>
    </row>
    <row r="44" spans="1:22" x14ac:dyDescent="0.2">
      <c r="K44" s="7"/>
      <c r="L44" s="7"/>
      <c r="M44" s="7"/>
      <c r="N44" s="7"/>
      <c r="U44" s="350">
        <f>PERCENTILE(U3:U39,0.9)</f>
        <v>13489.4</v>
      </c>
      <c r="V44" s="350">
        <f>PERCENTILE(V3:V39,0.9)</f>
        <v>3694.099999999999</v>
      </c>
    </row>
    <row r="45" spans="1:22" x14ac:dyDescent="0.2">
      <c r="K45" s="7"/>
      <c r="L45" s="7"/>
      <c r="M45" s="7"/>
      <c r="N45" s="7"/>
    </row>
    <row r="46" spans="1:22" x14ac:dyDescent="0.2">
      <c r="K46" s="7"/>
      <c r="L46" s="7"/>
      <c r="M46" s="7"/>
      <c r="N46" s="7"/>
    </row>
    <row r="47" spans="1:22" x14ac:dyDescent="0.2">
      <c r="K47" s="7"/>
      <c r="L47" s="7"/>
      <c r="M47" s="7"/>
      <c r="N47" s="7"/>
    </row>
    <row r="48" spans="1:22" x14ac:dyDescent="0.2">
      <c r="K48" s="7"/>
      <c r="L48" s="7"/>
      <c r="M48" s="7"/>
      <c r="N48" s="7"/>
    </row>
    <row r="49" spans="11:14" x14ac:dyDescent="0.2">
      <c r="K49" s="7"/>
      <c r="L49" s="7"/>
      <c r="M49" s="7"/>
      <c r="N49" s="7"/>
    </row>
    <row r="50" spans="11:14" x14ac:dyDescent="0.2">
      <c r="K50" s="7"/>
      <c r="L50" s="7"/>
      <c r="M50" s="7"/>
      <c r="N50" s="7"/>
    </row>
    <row r="51" spans="11:14" x14ac:dyDescent="0.2">
      <c r="K51" s="7"/>
      <c r="L51" s="7"/>
      <c r="M51" s="7"/>
      <c r="N51" s="7"/>
    </row>
    <row r="52" spans="11:14" x14ac:dyDescent="0.2">
      <c r="L52" s="351"/>
    </row>
  </sheetData>
  <customSheetViews>
    <customSheetView guid="{488A6099-7FEF-4C88-B110-024D46F0253F}" fitToPage="1">
      <selection activeCell="M12" sqref="M12"/>
      <pageMargins left="0.7" right="0.7" top="0.75" bottom="0.75" header="0.3" footer="0.3"/>
      <pageSetup scale="87" firstPageNumber="0" fitToHeight="0" orientation="landscape" horizontalDpi="300" verticalDpi="300" r:id="rId1"/>
    </customSheetView>
  </customSheetViews>
  <mergeCells count="6">
    <mergeCell ref="O14:S14"/>
    <mergeCell ref="I10:J10"/>
    <mergeCell ref="E10:F10"/>
    <mergeCell ref="Q1:R1"/>
    <mergeCell ref="B2:C2"/>
    <mergeCell ref="P6:Q6"/>
  </mergeCells>
  <dataValidations count="1">
    <dataValidation type="list" allowBlank="1" showInputMessage="1" showErrorMessage="1" sqref="E6:E7">
      <formula1>$P$8:$P$12</formula1>
    </dataValidation>
  </dataValidations>
  <pageMargins left="0.7" right="0.7" top="0.75" bottom="0.75" header="0.3" footer="0.3"/>
  <pageSetup scale="87" firstPageNumber="0" fitToHeight="0" orientation="landscape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workbookViewId="0">
      <selection activeCell="B7" sqref="B7"/>
    </sheetView>
  </sheetViews>
  <sheetFormatPr defaultRowHeight="12.75" x14ac:dyDescent="0.2"/>
  <cols>
    <col min="1" max="1" width="16.83203125" style="331" customWidth="1"/>
    <col min="2" max="2" width="12.5" style="331" customWidth="1"/>
    <col min="3" max="3" width="12.1640625" style="331" customWidth="1"/>
    <col min="4" max="4" width="11" style="331" customWidth="1"/>
    <col min="5" max="5" width="12.6640625" style="331" customWidth="1"/>
    <col min="6" max="11" width="10.6640625" style="331" bestFit="1" customWidth="1"/>
    <col min="12" max="12" width="11.83203125" style="331" bestFit="1" customWidth="1"/>
    <col min="13" max="13" width="12.6640625" style="331" bestFit="1" customWidth="1"/>
    <col min="14" max="16384" width="9.33203125" style="331"/>
  </cols>
  <sheetData>
    <row r="1" spans="1:14" x14ac:dyDescent="0.2">
      <c r="A1" s="331" t="s">
        <v>333</v>
      </c>
      <c r="B1" s="332">
        <v>3.3170000000000003E-5</v>
      </c>
      <c r="C1" s="331" t="s">
        <v>334</v>
      </c>
      <c r="H1" s="333"/>
      <c r="L1" s="333" t="s">
        <v>335</v>
      </c>
    </row>
    <row r="2" spans="1:14" x14ac:dyDescent="0.2">
      <c r="A2" s="331" t="s">
        <v>336</v>
      </c>
      <c r="B2" s="331">
        <v>20</v>
      </c>
      <c r="C2" s="331" t="s">
        <v>132</v>
      </c>
      <c r="L2" s="331" t="s">
        <v>337</v>
      </c>
      <c r="M2" s="331" t="s">
        <v>338</v>
      </c>
    </row>
    <row r="3" spans="1:14" x14ac:dyDescent="0.2">
      <c r="A3" s="331" t="s">
        <v>339</v>
      </c>
      <c r="B3" s="331">
        <f>NDAY*5</f>
        <v>100</v>
      </c>
      <c r="C3" s="331" t="s">
        <v>340</v>
      </c>
      <c r="L3" s="334">
        <v>30</v>
      </c>
      <c r="M3" s="334">
        <f>L3*37</f>
        <v>1110</v>
      </c>
      <c r="N3" s="331" t="s">
        <v>341</v>
      </c>
    </row>
    <row r="4" spans="1:14" x14ac:dyDescent="0.2">
      <c r="L4" s="337">
        <f>L3/(2^1)</f>
        <v>15</v>
      </c>
      <c r="M4" s="337">
        <f>M3/(2^1)</f>
        <v>555</v>
      </c>
      <c r="N4" s="331" t="s">
        <v>347</v>
      </c>
    </row>
    <row r="5" spans="1:14" x14ac:dyDescent="0.2">
      <c r="A5" s="335" t="s">
        <v>342</v>
      </c>
      <c r="L5" s="334"/>
      <c r="M5" s="334">
        <v>60</v>
      </c>
      <c r="N5" s="331" t="s">
        <v>349</v>
      </c>
    </row>
    <row r="6" spans="1:14" s="336" customFormat="1" ht="25.5" x14ac:dyDescent="0.2">
      <c r="B6" s="345" t="s">
        <v>343</v>
      </c>
      <c r="C6" s="345" t="s">
        <v>344</v>
      </c>
      <c r="D6" s="345" t="s">
        <v>345</v>
      </c>
      <c r="E6" s="345" t="s">
        <v>346</v>
      </c>
      <c r="L6" s="334">
        <f>L4*1.443*109.8*(1-EXP(-LN(2)*M5/109.8))/M5</f>
        <v>12.488993056193506</v>
      </c>
      <c r="M6" s="334">
        <f>M4*1.443*109.8*(1-EXP(-LN(2)*M5/109.8))/M5</f>
        <v>462.09274307915973</v>
      </c>
      <c r="N6" s="331" t="s">
        <v>351</v>
      </c>
    </row>
    <row r="7" spans="1:14" x14ac:dyDescent="0.2">
      <c r="A7" s="341" t="s">
        <v>348</v>
      </c>
      <c r="B7" s="343">
        <f>M3</f>
        <v>1110</v>
      </c>
      <c r="C7" s="342">
        <v>0.05</v>
      </c>
      <c r="D7" s="343">
        <f t="shared" ref="D7:D14" si="0">B7*C7*40*NWEEK</f>
        <v>222000</v>
      </c>
      <c r="E7" s="344">
        <f>D7*$B$1</f>
        <v>7.3637400000000008</v>
      </c>
      <c r="L7" s="334">
        <f>L4*EXP(-LN(2)*M5/109.8)</f>
        <v>10.270556916490195</v>
      </c>
      <c r="M7" s="334">
        <f>M4*EXP(-LN(2)*M5/109.8)</f>
        <v>380.01060591013726</v>
      </c>
      <c r="N7" s="331" t="s">
        <v>353</v>
      </c>
    </row>
    <row r="8" spans="1:14" x14ac:dyDescent="0.2">
      <c r="A8" s="341" t="s">
        <v>350</v>
      </c>
      <c r="B8" s="343">
        <f>M4</f>
        <v>555</v>
      </c>
      <c r="C8" s="342">
        <v>0.2</v>
      </c>
      <c r="D8" s="343">
        <f t="shared" si="0"/>
        <v>444000</v>
      </c>
      <c r="E8" s="344">
        <f t="shared" ref="E8:E14" si="1">D8*$B$1</f>
        <v>14.727480000000002</v>
      </c>
      <c r="L8" s="334">
        <f>L7*0.85</f>
        <v>8.7299733790166663</v>
      </c>
      <c r="M8" s="334">
        <f>M7*0.85</f>
        <v>323.00901502361666</v>
      </c>
      <c r="N8" s="331" t="s">
        <v>355</v>
      </c>
    </row>
    <row r="9" spans="1:14" x14ac:dyDescent="0.2">
      <c r="A9" s="341" t="s">
        <v>352</v>
      </c>
      <c r="B9" s="343">
        <f>M4</f>
        <v>555</v>
      </c>
      <c r="C9" s="342">
        <v>0.2</v>
      </c>
      <c r="D9" s="343">
        <f t="shared" si="0"/>
        <v>444000</v>
      </c>
      <c r="E9" s="344">
        <f t="shared" si="1"/>
        <v>14.727480000000002</v>
      </c>
      <c r="L9" s="334"/>
      <c r="M9" s="334">
        <v>15</v>
      </c>
      <c r="N9" s="331" t="s">
        <v>357</v>
      </c>
    </row>
    <row r="10" spans="1:14" x14ac:dyDescent="0.2">
      <c r="A10" s="341" t="s">
        <v>354</v>
      </c>
      <c r="B10" s="343">
        <f>M8</f>
        <v>323.00901502361666</v>
      </c>
      <c r="C10" s="342">
        <v>0.4</v>
      </c>
      <c r="D10" s="343">
        <f t="shared" si="0"/>
        <v>516814.42403778672</v>
      </c>
      <c r="E10" s="344">
        <f t="shared" si="1"/>
        <v>17.142734445333389</v>
      </c>
      <c r="L10" s="334">
        <f>L8*1.443*109.8*(1-EXP(-LN(2)*M9/109.8))/M9</f>
        <v>8.3311470022494643</v>
      </c>
      <c r="M10" s="334">
        <f>M8*1.443*109.8*(1-EXP(-LN(2)*M9/109.8))/M9</f>
        <v>308.25243908323023</v>
      </c>
      <c r="N10" s="331" t="s">
        <v>359</v>
      </c>
    </row>
    <row r="11" spans="1:14" x14ac:dyDescent="0.2">
      <c r="A11" s="341" t="s">
        <v>356</v>
      </c>
      <c r="B11" s="343">
        <f>M8</f>
        <v>323.00901502361666</v>
      </c>
      <c r="C11" s="342">
        <v>0.4</v>
      </c>
      <c r="D11" s="343">
        <f t="shared" si="0"/>
        <v>516814.42403778672</v>
      </c>
      <c r="E11" s="344">
        <f t="shared" si="1"/>
        <v>17.142734445333389</v>
      </c>
      <c r="L11" s="334">
        <f>L8*EXP(-LN(2)*M9/109.8)</f>
        <v>7.9412451486820315</v>
      </c>
      <c r="M11" s="334">
        <f>M8*EXP(-LN(2)*M9/109.8)</f>
        <v>293.82607050123517</v>
      </c>
      <c r="N11" s="331" t="s">
        <v>361</v>
      </c>
    </row>
    <row r="12" spans="1:14" x14ac:dyDescent="0.2">
      <c r="A12" s="341" t="s">
        <v>358</v>
      </c>
      <c r="B12" s="343">
        <f>M4</f>
        <v>555</v>
      </c>
      <c r="C12" s="342">
        <v>0.4</v>
      </c>
      <c r="D12" s="343">
        <f t="shared" si="0"/>
        <v>888000</v>
      </c>
      <c r="E12" s="344">
        <f t="shared" si="1"/>
        <v>29.454960000000003</v>
      </c>
    </row>
    <row r="13" spans="1:14" x14ac:dyDescent="0.2">
      <c r="A13" s="341" t="s">
        <v>360</v>
      </c>
      <c r="B13" s="343">
        <f>M7</f>
        <v>380.01060591013726</v>
      </c>
      <c r="C13" s="342">
        <v>0.3</v>
      </c>
      <c r="D13" s="343">
        <f t="shared" si="0"/>
        <v>456012.72709216474</v>
      </c>
      <c r="E13" s="344">
        <f t="shared" si="1"/>
        <v>15.125942157647106</v>
      </c>
    </row>
    <row r="14" spans="1:14" x14ac:dyDescent="0.2">
      <c r="A14" s="341" t="s">
        <v>362</v>
      </c>
      <c r="B14" s="343">
        <f>M6</f>
        <v>462.09274307915973</v>
      </c>
      <c r="C14" s="342">
        <v>0.75</v>
      </c>
      <c r="D14" s="343">
        <f t="shared" si="0"/>
        <v>1386278.2292374792</v>
      </c>
      <c r="E14" s="344">
        <f t="shared" si="1"/>
        <v>45.982848863807185</v>
      </c>
    </row>
    <row r="15" spans="1:14" x14ac:dyDescent="0.2">
      <c r="M15" s="331">
        <v>2.2650000000000001</v>
      </c>
      <c r="N15" s="331" t="s">
        <v>363</v>
      </c>
    </row>
    <row r="16" spans="1:14" x14ac:dyDescent="0.2">
      <c r="A16" s="333" t="s">
        <v>365</v>
      </c>
      <c r="M16" s="331">
        <v>11.34</v>
      </c>
      <c r="N16" s="331" t="s">
        <v>364</v>
      </c>
    </row>
    <row r="17" spans="1:14" x14ac:dyDescent="0.2">
      <c r="B17" s="342" t="s">
        <v>128</v>
      </c>
      <c r="C17" s="342" t="s">
        <v>74</v>
      </c>
      <c r="D17" s="342" t="s">
        <v>162</v>
      </c>
      <c r="E17" s="342" t="s">
        <v>366</v>
      </c>
      <c r="F17" s="342" t="s">
        <v>367</v>
      </c>
      <c r="M17" s="331">
        <f>M15*M16</f>
        <v>25.685100000000002</v>
      </c>
      <c r="N17" s="331" t="s">
        <v>368</v>
      </c>
    </row>
    <row r="18" spans="1:14" x14ac:dyDescent="0.2">
      <c r="A18" s="342">
        <v>1</v>
      </c>
      <c r="B18" s="342" t="s">
        <v>369</v>
      </c>
      <c r="C18" s="342" t="s">
        <v>191</v>
      </c>
      <c r="D18" s="342">
        <v>1</v>
      </c>
      <c r="E18" s="342">
        <f>IF(C18="U",0.02,IF(C18="C",0.1,""))</f>
        <v>0.02</v>
      </c>
      <c r="F18" s="341">
        <f>E18/D18</f>
        <v>0.02</v>
      </c>
      <c r="M18" s="338">
        <f>LN(2)/M17*10</f>
        <v>0.26986353199323548</v>
      </c>
      <c r="N18" s="331" t="s">
        <v>370</v>
      </c>
    </row>
    <row r="19" spans="1:14" x14ac:dyDescent="0.2">
      <c r="A19" s="342">
        <v>2</v>
      </c>
      <c r="B19" s="342" t="s">
        <v>371</v>
      </c>
      <c r="C19" s="342" t="s">
        <v>372</v>
      </c>
      <c r="D19" s="342">
        <v>1</v>
      </c>
      <c r="E19" s="342">
        <f t="shared" ref="E19:E29" si="2">IF(C19="U",0.02,IF(C19="C",0.1,""))</f>
        <v>0.1</v>
      </c>
      <c r="F19" s="341">
        <f t="shared" ref="F19:F29" si="3">E19/D19</f>
        <v>0.1</v>
      </c>
    </row>
    <row r="20" spans="1:14" x14ac:dyDescent="0.2">
      <c r="A20" s="342">
        <v>3</v>
      </c>
      <c r="B20" s="342" t="s">
        <v>373</v>
      </c>
      <c r="C20" s="342" t="s">
        <v>191</v>
      </c>
      <c r="D20" s="342">
        <v>0.5</v>
      </c>
      <c r="E20" s="342">
        <f t="shared" si="2"/>
        <v>0.02</v>
      </c>
      <c r="F20" s="341">
        <f t="shared" si="3"/>
        <v>0.04</v>
      </c>
    </row>
    <row r="21" spans="1:14" x14ac:dyDescent="0.2">
      <c r="A21" s="342">
        <v>4</v>
      </c>
      <c r="B21" s="342" t="s">
        <v>374</v>
      </c>
      <c r="C21" s="342" t="s">
        <v>191</v>
      </c>
      <c r="D21" s="342">
        <v>0.5</v>
      </c>
      <c r="E21" s="342">
        <f t="shared" si="2"/>
        <v>0.02</v>
      </c>
      <c r="F21" s="341">
        <f t="shared" si="3"/>
        <v>0.04</v>
      </c>
    </row>
    <row r="22" spans="1:14" x14ac:dyDescent="0.2">
      <c r="A22" s="342">
        <v>5</v>
      </c>
      <c r="B22" s="342" t="s">
        <v>375</v>
      </c>
      <c r="C22" s="342" t="s">
        <v>191</v>
      </c>
      <c r="D22" s="342">
        <v>0.5</v>
      </c>
      <c r="E22" s="342">
        <f t="shared" si="2"/>
        <v>0.02</v>
      </c>
      <c r="F22" s="341">
        <f t="shared" si="3"/>
        <v>0.04</v>
      </c>
    </row>
    <row r="23" spans="1:14" x14ac:dyDescent="0.2">
      <c r="A23" s="342">
        <v>6</v>
      </c>
      <c r="B23" s="342" t="s">
        <v>376</v>
      </c>
      <c r="C23" s="342" t="s">
        <v>191</v>
      </c>
      <c r="D23" s="342">
        <v>0.5</v>
      </c>
      <c r="E23" s="342">
        <f t="shared" si="2"/>
        <v>0.02</v>
      </c>
      <c r="F23" s="341">
        <f t="shared" si="3"/>
        <v>0.04</v>
      </c>
    </row>
    <row r="24" spans="1:14" x14ac:dyDescent="0.2">
      <c r="A24" s="342">
        <v>7</v>
      </c>
      <c r="B24" s="342" t="s">
        <v>377</v>
      </c>
      <c r="C24" s="342" t="s">
        <v>191</v>
      </c>
      <c r="D24" s="342">
        <v>0.1</v>
      </c>
      <c r="E24" s="342">
        <f t="shared" si="2"/>
        <v>0.02</v>
      </c>
      <c r="F24" s="341">
        <f t="shared" si="3"/>
        <v>0.19999999999999998</v>
      </c>
    </row>
    <row r="25" spans="1:14" x14ac:dyDescent="0.2">
      <c r="A25" s="342">
        <v>8</v>
      </c>
      <c r="B25" s="342" t="s">
        <v>378</v>
      </c>
      <c r="C25" s="342" t="s">
        <v>191</v>
      </c>
      <c r="D25" s="342">
        <v>0.1</v>
      </c>
      <c r="E25" s="342">
        <f t="shared" si="2"/>
        <v>0.02</v>
      </c>
      <c r="F25" s="341">
        <f t="shared" si="3"/>
        <v>0.19999999999999998</v>
      </c>
    </row>
    <row r="26" spans="1:14" x14ac:dyDescent="0.2">
      <c r="A26" s="342">
        <v>9</v>
      </c>
      <c r="B26" s="342" t="s">
        <v>379</v>
      </c>
      <c r="C26" s="342" t="s">
        <v>191</v>
      </c>
      <c r="D26" s="342">
        <v>0.1</v>
      </c>
      <c r="E26" s="342">
        <f t="shared" si="2"/>
        <v>0.02</v>
      </c>
      <c r="F26" s="341">
        <f t="shared" si="3"/>
        <v>0.19999999999999998</v>
      </c>
    </row>
    <row r="27" spans="1:14" x14ac:dyDescent="0.2">
      <c r="A27" s="342">
        <v>10</v>
      </c>
      <c r="B27" s="342" t="s">
        <v>380</v>
      </c>
      <c r="C27" s="342" t="s">
        <v>372</v>
      </c>
      <c r="D27" s="342">
        <v>1</v>
      </c>
      <c r="E27" s="342">
        <f t="shared" si="2"/>
        <v>0.1</v>
      </c>
      <c r="F27" s="341">
        <f t="shared" si="3"/>
        <v>0.1</v>
      </c>
    </row>
    <row r="28" spans="1:14" x14ac:dyDescent="0.2">
      <c r="A28" s="342">
        <v>11</v>
      </c>
      <c r="B28" s="342" t="s">
        <v>196</v>
      </c>
      <c r="C28" s="342" t="s">
        <v>191</v>
      </c>
      <c r="D28" s="342">
        <v>0.5</v>
      </c>
      <c r="E28" s="342">
        <f t="shared" si="2"/>
        <v>0.02</v>
      </c>
      <c r="F28" s="341">
        <f t="shared" si="3"/>
        <v>0.04</v>
      </c>
    </row>
    <row r="29" spans="1:14" x14ac:dyDescent="0.2">
      <c r="A29" s="342">
        <v>12</v>
      </c>
      <c r="B29" s="342" t="s">
        <v>197</v>
      </c>
      <c r="C29" s="342" t="s">
        <v>191</v>
      </c>
      <c r="D29" s="342">
        <v>0.5</v>
      </c>
      <c r="E29" s="342">
        <f t="shared" si="2"/>
        <v>0.02</v>
      </c>
      <c r="F29" s="341">
        <f t="shared" si="3"/>
        <v>0.04</v>
      </c>
    </row>
    <row r="31" spans="1:14" x14ac:dyDescent="0.2">
      <c r="A31" s="340" t="s">
        <v>381</v>
      </c>
    </row>
    <row r="32" spans="1:14" x14ac:dyDescent="0.2">
      <c r="C32" s="385" t="s">
        <v>389</v>
      </c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</row>
    <row r="33" spans="1:15" x14ac:dyDescent="0.2">
      <c r="C33" s="342" t="s">
        <v>369</v>
      </c>
      <c r="D33" s="342" t="s">
        <v>371</v>
      </c>
      <c r="E33" s="342" t="s">
        <v>373</v>
      </c>
      <c r="F33" s="342" t="s">
        <v>374</v>
      </c>
      <c r="G33" s="342" t="s">
        <v>375</v>
      </c>
      <c r="H33" s="342" t="s">
        <v>376</v>
      </c>
      <c r="I33" s="342" t="s">
        <v>377</v>
      </c>
      <c r="J33" s="342" t="s">
        <v>378</v>
      </c>
      <c r="K33" s="342" t="s">
        <v>379</v>
      </c>
      <c r="L33" s="342" t="s">
        <v>380</v>
      </c>
      <c r="M33" s="341" t="s">
        <v>196</v>
      </c>
      <c r="N33" s="341" t="s">
        <v>197</v>
      </c>
    </row>
    <row r="34" spans="1:15" x14ac:dyDescent="0.2">
      <c r="A34" s="385" t="s">
        <v>390</v>
      </c>
      <c r="B34" s="341" t="str">
        <f t="shared" ref="B34:B41" si="4">A7</f>
        <v>Hot lab</v>
      </c>
      <c r="C34" s="343">
        <f>48*12*0.0254</f>
        <v>14.6304</v>
      </c>
      <c r="D34" s="343">
        <f>39*12*0.0254</f>
        <v>11.8872</v>
      </c>
      <c r="E34" s="343">
        <f>29*12*0.0254</f>
        <v>8.8391999999999999</v>
      </c>
      <c r="F34" s="343">
        <f>44*12*0.0254</f>
        <v>13.411199999999999</v>
      </c>
      <c r="G34" s="343">
        <f>24*12*0.0254</f>
        <v>7.3151999999999999</v>
      </c>
      <c r="H34" s="343">
        <f>34*12*0.0254</f>
        <v>10.363199999999999</v>
      </c>
      <c r="I34" s="343">
        <f>23*12*0.0254</f>
        <v>7.0103999999999997</v>
      </c>
      <c r="J34" s="343">
        <f>20*12*0.0254</f>
        <v>6.0960000000000001</v>
      </c>
      <c r="K34" s="343">
        <f>22*12*0.0254</f>
        <v>6.7055999999999996</v>
      </c>
      <c r="L34" s="343">
        <f>9*12*0.0254</f>
        <v>2.7431999999999999</v>
      </c>
      <c r="M34" s="343">
        <f>20*12*0.0254</f>
        <v>6.0960000000000001</v>
      </c>
      <c r="N34" s="343">
        <f t="shared" ref="N34:N41" si="5">SQRT(2*(18^2))*12*0.0254</f>
        <v>7.7589412886037472</v>
      </c>
    </row>
    <row r="35" spans="1:15" x14ac:dyDescent="0.2">
      <c r="A35" s="385"/>
      <c r="B35" s="341" t="str">
        <f t="shared" si="4"/>
        <v>NM Hold 1</v>
      </c>
      <c r="C35" s="343">
        <f>39*12*0.0254</f>
        <v>11.8872</v>
      </c>
      <c r="D35" s="343">
        <f>52*12*0.0254</f>
        <v>15.849599999999999</v>
      </c>
      <c r="E35" s="343">
        <f>57.5*12*0.0254</f>
        <v>17.526</v>
      </c>
      <c r="F35" s="343">
        <f>74*12*0.0254</f>
        <v>22.555199999999999</v>
      </c>
      <c r="G35" s="343">
        <f>56*12*0.0254</f>
        <v>17.0688</v>
      </c>
      <c r="H35" s="343">
        <f>65*12*0.0254</f>
        <v>19.811999999999998</v>
      </c>
      <c r="I35" s="343">
        <f>46*12*0.0254</f>
        <v>14.020799999999999</v>
      </c>
      <c r="J35" s="343">
        <f>38*12*0.0254</f>
        <v>11.5824</v>
      </c>
      <c r="K35" s="343">
        <f>28*12*0.0254</f>
        <v>8.5343999999999998</v>
      </c>
      <c r="L35" s="343">
        <f>40*12*0.0254</f>
        <v>12.192</v>
      </c>
      <c r="M35" s="343">
        <f t="shared" ref="M35:M41" si="6">20*12*0.0254</f>
        <v>6.0960000000000001</v>
      </c>
      <c r="N35" s="343">
        <f t="shared" si="5"/>
        <v>7.7589412886037472</v>
      </c>
    </row>
    <row r="36" spans="1:15" x14ac:dyDescent="0.2">
      <c r="A36" s="385"/>
      <c r="B36" s="341" t="str">
        <f t="shared" si="4"/>
        <v>NM Hold 2</v>
      </c>
      <c r="C36" s="343">
        <f>43*12*0.0254</f>
        <v>13.106399999999999</v>
      </c>
      <c r="D36" s="343">
        <f>40*12*0.0254</f>
        <v>12.192</v>
      </c>
      <c r="E36" s="343">
        <f>36*12*0.0254</f>
        <v>10.972799999999999</v>
      </c>
      <c r="F36" s="343">
        <f>52*12*0.0254</f>
        <v>15.849599999999999</v>
      </c>
      <c r="G36" s="343">
        <f>32*12*0.0254</f>
        <v>9.7535999999999987</v>
      </c>
      <c r="H36" s="343">
        <f>43*12*0.0254</f>
        <v>13.106399999999999</v>
      </c>
      <c r="I36" s="343">
        <f>28*12*0.0254</f>
        <v>8.5343999999999998</v>
      </c>
      <c r="J36" s="343">
        <f>22*12*0.0254</f>
        <v>6.7055999999999996</v>
      </c>
      <c r="K36" s="343">
        <f>20*12*0.0254</f>
        <v>6.0960000000000001</v>
      </c>
      <c r="L36" s="343">
        <f>17*12*0.0254</f>
        <v>5.1815999999999995</v>
      </c>
      <c r="M36" s="343">
        <f t="shared" si="6"/>
        <v>6.0960000000000001</v>
      </c>
      <c r="N36" s="343">
        <f t="shared" si="5"/>
        <v>7.7589412886037472</v>
      </c>
    </row>
    <row r="37" spans="1:15" x14ac:dyDescent="0.2">
      <c r="A37" s="385"/>
      <c r="B37" s="341" t="str">
        <f t="shared" si="4"/>
        <v>NM Camera 1</v>
      </c>
      <c r="C37" s="343">
        <f>25*12*0.0254</f>
        <v>7.62</v>
      </c>
      <c r="D37" s="343">
        <f>49*12*0.0254</f>
        <v>14.9352</v>
      </c>
      <c r="E37" s="343">
        <f>63*12*0.0254</f>
        <v>19.202400000000001</v>
      </c>
      <c r="F37" s="343">
        <f>80*12*0.0254</f>
        <v>24.384</v>
      </c>
      <c r="G37" s="343">
        <f>65*12*0.0254</f>
        <v>19.811999999999998</v>
      </c>
      <c r="H37" s="343">
        <f>76*12*0.0254</f>
        <v>23.1648</v>
      </c>
      <c r="I37" s="343">
        <f>62*12*0.0254</f>
        <v>18.897600000000001</v>
      </c>
      <c r="J37" s="343">
        <f>55*12*0.0254</f>
        <v>16.763999999999999</v>
      </c>
      <c r="K37" s="343">
        <f>46*12*0.0254</f>
        <v>14.020799999999999</v>
      </c>
      <c r="L37" s="343">
        <f>50*12*0.0254</f>
        <v>15.24</v>
      </c>
      <c r="M37" s="343">
        <f t="shared" si="6"/>
        <v>6.0960000000000001</v>
      </c>
      <c r="N37" s="343">
        <f t="shared" si="5"/>
        <v>7.7589412886037472</v>
      </c>
    </row>
    <row r="38" spans="1:15" x14ac:dyDescent="0.2">
      <c r="A38" s="385"/>
      <c r="B38" s="341" t="str">
        <f t="shared" si="4"/>
        <v>NM Camera 2</v>
      </c>
      <c r="C38" s="343">
        <f>32.5*12*0.0254</f>
        <v>9.9059999999999988</v>
      </c>
      <c r="D38" s="343">
        <f>23*12*0.0254</f>
        <v>7.0103999999999997</v>
      </c>
      <c r="E38" s="343">
        <f>28*12*0.0254</f>
        <v>8.5343999999999998</v>
      </c>
      <c r="F38" s="343">
        <f>45*12*0.0254</f>
        <v>13.715999999999999</v>
      </c>
      <c r="G38" s="343">
        <f>31*12*0.0254</f>
        <v>9.4488000000000003</v>
      </c>
      <c r="H38" s="343">
        <f>42*12*0.0254</f>
        <v>12.801599999999999</v>
      </c>
      <c r="I38" s="343">
        <f>39*12*0.0254</f>
        <v>11.8872</v>
      </c>
      <c r="J38" s="343">
        <f>37*12*0.0254</f>
        <v>11.2776</v>
      </c>
      <c r="K38" s="343">
        <f>37*12*0.0254</f>
        <v>11.2776</v>
      </c>
      <c r="L38" s="343">
        <f>17*12*0.0254</f>
        <v>5.1815999999999995</v>
      </c>
      <c r="M38" s="343">
        <f t="shared" si="6"/>
        <v>6.0960000000000001</v>
      </c>
      <c r="N38" s="343">
        <f t="shared" si="5"/>
        <v>7.7589412886037472</v>
      </c>
    </row>
    <row r="39" spans="1:15" x14ac:dyDescent="0.2">
      <c r="A39" s="385"/>
      <c r="B39" s="341" t="str">
        <f t="shared" si="4"/>
        <v>Stress Lab</v>
      </c>
      <c r="C39" s="343">
        <f>51*12*0.0254</f>
        <v>15.544799999999999</v>
      </c>
      <c r="D39" s="343">
        <f>28*12*0.0254</f>
        <v>8.5343999999999998</v>
      </c>
      <c r="E39" s="343">
        <f>5*12*0.0254</f>
        <v>1.524</v>
      </c>
      <c r="F39" s="343">
        <f>20*12*0.0254</f>
        <v>6.0960000000000001</v>
      </c>
      <c r="G39" s="343">
        <f>10*12*0.0254</f>
        <v>3.048</v>
      </c>
      <c r="H39" s="343">
        <f>17*12*0.0254</f>
        <v>5.1815999999999995</v>
      </c>
      <c r="I39" s="343">
        <f>35*12*0.0254</f>
        <v>10.667999999999999</v>
      </c>
      <c r="J39" s="343">
        <f>38*12*0.0254</f>
        <v>11.5824</v>
      </c>
      <c r="K39" s="343">
        <f>43*12*0.0254</f>
        <v>13.106399999999999</v>
      </c>
      <c r="L39" s="343">
        <f>8*12*0.0254</f>
        <v>2.4383999999999997</v>
      </c>
      <c r="M39" s="343">
        <f t="shared" si="6"/>
        <v>6.0960000000000001</v>
      </c>
      <c r="N39" s="343">
        <f t="shared" si="5"/>
        <v>7.7589412886037472</v>
      </c>
    </row>
    <row r="40" spans="1:15" x14ac:dyDescent="0.2">
      <c r="A40" s="385"/>
      <c r="B40" s="341" t="str">
        <f t="shared" si="4"/>
        <v>Hot Toilet</v>
      </c>
      <c r="C40" s="343">
        <f>41*12*0.0254</f>
        <v>12.4968</v>
      </c>
      <c r="D40" s="343">
        <f>62*12*0.0254</f>
        <v>18.897600000000001</v>
      </c>
      <c r="E40" s="343">
        <f>72*12*0.0254</f>
        <v>21.945599999999999</v>
      </c>
      <c r="F40" s="343">
        <f>88*12*0.0254</f>
        <v>26.822399999999998</v>
      </c>
      <c r="G40" s="343">
        <f>69*12*0.0254</f>
        <v>21.031199999999998</v>
      </c>
      <c r="H40" s="343">
        <f>79*12*0.0254</f>
        <v>24.0792</v>
      </c>
      <c r="I40" s="343">
        <f>62*12*0.0254</f>
        <v>18.897600000000001</v>
      </c>
      <c r="J40" s="343">
        <f>50*12*0.0254</f>
        <v>15.24</v>
      </c>
      <c r="K40" s="343">
        <f>41*12*0.0254</f>
        <v>12.4968</v>
      </c>
      <c r="L40" s="343">
        <f>55.5*12*0.0254</f>
        <v>16.916399999999999</v>
      </c>
      <c r="M40" s="343">
        <f t="shared" si="6"/>
        <v>6.0960000000000001</v>
      </c>
      <c r="N40" s="343">
        <f t="shared" si="5"/>
        <v>7.7589412886037472</v>
      </c>
    </row>
    <row r="41" spans="1:15" x14ac:dyDescent="0.2">
      <c r="A41" s="385"/>
      <c r="B41" s="341" t="str">
        <f t="shared" si="4"/>
        <v>Radiology Waiting</v>
      </c>
      <c r="C41" s="343">
        <f>80*12*0.0254</f>
        <v>24.384</v>
      </c>
      <c r="D41" s="343">
        <f>63*12*0.0254</f>
        <v>19.202400000000001</v>
      </c>
      <c r="E41" s="343">
        <f>37*12*0.0254</f>
        <v>11.2776</v>
      </c>
      <c r="F41" s="343">
        <f>40*12*0.0254</f>
        <v>12.192</v>
      </c>
      <c r="G41" s="343">
        <f>24*12*0.0254</f>
        <v>7.3151999999999999</v>
      </c>
      <c r="H41" s="343">
        <f>26*12*0.0254</f>
        <v>7.9247999999999994</v>
      </c>
      <c r="I41" s="343">
        <f>12*12*0.0254</f>
        <v>3.6576</v>
      </c>
      <c r="J41" s="343">
        <f>22*12*0.0254</f>
        <v>6.7055999999999996</v>
      </c>
      <c r="K41" s="343">
        <f>33*12*0.0254</f>
        <v>10.058399999999999</v>
      </c>
      <c r="L41" s="343">
        <f>20*12*0.0254</f>
        <v>6.0960000000000001</v>
      </c>
      <c r="M41" s="343">
        <f t="shared" si="6"/>
        <v>6.0960000000000001</v>
      </c>
      <c r="N41" s="343">
        <f t="shared" si="5"/>
        <v>7.7589412886037472</v>
      </c>
    </row>
    <row r="44" spans="1:15" x14ac:dyDescent="0.2">
      <c r="A44" s="333" t="s">
        <v>382</v>
      </c>
    </row>
    <row r="45" spans="1:15" x14ac:dyDescent="0.2">
      <c r="C45" s="385" t="s">
        <v>389</v>
      </c>
      <c r="D45" s="385"/>
      <c r="E45" s="385"/>
      <c r="F45" s="385"/>
      <c r="G45" s="385"/>
      <c r="H45" s="385"/>
      <c r="I45" s="385"/>
      <c r="J45" s="385"/>
      <c r="K45" s="385"/>
      <c r="L45" s="385"/>
      <c r="M45" s="385"/>
      <c r="N45" s="385"/>
    </row>
    <row r="46" spans="1:15" x14ac:dyDescent="0.2">
      <c r="C46" s="342" t="str">
        <f t="shared" ref="C46:N46" si="7">C33</f>
        <v>Tech area</v>
      </c>
      <c r="D46" s="342" t="str">
        <f t="shared" si="7"/>
        <v>CT Tech area</v>
      </c>
      <c r="E46" s="342" t="str">
        <f t="shared" si="7"/>
        <v>US 1</v>
      </c>
      <c r="F46" s="342" t="str">
        <f t="shared" si="7"/>
        <v>US 2</v>
      </c>
      <c r="G46" s="342" t="str">
        <f t="shared" si="7"/>
        <v>Office 2221</v>
      </c>
      <c r="H46" s="342" t="str">
        <f t="shared" si="7"/>
        <v>Office 2302</v>
      </c>
      <c r="I46" s="342" t="str">
        <f t="shared" si="7"/>
        <v>Consult A</v>
      </c>
      <c r="J46" s="342" t="str">
        <f t="shared" si="7"/>
        <v>Consult B</v>
      </c>
      <c r="K46" s="342" t="str">
        <f t="shared" si="7"/>
        <v>Lactation</v>
      </c>
      <c r="L46" s="342" t="str">
        <f t="shared" si="7"/>
        <v>Reading Room</v>
      </c>
      <c r="M46" s="342" t="str">
        <f t="shared" si="7"/>
        <v>Floor</v>
      </c>
      <c r="N46" s="342" t="str">
        <f t="shared" si="7"/>
        <v>Ceiling</v>
      </c>
    </row>
    <row r="47" spans="1:15" x14ac:dyDescent="0.2">
      <c r="B47" s="348" t="s">
        <v>383</v>
      </c>
      <c r="C47" s="349">
        <f>SUM(C48:C55)</f>
        <v>0.9903830236204284</v>
      </c>
      <c r="D47" s="349">
        <f t="shared" ref="D47:N47" si="8">SUM(D48:D55)</f>
        <v>1.2069456032276571</v>
      </c>
      <c r="E47" s="349">
        <f t="shared" si="8"/>
        <v>13.621340154463082</v>
      </c>
      <c r="F47" s="349">
        <f t="shared" si="8"/>
        <v>1.371468842771582</v>
      </c>
      <c r="G47" s="349">
        <f t="shared" si="8"/>
        <v>4.6426544264576028</v>
      </c>
      <c r="H47" s="349">
        <f t="shared" si="8"/>
        <v>2.1837049529420849</v>
      </c>
      <c r="I47" s="349">
        <f t="shared" si="8"/>
        <v>4.33463407109216</v>
      </c>
      <c r="J47" s="349">
        <f t="shared" si="8"/>
        <v>2.1385807499842233</v>
      </c>
      <c r="K47" s="349">
        <f t="shared" si="8"/>
        <v>1.7071011492309554</v>
      </c>
      <c r="L47" s="349">
        <f t="shared" si="8"/>
        <v>8.5826167963290843</v>
      </c>
      <c r="M47" s="349">
        <f t="shared" si="8"/>
        <v>4.3504475179746827</v>
      </c>
      <c r="N47" s="349">
        <f t="shared" si="8"/>
        <v>2.6854614308485707</v>
      </c>
      <c r="O47" s="346"/>
    </row>
    <row r="48" spans="1:15" x14ac:dyDescent="0.2">
      <c r="A48" s="385" t="s">
        <v>390</v>
      </c>
      <c r="B48" s="341" t="str">
        <f t="shared" ref="B48:B55" si="9">A7</f>
        <v>Hot lab</v>
      </c>
      <c r="C48" s="347">
        <f t="shared" ref="C48:N48" si="10">$E7/(C34^2)</f>
        <v>3.4402186498238743E-2</v>
      </c>
      <c r="D48" s="347">
        <f t="shared" si="10"/>
        <v>5.2112187831651585E-2</v>
      </c>
      <c r="E48" s="347">
        <f t="shared" si="10"/>
        <v>9.4248082867945379E-2</v>
      </c>
      <c r="F48" s="347">
        <f t="shared" si="10"/>
        <v>4.0941445088813054E-2</v>
      </c>
      <c r="G48" s="347">
        <f t="shared" si="10"/>
        <v>0.13760874599295497</v>
      </c>
      <c r="H48" s="347">
        <f t="shared" si="10"/>
        <v>6.8566295581264772E-2</v>
      </c>
      <c r="I48" s="347">
        <f t="shared" si="10"/>
        <v>0.14983485386000389</v>
      </c>
      <c r="J48" s="347">
        <f t="shared" si="10"/>
        <v>0.19815659422985513</v>
      </c>
      <c r="K48" s="347">
        <f t="shared" si="10"/>
        <v>0.16376578035525222</v>
      </c>
      <c r="L48" s="347">
        <f t="shared" si="10"/>
        <v>0.97855108261656876</v>
      </c>
      <c r="M48" s="347">
        <f t="shared" si="10"/>
        <v>0.19815659422985513</v>
      </c>
      <c r="N48" s="347">
        <f t="shared" si="10"/>
        <v>0.12231888532707112</v>
      </c>
      <c r="O48" s="339"/>
    </row>
    <row r="49" spans="1:15" x14ac:dyDescent="0.2">
      <c r="A49" s="385"/>
      <c r="B49" s="341" t="str">
        <f t="shared" si="9"/>
        <v>NM Hold 1</v>
      </c>
      <c r="C49" s="347">
        <f t="shared" ref="C49:N49" si="11">$E8/(C35^2)</f>
        <v>0.10422437566330317</v>
      </c>
      <c r="D49" s="347">
        <f t="shared" si="11"/>
        <v>5.8626211310608044E-2</v>
      </c>
      <c r="E49" s="347">
        <f t="shared" si="11"/>
        <v>4.7947153235201254E-2</v>
      </c>
      <c r="F49" s="347">
        <f t="shared" si="11"/>
        <v>2.8949100690994177E-2</v>
      </c>
      <c r="G49" s="347">
        <f t="shared" si="11"/>
        <v>5.0550151589248762E-2</v>
      </c>
      <c r="H49" s="347">
        <f t="shared" si="11"/>
        <v>3.7520775238789147E-2</v>
      </c>
      <c r="I49" s="347">
        <f t="shared" si="11"/>
        <v>7.4917426930001946E-2</v>
      </c>
      <c r="J49" s="347">
        <f t="shared" si="11"/>
        <v>0.1097820466647397</v>
      </c>
      <c r="K49" s="347">
        <f t="shared" si="11"/>
        <v>0.20220060635699505</v>
      </c>
      <c r="L49" s="347">
        <f t="shared" si="11"/>
        <v>9.9078297114927563E-2</v>
      </c>
      <c r="M49" s="347">
        <f t="shared" si="11"/>
        <v>0.39631318845971025</v>
      </c>
      <c r="N49" s="347">
        <f t="shared" si="11"/>
        <v>0.24463777065414224</v>
      </c>
      <c r="O49" s="339"/>
    </row>
    <row r="50" spans="1:15" x14ac:dyDescent="0.2">
      <c r="A50" s="385"/>
      <c r="B50" s="341" t="str">
        <f t="shared" si="9"/>
        <v>NM Hold 2</v>
      </c>
      <c r="C50" s="347">
        <f t="shared" ref="C50:N50" si="12">$E9/(C36^2)</f>
        <v>8.5735681657049284E-2</v>
      </c>
      <c r="D50" s="347">
        <f t="shared" si="12"/>
        <v>9.9078297114927563E-2</v>
      </c>
      <c r="E50" s="347">
        <f t="shared" si="12"/>
        <v>0.12231888532707109</v>
      </c>
      <c r="F50" s="347">
        <f t="shared" si="12"/>
        <v>5.8626211310608044E-2</v>
      </c>
      <c r="G50" s="347">
        <f t="shared" si="12"/>
        <v>0.15480983924207437</v>
      </c>
      <c r="H50" s="347">
        <f t="shared" si="12"/>
        <v>8.5735681657049284E-2</v>
      </c>
      <c r="I50" s="347">
        <f t="shared" si="12"/>
        <v>0.20220060635699505</v>
      </c>
      <c r="J50" s="347">
        <f t="shared" si="12"/>
        <v>0.32753156071050443</v>
      </c>
      <c r="K50" s="347">
        <f t="shared" si="12"/>
        <v>0.39631318845971025</v>
      </c>
      <c r="L50" s="347">
        <f t="shared" si="12"/>
        <v>0.54853036465011817</v>
      </c>
      <c r="M50" s="347">
        <f t="shared" si="12"/>
        <v>0.39631318845971025</v>
      </c>
      <c r="N50" s="347">
        <f t="shared" si="12"/>
        <v>0.24463777065414224</v>
      </c>
      <c r="O50" s="339"/>
    </row>
    <row r="51" spans="1:15" x14ac:dyDescent="0.2">
      <c r="A51" s="385"/>
      <c r="B51" s="341" t="str">
        <f t="shared" si="9"/>
        <v>NM Camera 1</v>
      </c>
      <c r="C51" s="347">
        <f t="shared" ref="C51:N51" si="13">$E10/(C37^2)</f>
        <v>0.29523657258722019</v>
      </c>
      <c r="D51" s="347">
        <f t="shared" si="13"/>
        <v>7.6852502235323875E-2</v>
      </c>
      <c r="E51" s="347">
        <f t="shared" si="13"/>
        <v>4.6491019870751472E-2</v>
      </c>
      <c r="F51" s="347">
        <f t="shared" si="13"/>
        <v>2.8831696541720721E-2</v>
      </c>
      <c r="G51" s="347">
        <f t="shared" si="13"/>
        <v>4.3674049199292936E-2</v>
      </c>
      <c r="H51" s="347">
        <f t="shared" si="13"/>
        <v>3.1946478162571443E-2</v>
      </c>
      <c r="I51" s="347">
        <f t="shared" si="13"/>
        <v>4.8002824627214523E-2</v>
      </c>
      <c r="J51" s="347">
        <f t="shared" si="13"/>
        <v>6.0999291856863688E-2</v>
      </c>
      <c r="K51" s="347">
        <f t="shared" si="13"/>
        <v>8.7203619029779134E-2</v>
      </c>
      <c r="L51" s="347">
        <f t="shared" si="13"/>
        <v>7.3809143146805048E-2</v>
      </c>
      <c r="M51" s="347">
        <f t="shared" si="13"/>
        <v>0.46130714466753153</v>
      </c>
      <c r="N51" s="347">
        <f t="shared" si="13"/>
        <v>0.28475749670835293</v>
      </c>
      <c r="O51" s="339"/>
    </row>
    <row r="52" spans="1:15" x14ac:dyDescent="0.2">
      <c r="A52" s="385"/>
      <c r="B52" s="341" t="str">
        <f t="shared" si="9"/>
        <v>NM Camera 2</v>
      </c>
      <c r="C52" s="347">
        <f t="shared" ref="C52:N52" si="14">$E11/(C38^2)</f>
        <v>0.17469619679717174</v>
      </c>
      <c r="D52" s="347">
        <f t="shared" si="14"/>
        <v>0.34881447611911653</v>
      </c>
      <c r="E52" s="347">
        <f t="shared" si="14"/>
        <v>0.23536078809567937</v>
      </c>
      <c r="F52" s="347">
        <f t="shared" si="14"/>
        <v>9.1122398946672914E-2</v>
      </c>
      <c r="G52" s="347">
        <f t="shared" si="14"/>
        <v>0.19201129850885809</v>
      </c>
      <c r="H52" s="347">
        <f t="shared" si="14"/>
        <v>0.10460479470919085</v>
      </c>
      <c r="I52" s="347">
        <f t="shared" si="14"/>
        <v>0.12131680333136924</v>
      </c>
      <c r="J52" s="347">
        <f t="shared" si="14"/>
        <v>0.13478660180205451</v>
      </c>
      <c r="K52" s="347">
        <f t="shared" si="14"/>
        <v>0.13478660180205451</v>
      </c>
      <c r="L52" s="347">
        <f t="shared" si="14"/>
        <v>0.63848739746371164</v>
      </c>
      <c r="M52" s="347">
        <f t="shared" si="14"/>
        <v>0.46130714466753153</v>
      </c>
      <c r="N52" s="347">
        <f t="shared" si="14"/>
        <v>0.28475749670835293</v>
      </c>
      <c r="O52" s="339"/>
    </row>
    <row r="53" spans="1:15" x14ac:dyDescent="0.2">
      <c r="A53" s="385"/>
      <c r="B53" s="341" t="str">
        <f t="shared" si="9"/>
        <v>Stress Lab</v>
      </c>
      <c r="C53" s="347">
        <f t="shared" ref="C53:N53" si="15">$E12/(C39^2)</f>
        <v>0.12189563658891514</v>
      </c>
      <c r="D53" s="347">
        <f t="shared" si="15"/>
        <v>0.4044012127139901</v>
      </c>
      <c r="E53" s="347">
        <f t="shared" si="15"/>
        <v>12.682022030710728</v>
      </c>
      <c r="F53" s="347">
        <f t="shared" si="15"/>
        <v>0.79262637691942051</v>
      </c>
      <c r="G53" s="347">
        <f t="shared" si="15"/>
        <v>3.170505507677682</v>
      </c>
      <c r="H53" s="347">
        <f t="shared" si="15"/>
        <v>1.0970607293002363</v>
      </c>
      <c r="I53" s="347">
        <f t="shared" si="15"/>
        <v>0.2588167761369537</v>
      </c>
      <c r="J53" s="347">
        <f t="shared" si="15"/>
        <v>0.2195640933294794</v>
      </c>
      <c r="K53" s="347">
        <f t="shared" si="15"/>
        <v>0.17147136331409857</v>
      </c>
      <c r="L53" s="347">
        <f t="shared" si="15"/>
        <v>4.9539148557463797</v>
      </c>
      <c r="M53" s="347">
        <f t="shared" si="15"/>
        <v>0.79262637691942051</v>
      </c>
      <c r="N53" s="347">
        <f t="shared" si="15"/>
        <v>0.48927554130828449</v>
      </c>
      <c r="O53" s="339"/>
    </row>
    <row r="54" spans="1:15" x14ac:dyDescent="0.2">
      <c r="A54" s="385"/>
      <c r="B54" s="341" t="str">
        <f t="shared" si="9"/>
        <v>Hot Toilet</v>
      </c>
      <c r="C54" s="347">
        <f t="shared" ref="C54:N54" si="16">$E13/(C40^2)</f>
        <v>9.6855613535542187E-2</v>
      </c>
      <c r="D54" s="347">
        <f t="shared" si="16"/>
        <v>4.2355433494601046E-2</v>
      </c>
      <c r="E54" s="347">
        <f t="shared" si="16"/>
        <v>3.1407076842833032E-2</v>
      </c>
      <c r="F54" s="347">
        <f t="shared" si="16"/>
        <v>2.1024572101400626E-2</v>
      </c>
      <c r="G54" s="347">
        <f t="shared" si="16"/>
        <v>3.4197497658736913E-2</v>
      </c>
      <c r="H54" s="347">
        <f t="shared" si="16"/>
        <v>2.6087852323865793E-2</v>
      </c>
      <c r="I54" s="347">
        <f t="shared" si="16"/>
        <v>4.2355433494601046E-2</v>
      </c>
      <c r="J54" s="347">
        <f t="shared" si="16"/>
        <v>6.5125714541298563E-2</v>
      </c>
      <c r="K54" s="347">
        <f t="shared" si="16"/>
        <v>9.6855613535542187E-2</v>
      </c>
      <c r="L54" s="347">
        <f t="shared" si="16"/>
        <v>5.2857490902766473E-2</v>
      </c>
      <c r="M54" s="347">
        <f t="shared" si="16"/>
        <v>0.40703571588311599</v>
      </c>
      <c r="N54" s="347">
        <f t="shared" si="16"/>
        <v>0.25125661474266431</v>
      </c>
      <c r="O54" s="339"/>
    </row>
    <row r="55" spans="1:15" x14ac:dyDescent="0.2">
      <c r="A55" s="385"/>
      <c r="B55" s="341" t="str">
        <f t="shared" si="9"/>
        <v>Radiology Waiting</v>
      </c>
      <c r="C55" s="347">
        <f t="shared" ref="C55:N55" si="17">$E14/(C41^2)</f>
        <v>7.7336760292987958E-2</v>
      </c>
      <c r="D55" s="347">
        <f t="shared" si="17"/>
        <v>0.12470528240743838</v>
      </c>
      <c r="E55" s="347">
        <f t="shared" si="17"/>
        <v>0.36154511751287288</v>
      </c>
      <c r="F55" s="347">
        <f t="shared" si="17"/>
        <v>0.30934704117195183</v>
      </c>
      <c r="G55" s="347">
        <f t="shared" si="17"/>
        <v>0.85929733658875518</v>
      </c>
      <c r="H55" s="347">
        <f t="shared" si="17"/>
        <v>0.73218234596911691</v>
      </c>
      <c r="I55" s="347">
        <f t="shared" si="17"/>
        <v>3.4371893463550207</v>
      </c>
      <c r="J55" s="347">
        <f t="shared" si="17"/>
        <v>1.0226348468494277</v>
      </c>
      <c r="K55" s="347">
        <f t="shared" si="17"/>
        <v>0.45450437637752344</v>
      </c>
      <c r="L55" s="347">
        <f t="shared" si="17"/>
        <v>1.2373881646878073</v>
      </c>
      <c r="M55" s="347">
        <f t="shared" si="17"/>
        <v>1.2373881646878073</v>
      </c>
      <c r="N55" s="347">
        <f t="shared" si="17"/>
        <v>0.76381985474556047</v>
      </c>
      <c r="O55" s="339"/>
    </row>
    <row r="57" spans="1:15" x14ac:dyDescent="0.2">
      <c r="A57" s="333" t="s">
        <v>384</v>
      </c>
    </row>
    <row r="58" spans="1:15" x14ac:dyDescent="0.2">
      <c r="B58" s="385" t="s">
        <v>389</v>
      </c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</row>
    <row r="59" spans="1:15" x14ac:dyDescent="0.2">
      <c r="A59" s="341" t="s">
        <v>365</v>
      </c>
      <c r="B59" s="342" t="str">
        <f t="shared" ref="B59:M59" si="18">C33</f>
        <v>Tech area</v>
      </c>
      <c r="C59" s="342" t="str">
        <f t="shared" si="18"/>
        <v>CT Tech area</v>
      </c>
      <c r="D59" s="342" t="str">
        <f t="shared" si="18"/>
        <v>US 1</v>
      </c>
      <c r="E59" s="342" t="str">
        <f t="shared" si="18"/>
        <v>US 2</v>
      </c>
      <c r="F59" s="342" t="str">
        <f t="shared" si="18"/>
        <v>Office 2221</v>
      </c>
      <c r="G59" s="342" t="str">
        <f t="shared" si="18"/>
        <v>Office 2302</v>
      </c>
      <c r="H59" s="342" t="str">
        <f t="shared" si="18"/>
        <v>Consult A</v>
      </c>
      <c r="I59" s="342" t="str">
        <f t="shared" si="18"/>
        <v>Consult B</v>
      </c>
      <c r="J59" s="342" t="str">
        <f t="shared" si="18"/>
        <v>Lactation</v>
      </c>
      <c r="K59" s="342" t="str">
        <f t="shared" si="18"/>
        <v>Reading Room</v>
      </c>
      <c r="L59" s="342" t="str">
        <f t="shared" si="18"/>
        <v>Floor</v>
      </c>
      <c r="M59" s="342" t="str">
        <f t="shared" si="18"/>
        <v>Ceiling</v>
      </c>
    </row>
    <row r="60" spans="1:15" x14ac:dyDescent="0.2">
      <c r="A60" s="341" t="s">
        <v>385</v>
      </c>
      <c r="B60" s="347">
        <f t="shared" ref="B60:M60" si="19">C47</f>
        <v>0.9903830236204284</v>
      </c>
      <c r="C60" s="347">
        <f t="shared" si="19"/>
        <v>1.2069456032276571</v>
      </c>
      <c r="D60" s="347">
        <f t="shared" si="19"/>
        <v>13.621340154463082</v>
      </c>
      <c r="E60" s="347">
        <f t="shared" si="19"/>
        <v>1.371468842771582</v>
      </c>
      <c r="F60" s="347">
        <f t="shared" si="19"/>
        <v>4.6426544264576028</v>
      </c>
      <c r="G60" s="347">
        <f t="shared" si="19"/>
        <v>2.1837049529420849</v>
      </c>
      <c r="H60" s="347">
        <f t="shared" si="19"/>
        <v>4.33463407109216</v>
      </c>
      <c r="I60" s="347">
        <f t="shared" si="19"/>
        <v>2.1385807499842233</v>
      </c>
      <c r="J60" s="347">
        <f t="shared" si="19"/>
        <v>1.7071011492309554</v>
      </c>
      <c r="K60" s="347">
        <f t="shared" si="19"/>
        <v>8.5826167963290843</v>
      </c>
      <c r="L60" s="347">
        <f t="shared" si="19"/>
        <v>4.3504475179746827</v>
      </c>
      <c r="M60" s="347">
        <f t="shared" si="19"/>
        <v>2.6854614308485707</v>
      </c>
    </row>
    <row r="61" spans="1:15" x14ac:dyDescent="0.2">
      <c r="A61" s="341" t="s">
        <v>367</v>
      </c>
      <c r="B61" s="342">
        <f>F18</f>
        <v>0.02</v>
      </c>
      <c r="C61" s="342">
        <f>F19</f>
        <v>0.1</v>
      </c>
      <c r="D61" s="342">
        <f>F20</f>
        <v>0.04</v>
      </c>
      <c r="E61" s="342">
        <f>F21</f>
        <v>0.04</v>
      </c>
      <c r="F61" s="342">
        <f>F22</f>
        <v>0.04</v>
      </c>
      <c r="G61" s="342">
        <f>F23</f>
        <v>0.04</v>
      </c>
      <c r="H61" s="342">
        <f>F24</f>
        <v>0.19999999999999998</v>
      </c>
      <c r="I61" s="342">
        <f>F25</f>
        <v>0.19999999999999998</v>
      </c>
      <c r="J61" s="342">
        <f>F26</f>
        <v>0.19999999999999998</v>
      </c>
      <c r="K61" s="342">
        <f>F27</f>
        <v>0.1</v>
      </c>
      <c r="L61" s="342">
        <f>F28</f>
        <v>0.04</v>
      </c>
      <c r="M61" s="342">
        <f>F29</f>
        <v>0.04</v>
      </c>
    </row>
    <row r="62" spans="1:15" x14ac:dyDescent="0.2">
      <c r="A62" s="341" t="s">
        <v>386</v>
      </c>
      <c r="B62" s="347">
        <f>B61/B60</f>
        <v>2.0194207213779087E-2</v>
      </c>
      <c r="C62" s="347">
        <f t="shared" ref="C62:M62" si="20">C61/C60</f>
        <v>8.2853775458128706E-2</v>
      </c>
      <c r="D62" s="347">
        <f t="shared" si="20"/>
        <v>2.9365686155993875E-3</v>
      </c>
      <c r="E62" s="347">
        <f t="shared" si="20"/>
        <v>2.9165810226621385E-2</v>
      </c>
      <c r="F62" s="347">
        <f t="shared" si="20"/>
        <v>8.6157607966786467E-3</v>
      </c>
      <c r="G62" s="347">
        <f t="shared" si="20"/>
        <v>1.8317492913183339E-2</v>
      </c>
      <c r="H62" s="347">
        <f t="shared" si="20"/>
        <v>4.613999629952794E-2</v>
      </c>
      <c r="I62" s="347">
        <f t="shared" si="20"/>
        <v>9.3519966455077944E-2</v>
      </c>
      <c r="J62" s="347">
        <f t="shared" si="20"/>
        <v>0.11715767404298184</v>
      </c>
      <c r="K62" s="347">
        <f t="shared" si="20"/>
        <v>1.1651458101073734E-2</v>
      </c>
      <c r="L62" s="347">
        <f t="shared" si="20"/>
        <v>9.194456394366916E-3</v>
      </c>
      <c r="M62" s="347">
        <f t="shared" si="20"/>
        <v>1.4895019358874398E-2</v>
      </c>
    </row>
    <row r="63" spans="1:15" x14ac:dyDescent="0.2">
      <c r="A63" s="341" t="s">
        <v>387</v>
      </c>
      <c r="B63" s="347">
        <f>-LN(B62)/LN(2)</f>
        <v>5.6299146800892492</v>
      </c>
      <c r="C63" s="347">
        <f t="shared" ref="C63:M63" si="21">-LN(C62)/LN(2)</f>
        <v>3.5932887504979729</v>
      </c>
      <c r="D63" s="347">
        <f t="shared" si="21"/>
        <v>8.4116529365497357</v>
      </c>
      <c r="E63" s="347">
        <f t="shared" si="21"/>
        <v>5.0995780369776718</v>
      </c>
      <c r="F63" s="347">
        <f t="shared" si="21"/>
        <v>6.8588060884285262</v>
      </c>
      <c r="G63" s="347">
        <f t="shared" si="21"/>
        <v>5.7706341322585439</v>
      </c>
      <c r="H63" s="347">
        <f t="shared" si="21"/>
        <v>4.4378383014593537</v>
      </c>
      <c r="I63" s="347">
        <f t="shared" si="21"/>
        <v>3.4185817773891309</v>
      </c>
      <c r="J63" s="347">
        <f t="shared" si="21"/>
        <v>3.093476638414439</v>
      </c>
      <c r="K63" s="347">
        <f t="shared" si="21"/>
        <v>6.4233456800833784</v>
      </c>
      <c r="L63" s="347">
        <f t="shared" si="21"/>
        <v>6.7650200042428716</v>
      </c>
      <c r="M63" s="347">
        <f t="shared" si="21"/>
        <v>6.0690261911329726</v>
      </c>
    </row>
    <row r="64" spans="1:15" x14ac:dyDescent="0.2">
      <c r="A64" s="341" t="s">
        <v>388</v>
      </c>
      <c r="B64" s="344">
        <f t="shared" ref="B64:M64" si="22">B63*PBHVL</f>
        <v>1.5193086603894512</v>
      </c>
      <c r="C64" s="344">
        <f t="shared" si="22"/>
        <v>0.96969759368094288</v>
      </c>
      <c r="D64" s="344">
        <f t="shared" si="22"/>
        <v>2.2699983713585827</v>
      </c>
      <c r="E64" s="344">
        <f t="shared" si="22"/>
        <v>1.376190140733925</v>
      </c>
      <c r="F64" s="344">
        <f t="shared" si="22"/>
        <v>1.8509416362800299</v>
      </c>
      <c r="G64" s="344">
        <f t="shared" si="22"/>
        <v>1.5572837087720102</v>
      </c>
      <c r="H64" s="344">
        <f t="shared" si="22"/>
        <v>1.1976107184466822</v>
      </c>
      <c r="I64" s="344">
        <f t="shared" si="22"/>
        <v>0.92255055285394361</v>
      </c>
      <c r="J64" s="344">
        <f t="shared" si="22"/>
        <v>0.83481653178108151</v>
      </c>
      <c r="K64" s="344">
        <f t="shared" si="22"/>
        <v>1.7334267524407918</v>
      </c>
      <c r="L64" s="344">
        <f t="shared" si="22"/>
        <v>1.8256321923498742</v>
      </c>
      <c r="M64" s="344">
        <f t="shared" si="22"/>
        <v>1.6378088436985971</v>
      </c>
    </row>
    <row r="66" spans="1:15" x14ac:dyDescent="0.2">
      <c r="A66" s="331" t="s">
        <v>391</v>
      </c>
    </row>
    <row r="67" spans="1:15" x14ac:dyDescent="0.2">
      <c r="C67" s="385" t="s">
        <v>389</v>
      </c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</row>
    <row r="68" spans="1:15" x14ac:dyDescent="0.2">
      <c r="C68" s="342" t="str">
        <f t="shared" ref="C68:N68" si="23">C33</f>
        <v>Tech area</v>
      </c>
      <c r="D68" s="342" t="str">
        <f t="shared" si="23"/>
        <v>CT Tech area</v>
      </c>
      <c r="E68" s="342" t="str">
        <f t="shared" si="23"/>
        <v>US 1</v>
      </c>
      <c r="F68" s="342" t="str">
        <f t="shared" si="23"/>
        <v>US 2</v>
      </c>
      <c r="G68" s="342" t="str">
        <f t="shared" si="23"/>
        <v>Office 2221</v>
      </c>
      <c r="H68" s="342" t="str">
        <f t="shared" si="23"/>
        <v>Office 2302</v>
      </c>
      <c r="I68" s="342" t="str">
        <f t="shared" si="23"/>
        <v>Consult A</v>
      </c>
      <c r="J68" s="342" t="str">
        <f t="shared" si="23"/>
        <v>Consult B</v>
      </c>
      <c r="K68" s="342" t="str">
        <f t="shared" si="23"/>
        <v>Lactation</v>
      </c>
      <c r="L68" s="342" t="str">
        <f t="shared" si="23"/>
        <v>Reading Room</v>
      </c>
      <c r="M68" s="342" t="str">
        <f t="shared" si="23"/>
        <v>Floor</v>
      </c>
      <c r="N68" s="342" t="str">
        <f t="shared" si="23"/>
        <v>Ceiling</v>
      </c>
    </row>
    <row r="69" spans="1:15" x14ac:dyDescent="0.2">
      <c r="A69" s="386" t="s">
        <v>390</v>
      </c>
      <c r="B69" s="341" t="str">
        <f t="shared" ref="B69:B76" si="24">A7</f>
        <v>Hot lab</v>
      </c>
      <c r="C69" s="344">
        <f t="shared" ref="C69:N69" si="25">-LN((B$61/C48))/LN(2)*PBHVL</f>
        <v>0.2111682842584843</v>
      </c>
      <c r="D69" s="344">
        <f t="shared" si="25"/>
        <v>-0.25375464104747575</v>
      </c>
      <c r="E69" s="344">
        <f t="shared" si="25"/>
        <v>0.33367634585173811</v>
      </c>
      <c r="F69" s="344">
        <f t="shared" si="25"/>
        <v>9.0571666920018813E-3</v>
      </c>
      <c r="G69" s="344">
        <f t="shared" si="25"/>
        <v>0.4810318162517197</v>
      </c>
      <c r="H69" s="344">
        <f t="shared" si="25"/>
        <v>0.20981878280570193</v>
      </c>
      <c r="I69" s="344">
        <f t="shared" si="25"/>
        <v>-0.11243236477016001</v>
      </c>
      <c r="J69" s="344">
        <f t="shared" si="25"/>
        <v>-3.6051128808088388E-3</v>
      </c>
      <c r="K69" s="344">
        <f t="shared" si="25"/>
        <v>-7.781948604215512E-2</v>
      </c>
      <c r="L69" s="344">
        <f t="shared" si="25"/>
        <v>0.88802566644085579</v>
      </c>
      <c r="M69" s="344">
        <f t="shared" si="25"/>
        <v>0.62299860383981909</v>
      </c>
      <c r="N69" s="344">
        <f t="shared" si="25"/>
        <v>0.43517525518854178</v>
      </c>
      <c r="O69" s="338"/>
    </row>
    <row r="70" spans="1:15" x14ac:dyDescent="0.2">
      <c r="A70" s="387"/>
      <c r="B70" s="341" t="str">
        <f t="shared" si="24"/>
        <v>NM Hold 1</v>
      </c>
      <c r="C70" s="344">
        <f t="shared" ref="C70:N70" si="26">-LN((B$61/C49))/LN(2)*PBHVL</f>
        <v>0.64271260766638783</v>
      </c>
      <c r="D70" s="344">
        <f t="shared" si="26"/>
        <v>-0.20789807998429763</v>
      </c>
      <c r="E70" s="344">
        <f t="shared" si="26"/>
        <v>7.055451448891846E-2</v>
      </c>
      <c r="F70" s="344">
        <f t="shared" si="26"/>
        <v>-0.12588633674457109</v>
      </c>
      <c r="G70" s="344">
        <f t="shared" si="26"/>
        <v>9.1137075637720985E-2</v>
      </c>
      <c r="H70" s="344">
        <f t="shared" si="26"/>
        <v>-2.4911200725219192E-2</v>
      </c>
      <c r="I70" s="344">
        <f t="shared" si="26"/>
        <v>-0.38229589676339548</v>
      </c>
      <c r="J70" s="344">
        <f t="shared" si="26"/>
        <v>-0.23352852831810289</v>
      </c>
      <c r="K70" s="344">
        <f t="shared" si="26"/>
        <v>4.2604229035640177E-3</v>
      </c>
      <c r="L70" s="344">
        <f t="shared" si="26"/>
        <v>-3.6051128808089242E-3</v>
      </c>
      <c r="M70" s="344">
        <f t="shared" si="26"/>
        <v>0.89286213583305474</v>
      </c>
      <c r="N70" s="344">
        <f t="shared" si="26"/>
        <v>0.70503878718177726</v>
      </c>
      <c r="O70" s="338"/>
    </row>
    <row r="71" spans="1:15" x14ac:dyDescent="0.2">
      <c r="A71" s="387"/>
      <c r="B71" s="341" t="str">
        <f t="shared" si="24"/>
        <v>NM Hold 2</v>
      </c>
      <c r="C71" s="344">
        <f t="shared" ref="C71:N71" si="27">-LN((B$61/C50))/LN(2)*PBHVL</f>
        <v>0.56668528477185676</v>
      </c>
      <c r="D71" s="344">
        <f t="shared" si="27"/>
        <v>-3.6051128808089242E-3</v>
      </c>
      <c r="E71" s="344">
        <f t="shared" si="27"/>
        <v>0.43517525518854172</v>
      </c>
      <c r="F71" s="344">
        <f t="shared" si="27"/>
        <v>0.14884210474309492</v>
      </c>
      <c r="G71" s="344">
        <f t="shared" si="27"/>
        <v>0.52688837731489779</v>
      </c>
      <c r="H71" s="344">
        <f t="shared" si="27"/>
        <v>0.29682175277862122</v>
      </c>
      <c r="I71" s="344">
        <f t="shared" si="27"/>
        <v>4.2604229035640177E-3</v>
      </c>
      <c r="J71" s="344">
        <f t="shared" si="27"/>
        <v>0.19204404595108038</v>
      </c>
      <c r="K71" s="344">
        <f t="shared" si="27"/>
        <v>0.26625841911242665</v>
      </c>
      <c r="L71" s="344">
        <f t="shared" si="27"/>
        <v>0.66266919405801594</v>
      </c>
      <c r="M71" s="344">
        <f t="shared" si="27"/>
        <v>0.89286213583305474</v>
      </c>
      <c r="N71" s="344">
        <f t="shared" si="27"/>
        <v>0.70503878718177726</v>
      </c>
      <c r="O71" s="338"/>
    </row>
    <row r="72" spans="1:15" x14ac:dyDescent="0.2">
      <c r="A72" s="387"/>
      <c r="B72" s="341" t="str">
        <f t="shared" si="24"/>
        <v>NM Camera 1</v>
      </c>
      <c r="C72" s="344">
        <f t="shared" ref="C72:N72" si="28">-LN((B$61/C51))/LN(2)*PBHVL</f>
        <v>1.0480958619497696</v>
      </c>
      <c r="D72" s="344">
        <f t="shared" si="28"/>
        <v>-0.10250384718858385</v>
      </c>
      <c r="E72" s="344">
        <f t="shared" si="28"/>
        <v>5.8547453103158328E-2</v>
      </c>
      <c r="F72" s="344">
        <f t="shared" si="28"/>
        <v>-0.12746849254809384</v>
      </c>
      <c r="G72" s="344">
        <f t="shared" si="28"/>
        <v>3.4212298866574294E-2</v>
      </c>
      <c r="H72" s="344">
        <f t="shared" si="28"/>
        <v>-8.7528375992152352E-2</v>
      </c>
      <c r="I72" s="344">
        <f t="shared" si="28"/>
        <v>-0.55559741288576814</v>
      </c>
      <c r="J72" s="344">
        <f t="shared" si="28"/>
        <v>-0.4623128239119112</v>
      </c>
      <c r="K72" s="344">
        <f t="shared" si="28"/>
        <v>-0.32317239717160196</v>
      </c>
      <c r="L72" s="344">
        <f t="shared" si="28"/>
        <v>-0.11823491875732949</v>
      </c>
      <c r="M72" s="344">
        <f t="shared" si="28"/>
        <v>0.95198563542484815</v>
      </c>
      <c r="N72" s="344">
        <f t="shared" si="28"/>
        <v>0.76416228677357079</v>
      </c>
      <c r="O72" s="338"/>
    </row>
    <row r="73" spans="1:15" x14ac:dyDescent="0.2">
      <c r="A73" s="387"/>
      <c r="B73" s="341" t="str">
        <f t="shared" si="24"/>
        <v>NM Camera 2</v>
      </c>
      <c r="C73" s="344">
        <f t="shared" ref="C73:N73" si="29">-LN((B$61/C52))/LN(2)*PBHVL</f>
        <v>0.84380289484628079</v>
      </c>
      <c r="D73" s="344">
        <f t="shared" si="29"/>
        <v>0.4864181988081045</v>
      </c>
      <c r="E73" s="344">
        <f t="shared" si="29"/>
        <v>0.68998763921598549</v>
      </c>
      <c r="F73" s="344">
        <f t="shared" si="29"/>
        <v>0.32054544931202117</v>
      </c>
      <c r="G73" s="344">
        <f t="shared" si="29"/>
        <v>0.61073336782133081</v>
      </c>
      <c r="H73" s="344">
        <f t="shared" si="29"/>
        <v>0.37426754615957197</v>
      </c>
      <c r="I73" s="344">
        <f t="shared" si="29"/>
        <v>-0.19463114145568225</v>
      </c>
      <c r="J73" s="344">
        <f t="shared" si="29"/>
        <v>-0.15363948988693457</v>
      </c>
      <c r="K73" s="344">
        <f t="shared" si="29"/>
        <v>-0.15363948988693457</v>
      </c>
      <c r="L73" s="344">
        <f t="shared" si="29"/>
        <v>0.72179269364980936</v>
      </c>
      <c r="M73" s="344">
        <f t="shared" si="29"/>
        <v>0.95198563542484815</v>
      </c>
      <c r="N73" s="344">
        <f t="shared" si="29"/>
        <v>0.76416228677357079</v>
      </c>
      <c r="O73" s="338"/>
    </row>
    <row r="74" spans="1:15" x14ac:dyDescent="0.2">
      <c r="A74" s="387"/>
      <c r="B74" s="341" t="str">
        <f t="shared" si="24"/>
        <v>Stress Lab</v>
      </c>
      <c r="C74" s="344">
        <f t="shared" ref="C74:N74" si="30">-LN((B$61/C53))/LN(2)*PBHVL</f>
        <v>0.70368928572899481</v>
      </c>
      <c r="D74" s="344">
        <f t="shared" si="30"/>
        <v>0.54398748689003495</v>
      </c>
      <c r="E74" s="344">
        <f t="shared" si="30"/>
        <v>2.2421797957992324</v>
      </c>
      <c r="F74" s="344">
        <f t="shared" si="30"/>
        <v>1.1627256678262901</v>
      </c>
      <c r="G74" s="344">
        <f t="shared" si="30"/>
        <v>1.7024527318127611</v>
      </c>
      <c r="H74" s="344">
        <f t="shared" si="30"/>
        <v>1.2892729107786438</v>
      </c>
      <c r="I74" s="344">
        <f t="shared" si="30"/>
        <v>0.10037064942848542</v>
      </c>
      <c r="J74" s="344">
        <f t="shared" si="30"/>
        <v>3.63350036751326E-2</v>
      </c>
      <c r="K74" s="344">
        <f t="shared" si="30"/>
        <v>-5.9918431948771236E-2</v>
      </c>
      <c r="L74" s="344">
        <f t="shared" si="30"/>
        <v>1.5194658525536828</v>
      </c>
      <c r="M74" s="344">
        <f t="shared" si="30"/>
        <v>1.1627256678262901</v>
      </c>
      <c r="N74" s="344">
        <f t="shared" si="30"/>
        <v>0.9749023191750128</v>
      </c>
      <c r="O74" s="338"/>
    </row>
    <row r="75" spans="1:15" x14ac:dyDescent="0.2">
      <c r="A75" s="387"/>
      <c r="B75" s="341" t="str">
        <f t="shared" si="24"/>
        <v>Hot Toilet</v>
      </c>
      <c r="C75" s="344">
        <f t="shared" ref="C75:N75" si="31">-LN((B$61/C54))/LN(2)*PBHVL</f>
        <v>0.61416505123607945</v>
      </c>
      <c r="D75" s="344">
        <f t="shared" si="31"/>
        <v>-0.33446374488138481</v>
      </c>
      <c r="E75" s="344">
        <f t="shared" si="31"/>
        <v>-9.415817319498769E-2</v>
      </c>
      <c r="F75" s="344">
        <f t="shared" si="31"/>
        <v>-0.25041272969829204</v>
      </c>
      <c r="G75" s="344">
        <f t="shared" si="31"/>
        <v>-6.1018637496239404E-2</v>
      </c>
      <c r="H75" s="344">
        <f t="shared" si="31"/>
        <v>-0.16640374237787289</v>
      </c>
      <c r="I75" s="344">
        <f t="shared" si="31"/>
        <v>-0.60432727687462018</v>
      </c>
      <c r="J75" s="344">
        <f t="shared" si="31"/>
        <v>-0.43682831473941691</v>
      </c>
      <c r="K75" s="344">
        <f t="shared" si="31"/>
        <v>-0.28230219747778407</v>
      </c>
      <c r="L75" s="344">
        <f t="shared" si="31"/>
        <v>-0.24822591493896465</v>
      </c>
      <c r="M75" s="344">
        <f t="shared" si="31"/>
        <v>0.90325577143599622</v>
      </c>
      <c r="N75" s="344">
        <f t="shared" si="31"/>
        <v>0.71543242278471875</v>
      </c>
      <c r="O75" s="338"/>
    </row>
    <row r="76" spans="1:15" x14ac:dyDescent="0.2">
      <c r="A76" s="388"/>
      <c r="B76" s="341" t="str">
        <f t="shared" si="24"/>
        <v>Radiology Waiting</v>
      </c>
      <c r="C76" s="344">
        <f t="shared" ref="C76:N76" si="32">-LN((B$61/C55))/LN(2)*PBHVL</f>
        <v>0.52654539892616026</v>
      </c>
      <c r="D76" s="344">
        <f t="shared" si="32"/>
        <v>8.5957627856784416E-2</v>
      </c>
      <c r="E76" s="344">
        <f t="shared" si="32"/>
        <v>0.85711458631471205</v>
      </c>
      <c r="F76" s="344">
        <f t="shared" si="32"/>
        <v>0.7964089309193958</v>
      </c>
      <c r="G76" s="344">
        <f t="shared" si="32"/>
        <v>1.1941692073177674</v>
      </c>
      <c r="H76" s="344">
        <f t="shared" si="32"/>
        <v>1.1318430278023779</v>
      </c>
      <c r="I76" s="344">
        <f t="shared" si="32"/>
        <v>1.1072925545836103</v>
      </c>
      <c r="J76" s="344">
        <f t="shared" si="32"/>
        <v>0.63531790502389252</v>
      </c>
      <c r="K76" s="344">
        <f t="shared" si="32"/>
        <v>0.31959781196747894</v>
      </c>
      <c r="L76" s="344">
        <f t="shared" si="32"/>
        <v>0.97939581017847421</v>
      </c>
      <c r="M76" s="344">
        <f t="shared" si="32"/>
        <v>1.3361359949058669</v>
      </c>
      <c r="N76" s="344">
        <f t="shared" si="32"/>
        <v>1.1483126462545894</v>
      </c>
      <c r="O76" s="338"/>
    </row>
  </sheetData>
  <customSheetViews>
    <customSheetView guid="{488A6099-7FEF-4C88-B110-024D46F0253F}" fitToPage="1">
      <selection activeCell="B7" sqref="B7"/>
      <pageMargins left="0.7" right="0.7" top="0.75" bottom="0.75" header="0.3" footer="0.3"/>
      <pageSetup scale="53" orientation="portrait" horizontalDpi="1200" verticalDpi="1200" r:id="rId1"/>
    </customSheetView>
  </customSheetViews>
  <mergeCells count="7">
    <mergeCell ref="C67:N67"/>
    <mergeCell ref="B58:M58"/>
    <mergeCell ref="A69:A76"/>
    <mergeCell ref="C32:N32"/>
    <mergeCell ref="A34:A41"/>
    <mergeCell ref="A48:A55"/>
    <mergeCell ref="C45:N45"/>
  </mergeCells>
  <conditionalFormatting sqref="C48:C55">
    <cfRule type="colorScale" priority="12">
      <colorScale>
        <cfvo type="min"/>
        <cfvo type="max"/>
        <color theme="0"/>
        <color rgb="FFFF0000"/>
      </colorScale>
    </cfRule>
  </conditionalFormatting>
  <conditionalFormatting sqref="D48:D55">
    <cfRule type="colorScale" priority="11">
      <colorScale>
        <cfvo type="min"/>
        <cfvo type="max"/>
        <color theme="0"/>
        <color rgb="FFFF0000"/>
      </colorScale>
    </cfRule>
  </conditionalFormatting>
  <conditionalFormatting sqref="E48:E55">
    <cfRule type="colorScale" priority="10">
      <colorScale>
        <cfvo type="min"/>
        <cfvo type="max"/>
        <color theme="0"/>
        <color rgb="FFFF0000"/>
      </colorScale>
    </cfRule>
  </conditionalFormatting>
  <conditionalFormatting sqref="F48:F55">
    <cfRule type="colorScale" priority="9">
      <colorScale>
        <cfvo type="min"/>
        <cfvo type="max"/>
        <color theme="0"/>
        <color rgb="FFFF0000"/>
      </colorScale>
    </cfRule>
  </conditionalFormatting>
  <conditionalFormatting sqref="G48:G55">
    <cfRule type="colorScale" priority="8">
      <colorScale>
        <cfvo type="min"/>
        <cfvo type="max"/>
        <color theme="0"/>
        <color rgb="FFFF0000"/>
      </colorScale>
    </cfRule>
  </conditionalFormatting>
  <conditionalFormatting sqref="H48:H55">
    <cfRule type="colorScale" priority="7">
      <colorScale>
        <cfvo type="min"/>
        <cfvo type="max"/>
        <color theme="0"/>
        <color rgb="FFFF0000"/>
      </colorScale>
    </cfRule>
  </conditionalFormatting>
  <conditionalFormatting sqref="I48:I55">
    <cfRule type="colorScale" priority="6">
      <colorScale>
        <cfvo type="min"/>
        <cfvo type="max"/>
        <color theme="0"/>
        <color rgb="FFFF0000"/>
      </colorScale>
    </cfRule>
  </conditionalFormatting>
  <conditionalFormatting sqref="J48:J55">
    <cfRule type="colorScale" priority="5">
      <colorScale>
        <cfvo type="min"/>
        <cfvo type="max"/>
        <color theme="0"/>
        <color rgb="FFFF0000"/>
      </colorScale>
    </cfRule>
  </conditionalFormatting>
  <conditionalFormatting sqref="K48:K55">
    <cfRule type="colorScale" priority="4">
      <colorScale>
        <cfvo type="min"/>
        <cfvo type="max"/>
        <color theme="0"/>
        <color rgb="FFFF0000"/>
      </colorScale>
    </cfRule>
  </conditionalFormatting>
  <conditionalFormatting sqref="L48:L55">
    <cfRule type="colorScale" priority="3">
      <colorScale>
        <cfvo type="min"/>
        <cfvo type="max"/>
        <color theme="0"/>
        <color rgb="FFFF0000"/>
      </colorScale>
    </cfRule>
  </conditionalFormatting>
  <conditionalFormatting sqref="C69:N76">
    <cfRule type="cellIs" dxfId="0" priority="2" operator="lessThan">
      <formula>0</formula>
    </cfRule>
  </conditionalFormatting>
  <conditionalFormatting sqref="M48:N55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scale="53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89" t="s">
        <v>170</v>
      </c>
      <c r="R18" s="389"/>
      <c r="S18" s="389"/>
      <c r="T18" s="389"/>
      <c r="U18" s="389"/>
      <c r="V18" s="390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91" t="s">
        <v>169</v>
      </c>
      <c r="R19" s="391"/>
      <c r="S19" s="391"/>
      <c r="T19" s="392" t="s">
        <v>95</v>
      </c>
      <c r="U19" s="392"/>
      <c r="V19" s="393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89" t="s">
        <v>170</v>
      </c>
      <c r="R24" s="389"/>
      <c r="S24" s="389"/>
      <c r="T24" s="389"/>
      <c r="U24" s="389"/>
      <c r="V24" s="390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94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94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</sheetData>
  <customSheetViews>
    <customSheetView guid="{488A6099-7FEF-4C88-B110-024D46F0253F}" fitToPage="1">
      <pageMargins left="0.75" right="0.75" top="1" bottom="1" header="0.5" footer="0.5"/>
      <pageSetup scale="96" fitToHeight="3" orientation="portrait" r:id="rId1"/>
      <headerFooter alignWithMargins="0"/>
    </customSheetView>
  </customSheetViews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2"/>
  <headerFooter alignWithMargin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95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95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96"/>
      <c r="G20" s="167" t="s">
        <v>122</v>
      </c>
      <c r="H20" s="167" t="s">
        <v>118</v>
      </c>
      <c r="L20" s="397" t="s">
        <v>123</v>
      </c>
      <c r="M20" s="397"/>
      <c r="N20" s="397"/>
      <c r="O20" s="397"/>
      <c r="P20" s="397"/>
      <c r="Q20" s="397"/>
      <c r="R20" s="397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customSheetViews>
    <customSheetView guid="{488A6099-7FEF-4C88-B110-024D46F0253F}">
      <pageMargins left="0.75" right="0.75" top="1" bottom="1" header="0.5" footer="0.5"/>
      <pageSetup scale="97" orientation="portrait" horizontalDpi="300" verticalDpi="300" r:id="rId1"/>
      <headerFooter alignWithMargins="0">
        <oddFooter>&amp;R&amp;P</oddFooter>
      </headerFooter>
    </customSheetView>
  </customSheetViews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2"/>
  <headerFooter alignWithMargins="0">
    <oddFooter>&amp;R&amp;P</oddFooter>
  </headerFooter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customSheetViews>
    <customSheetView guid="{488A6099-7FEF-4C88-B110-024D46F0253F}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customSheetViews>
    <customSheetView guid="{488A6099-7FEF-4C88-B110-024D46F0253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98" t="s">
        <v>215</v>
      </c>
      <c r="C3" s="398"/>
      <c r="D3" s="398"/>
      <c r="E3" s="398" t="s">
        <v>216</v>
      </c>
      <c r="F3" s="398"/>
      <c r="G3" s="398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98">
        <v>110</v>
      </c>
      <c r="C30" s="398"/>
      <c r="D30" s="39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customSheetViews>
    <customSheetView guid="{488A6099-7FEF-4C88-B110-024D46F0253F}">
      <pageMargins left="0.7" right="0.7" top="0.75" bottom="0.75" header="0.3" footer="0.3"/>
    </customSheetView>
  </customSheetViews>
  <mergeCells count="3">
    <mergeCell ref="B3:D3"/>
    <mergeCell ref="E3:G3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41</vt:i4>
      </vt:variant>
    </vt:vector>
  </HeadingPairs>
  <TitlesOfParts>
    <vt:vector size="59" baseType="lpstr">
      <vt:lpstr>Table</vt:lpstr>
      <vt:lpstr>RadFluoro</vt:lpstr>
      <vt:lpstr>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Fluoro!Nfl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Fluoro!Print_Area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2020-06-03T13:46:11Z</dcterms:modified>
</cp:coreProperties>
</file>