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M476" i="1"/>
  <c r="D476" i="1"/>
  <c r="M475" i="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F88" i="10"/>
  <c r="F87" i="10"/>
  <c r="F86" i="10"/>
  <c r="F85" i="10"/>
  <c r="C90" i="10"/>
  <c r="C88" i="10"/>
  <c r="C86" i="10"/>
  <c r="C85" i="10"/>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I35" i="11" l="1"/>
  <c r="H35" i="11"/>
  <c r="G35" i="11"/>
  <c r="I34" i="11"/>
  <c r="H34" i="11"/>
  <c r="G34" i="11"/>
  <c r="K5" i="11" l="1"/>
  <c r="E4" i="6" l="1"/>
  <c r="E5" i="6"/>
  <c r="E6" i="6"/>
  <c r="E37" i="6"/>
  <c r="U416" i="1"/>
  <c r="T416" i="1"/>
  <c r="S416" i="1"/>
  <c r="R416" i="1"/>
  <c r="Q416" i="1"/>
  <c r="Q403" i="1"/>
  <c r="R403" i="1"/>
  <c r="X403" i="1"/>
  <c r="W403" i="1"/>
  <c r="V403" i="1"/>
  <c r="U403" i="1"/>
  <c r="T403" i="1"/>
  <c r="S403" i="1"/>
  <c r="H251" i="1"/>
  <c r="H252" i="1"/>
  <c r="H253" i="1"/>
  <c r="H254" i="1"/>
  <c r="H255" i="1"/>
  <c r="T227" i="1"/>
  <c r="T228" i="1"/>
  <c r="B40" i="6"/>
  <c r="B4" i="6"/>
  <c r="B5" i="6"/>
  <c r="B6" i="6"/>
  <c r="I15" i="6"/>
  <c r="I14" i="6"/>
  <c r="I13" i="6"/>
  <c r="I12" i="6"/>
  <c r="F15" i="6"/>
  <c r="I11" i="6"/>
  <c r="B12" i="6"/>
  <c r="B13" i="6"/>
  <c r="B14" i="6"/>
  <c r="B11" i="6"/>
  <c r="F90" i="10" l="1"/>
  <c r="F89" i="10"/>
  <c r="C91" i="10"/>
  <c r="C89" i="10"/>
  <c r="C87"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X280" i="1" l="1"/>
  <c r="X315" i="1"/>
  <c r="F94" i="10"/>
  <c r="C94" i="10"/>
  <c r="F92" i="10"/>
  <c r="F93" i="10"/>
  <c r="C93" i="10"/>
  <c r="U257" i="1" l="1"/>
  <c r="U256" i="1"/>
  <c r="U255" i="1"/>
  <c r="U254" i="1"/>
  <c r="U253" i="1"/>
  <c r="U252" i="1"/>
  <c r="U251" i="1"/>
  <c r="U243" i="1"/>
  <c r="U242" i="1"/>
  <c r="U241" i="1"/>
  <c r="U240" i="1"/>
  <c r="U239" i="1"/>
  <c r="U238" i="1"/>
  <c r="U237" i="1"/>
  <c r="U236" i="1"/>
  <c r="G102" i="10"/>
  <c r="X317"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412"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412" i="1" s="1"/>
  <c r="I25" i="7"/>
  <c r="X399" i="1" s="1"/>
  <c r="K392" i="1" s="1"/>
  <c r="A25" i="7"/>
  <c r="T399"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412" i="1" s="1"/>
  <c r="F400" i="1" s="1"/>
  <c r="I17" i="7"/>
  <c r="W399" i="1" s="1"/>
  <c r="C29" i="6" s="1"/>
  <c r="A17" i="7"/>
  <c r="S399"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412" i="1" s="1"/>
  <c r="R418" i="1" s="1"/>
  <c r="E403" i="1" s="1"/>
  <c r="I9" i="7"/>
  <c r="V399" i="1" s="1"/>
  <c r="A9" i="7"/>
  <c r="R399"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412" i="1" s="1"/>
  <c r="C31" i="6" s="1"/>
  <c r="I1" i="7"/>
  <c r="U399" i="1" s="1"/>
  <c r="H392" i="1" s="1"/>
  <c r="A1" i="7"/>
  <c r="Q399"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C354" i="1" s="1"/>
  <c r="V345" i="1"/>
  <c r="U345" i="1"/>
  <c r="D353" i="1"/>
  <c r="S345" i="1"/>
  <c r="R345" i="1"/>
  <c r="C353" i="1" s="1"/>
  <c r="D352" i="1"/>
  <c r="S344" i="1"/>
  <c r="R344" i="1"/>
  <c r="C352" i="1" s="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G41" i="1"/>
  <c r="D41" i="1"/>
  <c r="L40"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M204" i="1" s="1"/>
  <c r="V12" i="1"/>
  <c r="K12" i="1" s="1"/>
  <c r="R12" i="1"/>
  <c r="AD12" i="1" s="1"/>
  <c r="AC12" i="1" s="1"/>
  <c r="V11" i="1"/>
  <c r="K11" i="1" s="1"/>
  <c r="R11" i="1"/>
  <c r="F11" i="1" s="1"/>
  <c r="V10" i="1"/>
  <c r="K10" i="1" s="1"/>
  <c r="R10" i="1"/>
  <c r="AD10" i="1" s="1"/>
  <c r="AC10" i="1" s="1"/>
  <c r="P8" i="1"/>
  <c r="X7" i="1"/>
  <c r="AK88" i="1" l="1"/>
  <c r="AK40" i="1"/>
  <c r="AL53" i="1"/>
  <c r="AL40" i="1"/>
  <c r="R333"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C19" i="7"/>
  <c r="C27" i="7"/>
  <c r="D28" i="7" s="1"/>
  <c r="D32" i="7" s="1"/>
  <c r="E32" i="7" s="1"/>
  <c r="L4" i="7"/>
  <c r="D4" i="7"/>
  <c r="K3" i="7"/>
  <c r="F12" i="1"/>
  <c r="F25" i="1"/>
  <c r="F39" i="1"/>
  <c r="E38" i="1"/>
  <c r="J39" i="1"/>
  <c r="T285" i="1"/>
  <c r="T286" i="1" s="1"/>
  <c r="H285" i="1" s="1"/>
  <c r="E213" i="1"/>
  <c r="L38" i="1"/>
  <c r="I39" i="1"/>
  <c r="F40" i="1"/>
  <c r="D38" i="1"/>
  <c r="J40" i="1"/>
  <c r="AL91" i="1"/>
  <c r="Q359" i="1" s="1"/>
  <c r="AL72" i="1"/>
  <c r="AL68" i="1"/>
  <c r="AL108" i="1"/>
  <c r="Q366" i="1" s="1"/>
  <c r="AL116" i="1"/>
  <c r="Q367" i="1" s="1"/>
  <c r="AL127" i="1"/>
  <c r="AL104" i="1"/>
  <c r="AL131" i="1"/>
  <c r="AL70" i="1"/>
  <c r="AL102" i="1"/>
  <c r="AL110" i="1"/>
  <c r="AL129" i="1"/>
  <c r="AL112" i="1"/>
  <c r="AL74" i="1"/>
  <c r="Q356" i="1" s="1"/>
  <c r="AL106" i="1"/>
  <c r="AL114" i="1"/>
  <c r="AL125" i="1"/>
  <c r="AD74" i="1"/>
  <c r="K38" i="1"/>
  <c r="AL16" i="1"/>
  <c r="AL24" i="1"/>
  <c r="AL32" i="1"/>
  <c r="AL41" i="1"/>
  <c r="Q347" i="1" s="1"/>
  <c r="AL49" i="1"/>
  <c r="AL57" i="1"/>
  <c r="AK63" i="1"/>
  <c r="AK76" i="1"/>
  <c r="AK84" i="1"/>
  <c r="AD54" i="1"/>
  <c r="E40" i="1"/>
  <c r="AD37" i="1"/>
  <c r="AC37" i="1" s="1"/>
  <c r="K28" i="1"/>
  <c r="AL10" i="1"/>
  <c r="Q343" i="1" s="1"/>
  <c r="AL18" i="1"/>
  <c r="Q344" i="1" s="1"/>
  <c r="AL26" i="1"/>
  <c r="Q345"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64" i="1" s="1"/>
  <c r="AK73" i="1"/>
  <c r="AK71" i="1"/>
  <c r="AK69" i="1"/>
  <c r="AK67" i="1"/>
  <c r="AK58" i="1"/>
  <c r="P354" i="1" s="1"/>
  <c r="AK56" i="1"/>
  <c r="AK54" i="1"/>
  <c r="AK52" i="1"/>
  <c r="AK50" i="1"/>
  <c r="P349" i="1" s="1"/>
  <c r="AK48" i="1"/>
  <c r="AK46" i="1"/>
  <c r="AK44" i="1"/>
  <c r="AK42" i="1"/>
  <c r="P348" i="1" s="1"/>
  <c r="AK39" i="1"/>
  <c r="P392" i="1" s="1"/>
  <c r="AK37" i="1"/>
  <c r="AK35" i="1"/>
  <c r="AK33" i="1"/>
  <c r="AK31" i="1"/>
  <c r="AK29" i="1"/>
  <c r="AK27" i="1"/>
  <c r="P389" i="1" s="1"/>
  <c r="AK25" i="1"/>
  <c r="AK23" i="1"/>
  <c r="AK21" i="1"/>
  <c r="AK19" i="1"/>
  <c r="AK17" i="1"/>
  <c r="AK15" i="1"/>
  <c r="AK13" i="1"/>
  <c r="AK11" i="1"/>
  <c r="AK99" i="1"/>
  <c r="AK95" i="1"/>
  <c r="AK131" i="1"/>
  <c r="AK129" i="1"/>
  <c r="AK127" i="1"/>
  <c r="AK125" i="1"/>
  <c r="AK116" i="1"/>
  <c r="P367" i="1" s="1"/>
  <c r="AK114" i="1"/>
  <c r="AK112" i="1"/>
  <c r="AK110" i="1"/>
  <c r="AK108" i="1"/>
  <c r="P366" i="1" s="1"/>
  <c r="AK106" i="1"/>
  <c r="AK104" i="1"/>
  <c r="AK102" i="1"/>
  <c r="AK91" i="1"/>
  <c r="P359" i="1" s="1"/>
  <c r="AK74" i="1"/>
  <c r="P356" i="1" s="1"/>
  <c r="AK72" i="1"/>
  <c r="AK70" i="1"/>
  <c r="AK68" i="1"/>
  <c r="AK57" i="1"/>
  <c r="AK55" i="1"/>
  <c r="AK53" i="1"/>
  <c r="AK51" i="1"/>
  <c r="AK49" i="1"/>
  <c r="AK47" i="1"/>
  <c r="AK45" i="1"/>
  <c r="AK43" i="1"/>
  <c r="AK41" i="1"/>
  <c r="P347" i="1" s="1"/>
  <c r="AK38" i="1"/>
  <c r="P391" i="1" s="1"/>
  <c r="AK36" i="1"/>
  <c r="AK34" i="1"/>
  <c r="AK32" i="1"/>
  <c r="AK30" i="1"/>
  <c r="AK28" i="1"/>
  <c r="AK26" i="1"/>
  <c r="P345" i="1" s="1"/>
  <c r="AK24" i="1"/>
  <c r="AK22" i="1"/>
  <c r="AK20" i="1"/>
  <c r="AK18" i="1"/>
  <c r="P344" i="1" s="1"/>
  <c r="AK16" i="1"/>
  <c r="AK14" i="1"/>
  <c r="AK12" i="1"/>
  <c r="AK10" i="1"/>
  <c r="P343" i="1" s="1"/>
  <c r="K21" i="1"/>
  <c r="AK124" i="1"/>
  <c r="P368" i="1" s="1"/>
  <c r="AK122" i="1"/>
  <c r="AK120" i="1"/>
  <c r="AK118" i="1"/>
  <c r="AK97" i="1"/>
  <c r="AK123" i="1"/>
  <c r="AK121" i="1"/>
  <c r="AK119" i="1"/>
  <c r="AK117" i="1"/>
  <c r="AK100" i="1"/>
  <c r="P365" i="1" s="1"/>
  <c r="AK98" i="1"/>
  <c r="AK96" i="1"/>
  <c r="AK94" i="1"/>
  <c r="AK89" i="1"/>
  <c r="AK87" i="1"/>
  <c r="AK85" i="1"/>
  <c r="AK83" i="1"/>
  <c r="AK81" i="1"/>
  <c r="AK79" i="1"/>
  <c r="AK77" i="1"/>
  <c r="AK75" i="1"/>
  <c r="AK66" i="1"/>
  <c r="P355" i="1" s="1"/>
  <c r="AK64" i="1"/>
  <c r="AK62" i="1"/>
  <c r="AK60" i="1"/>
  <c r="AD40" i="1"/>
  <c r="AC40" i="1" s="1"/>
  <c r="AL56" i="1"/>
  <c r="AL54" i="1"/>
  <c r="AL52" i="1"/>
  <c r="AL50" i="1"/>
  <c r="Q349" i="1" s="1"/>
  <c r="AL48" i="1"/>
  <c r="AL46" i="1"/>
  <c r="AL44" i="1"/>
  <c r="AL42" i="1"/>
  <c r="Q348" i="1" s="1"/>
  <c r="AL39" i="1"/>
  <c r="Q392" i="1" s="1"/>
  <c r="AL37" i="1"/>
  <c r="AL35" i="1"/>
  <c r="AL33" i="1"/>
  <c r="AL31" i="1"/>
  <c r="AL29" i="1"/>
  <c r="AL27" i="1"/>
  <c r="Q389" i="1" s="1"/>
  <c r="F380" i="1" s="1"/>
  <c r="AL25" i="1"/>
  <c r="AL23" i="1"/>
  <c r="AL21" i="1"/>
  <c r="AL19" i="1"/>
  <c r="AL17" i="1"/>
  <c r="AL15" i="1"/>
  <c r="AL13" i="1"/>
  <c r="AL11" i="1"/>
  <c r="F26" i="1"/>
  <c r="AD68" i="1"/>
  <c r="AL14" i="1"/>
  <c r="AL22" i="1"/>
  <c r="AL30" i="1"/>
  <c r="AL38" i="1"/>
  <c r="Q391" i="1" s="1"/>
  <c r="AL47" i="1"/>
  <c r="AL55" i="1"/>
  <c r="AK61" i="1"/>
  <c r="AK82" i="1"/>
  <c r="P357" i="1" s="1"/>
  <c r="AK90" i="1"/>
  <c r="P358" i="1" s="1"/>
  <c r="AK93" i="1"/>
  <c r="AL58" i="1"/>
  <c r="Q354" i="1" s="1"/>
  <c r="H391" i="1" s="1"/>
  <c r="AL67" i="1"/>
  <c r="AL69" i="1"/>
  <c r="AL71" i="1"/>
  <c r="AL73" i="1"/>
  <c r="AL92" i="1"/>
  <c r="Q364" i="1" s="1"/>
  <c r="AL101" i="1"/>
  <c r="AL103" i="1"/>
  <c r="AL105" i="1"/>
  <c r="AL107" i="1"/>
  <c r="AL109" i="1"/>
  <c r="AL111" i="1"/>
  <c r="AL113" i="1"/>
  <c r="AL115" i="1"/>
  <c r="AL126" i="1"/>
  <c r="AL128" i="1"/>
  <c r="AL130" i="1"/>
  <c r="K27" i="1"/>
  <c r="AL60" i="1"/>
  <c r="AL62" i="1"/>
  <c r="AL64" i="1"/>
  <c r="AL66" i="1"/>
  <c r="Q355" i="1" s="1"/>
  <c r="AL75" i="1"/>
  <c r="AL77" i="1"/>
  <c r="AL79" i="1"/>
  <c r="AL81" i="1"/>
  <c r="AL83" i="1"/>
  <c r="AL85" i="1"/>
  <c r="AL87" i="1"/>
  <c r="AL89" i="1"/>
  <c r="AL94" i="1"/>
  <c r="AL96" i="1"/>
  <c r="AL98" i="1"/>
  <c r="AL100" i="1"/>
  <c r="Q365" i="1" s="1"/>
  <c r="AL117" i="1"/>
  <c r="AL119" i="1"/>
  <c r="AL121" i="1"/>
  <c r="AL123" i="1"/>
  <c r="AL59" i="1"/>
  <c r="AL61" i="1"/>
  <c r="AL63" i="1"/>
  <c r="AL65" i="1"/>
  <c r="AL76" i="1"/>
  <c r="AL78" i="1"/>
  <c r="AL80" i="1"/>
  <c r="AL82" i="1"/>
  <c r="Q357" i="1" s="1"/>
  <c r="AL84" i="1"/>
  <c r="AL86" i="1"/>
  <c r="AL88" i="1"/>
  <c r="AL90" i="1"/>
  <c r="Q358" i="1" s="1"/>
  <c r="AL93" i="1"/>
  <c r="AL95" i="1"/>
  <c r="AL97" i="1"/>
  <c r="AL99" i="1"/>
  <c r="AL118" i="1"/>
  <c r="AL120" i="1"/>
  <c r="AL122" i="1"/>
  <c r="AL124" i="1"/>
  <c r="Q368" i="1" s="1"/>
  <c r="F10" i="1"/>
  <c r="R406" i="1"/>
  <c r="E396" i="1" s="1"/>
  <c r="E392" i="1"/>
  <c r="D19" i="7"/>
  <c r="D23" i="7" s="1"/>
  <c r="E23" i="7" s="1"/>
  <c r="R405" i="1"/>
  <c r="E395" i="1" s="1"/>
  <c r="D12" i="7"/>
  <c r="K11" i="7"/>
  <c r="L12" i="7" s="1"/>
  <c r="L16" i="7" s="1"/>
  <c r="M16" i="7" s="1"/>
  <c r="S11" i="7"/>
  <c r="T11" i="7" s="1"/>
  <c r="T15" i="7" s="1"/>
  <c r="U15" i="7" s="1"/>
  <c r="T419" i="1"/>
  <c r="G404" i="1" s="1"/>
  <c r="G400" i="1"/>
  <c r="C34" i="6"/>
  <c r="C28" i="6"/>
  <c r="I392" i="1"/>
  <c r="V406" i="1"/>
  <c r="I396" i="1" s="1"/>
  <c r="V405" i="1"/>
  <c r="I395" i="1" s="1"/>
  <c r="G392" i="1"/>
  <c r="C26" i="6"/>
  <c r="I356" i="1"/>
  <c r="S419"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42"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44" i="1"/>
  <c r="W345" i="1"/>
  <c r="I351" i="1"/>
  <c r="X354" i="1"/>
  <c r="K73" i="10" s="1"/>
  <c r="W355" i="1"/>
  <c r="I353" i="1"/>
  <c r="X356" i="1"/>
  <c r="K75" i="10" s="1"/>
  <c r="X358" i="1"/>
  <c r="K77" i="10" s="1"/>
  <c r="X359" i="1"/>
  <c r="K78" i="10" s="1"/>
  <c r="M355" i="1"/>
  <c r="X391" i="1"/>
  <c r="G385" i="1" s="1"/>
  <c r="W392" i="1"/>
  <c r="S404" i="1"/>
  <c r="F394" i="1" s="1"/>
  <c r="W404" i="1"/>
  <c r="J394" i="1" s="1"/>
  <c r="Q417" i="1"/>
  <c r="D402" i="1" s="1"/>
  <c r="U417" i="1"/>
  <c r="H402" i="1" s="1"/>
  <c r="X343" i="1"/>
  <c r="E73" i="10" s="1"/>
  <c r="E355" i="1"/>
  <c r="X347" i="1"/>
  <c r="E77" i="10" s="1"/>
  <c r="X357" i="1"/>
  <c r="K76" i="10" s="1"/>
  <c r="M351" i="1"/>
  <c r="X365" i="1"/>
  <c r="Q74" i="10" s="1"/>
  <c r="W375" i="1"/>
  <c r="F367" i="1" s="1"/>
  <c r="P377" i="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4"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U398" i="1"/>
  <c r="B27" i="6" s="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H346" i="1"/>
  <c r="M353" i="1"/>
  <c r="W398" i="1"/>
  <c r="B29" i="6" s="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L78" i="1" l="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98" i="1"/>
  <c r="B30" i="6" s="1"/>
  <c r="J391" i="1"/>
  <c r="T381" i="1"/>
  <c r="D373" i="1" s="1"/>
  <c r="D374" i="1" s="1"/>
  <c r="H10" i="6"/>
  <c r="G73" i="10"/>
  <c r="D85" i="10" s="1"/>
  <c r="E10" i="6"/>
  <c r="D380" i="1"/>
  <c r="B18" i="6"/>
  <c r="R398" i="1"/>
  <c r="B24" i="6" s="1"/>
  <c r="B10" i="6"/>
  <c r="K81" i="10"/>
  <c r="K80" i="10"/>
  <c r="Q80" i="10"/>
  <c r="Q79" i="10"/>
  <c r="Q78" i="10"/>
  <c r="E82" i="10"/>
  <c r="E81"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D371" i="1"/>
  <c r="H399" i="1"/>
  <c r="W3" i="7"/>
  <c r="D401" i="1" s="1"/>
  <c r="G11" i="7"/>
  <c r="T301" i="1"/>
  <c r="H299" i="1" s="1"/>
  <c r="T189" i="1"/>
  <c r="H187" i="1" s="1"/>
  <c r="F386" i="1"/>
  <c r="C22" i="6"/>
  <c r="P189" i="1"/>
  <c r="D187" i="1" s="1"/>
  <c r="G19" i="7"/>
  <c r="W19" i="7"/>
  <c r="R23" i="7"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O11" i="7"/>
  <c r="O3" i="7"/>
  <c r="G35" i="7"/>
  <c r="A39" i="7" s="1"/>
  <c r="D33" i="6"/>
  <c r="H401" i="1"/>
  <c r="D35" i="6"/>
  <c r="U420" i="1"/>
  <c r="H405" i="1" s="1"/>
  <c r="D32" i="6"/>
  <c r="G27" i="7"/>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W27" i="7" l="1"/>
  <c r="I88" i="10" s="1"/>
  <c r="O27" i="7"/>
  <c r="W11" i="7"/>
  <c r="I86" i="10" s="1"/>
  <c r="B39" i="7"/>
  <c r="O19" i="7"/>
  <c r="T39" i="7"/>
  <c r="U39" i="7" s="1"/>
  <c r="P79" i="10"/>
  <c r="P78" i="10"/>
  <c r="E401" i="1"/>
  <c r="D31" i="6"/>
  <c r="Q7" i="7"/>
  <c r="R15" i="7"/>
  <c r="R420" i="1"/>
  <c r="E405" i="1" s="1"/>
  <c r="R7" i="7"/>
  <c r="S420" i="1"/>
  <c r="F405" i="1" s="1"/>
  <c r="I87" i="10"/>
  <c r="D82" i="10"/>
  <c r="D81" i="10"/>
  <c r="J81" i="10"/>
  <c r="J80" i="10"/>
  <c r="Q420" i="1"/>
  <c r="D405" i="1" s="1"/>
  <c r="I85" i="10"/>
  <c r="J31" i="7"/>
  <c r="J23" i="7"/>
  <c r="D29" i="6"/>
  <c r="D28" i="6"/>
  <c r="U407" i="1"/>
  <c r="H397" i="1" s="1"/>
  <c r="J79" i="10"/>
  <c r="A23" i="7"/>
  <c r="B23" i="7" s="1"/>
  <c r="C102" i="10"/>
  <c r="B102" i="10"/>
  <c r="D102" i="10"/>
  <c r="X282" i="1" s="1"/>
  <c r="L279" i="1"/>
  <c r="E102" i="10"/>
  <c r="B100" i="10"/>
  <c r="A102" i="10"/>
  <c r="D24" i="6"/>
  <c r="D80" i="10"/>
  <c r="Q407" i="1"/>
  <c r="D397" i="1" s="1"/>
  <c r="B7" i="7"/>
  <c r="D23" i="6"/>
  <c r="D393" i="1"/>
  <c r="D188" i="1"/>
  <c r="F188" i="1"/>
  <c r="E188" i="1"/>
  <c r="I15" i="7"/>
  <c r="R407" i="1"/>
  <c r="E397" i="1" s="1"/>
  <c r="F401" i="1"/>
  <c r="W407" i="1"/>
  <c r="J397" i="1" s="1"/>
  <c r="I393" i="1"/>
  <c r="G188" i="1"/>
  <c r="A15" i="7"/>
  <c r="J15" i="7"/>
  <c r="E393" i="1"/>
  <c r="AD88" i="1"/>
  <c r="B15" i="7"/>
  <c r="Q23" i="7"/>
  <c r="I23" i="7"/>
  <c r="I31" i="7"/>
  <c r="V407" i="1"/>
  <c r="I397" i="1" s="1"/>
  <c r="I7" i="7"/>
  <c r="D27" i="6"/>
  <c r="J7" i="7"/>
  <c r="H393" i="1"/>
  <c r="D25" i="6"/>
  <c r="F393" i="1"/>
  <c r="S407" i="1"/>
  <c r="F397" i="1" s="1"/>
  <c r="J393" i="1"/>
  <c r="G393" i="1"/>
  <c r="D26" i="6"/>
  <c r="T407" i="1"/>
  <c r="G397" i="1" s="1"/>
  <c r="T420" i="1"/>
  <c r="G405" i="1" s="1"/>
  <c r="D34" i="6"/>
  <c r="G401" i="1"/>
  <c r="K393" i="1"/>
  <c r="D30" i="6"/>
  <c r="X407" i="1"/>
  <c r="K397" i="1" s="1"/>
  <c r="R31" i="7"/>
  <c r="Q31" i="7"/>
  <c r="B31" i="7"/>
  <c r="A31" i="7"/>
  <c r="L57" i="1"/>
  <c r="M57" i="1"/>
  <c r="W258" i="1"/>
  <c r="J233" i="1" s="1"/>
  <c r="J226" i="1"/>
  <c r="I188" i="1"/>
  <c r="W381" i="1"/>
  <c r="F373" i="1" s="1"/>
  <c r="F374" i="1" s="1"/>
  <c r="W390" i="1"/>
  <c r="C20" i="6" s="1"/>
  <c r="F371" i="1"/>
  <c r="G371" i="1"/>
  <c r="X390" i="1"/>
  <c r="G384" i="1" s="1"/>
  <c r="X381" i="1"/>
  <c r="G373" i="1" s="1"/>
  <c r="X295" i="1" l="1"/>
  <c r="X327" i="1"/>
  <c r="U331" i="1"/>
  <c r="I322" i="1" s="1"/>
  <c r="U319" i="1"/>
  <c r="I311" i="1" s="1"/>
  <c r="U329" i="1"/>
  <c r="I320" i="1" s="1"/>
  <c r="U328" i="1"/>
  <c r="U316" i="1"/>
  <c r="U330" i="1"/>
  <c r="I321" i="1" s="1"/>
  <c r="U318" i="1"/>
  <c r="I310" i="1" s="1"/>
  <c r="U317" i="1"/>
  <c r="I309" i="1" s="1"/>
  <c r="Q15" i="7"/>
  <c r="U299" i="1"/>
  <c r="I297" i="1" s="1"/>
  <c r="U298" i="1"/>
  <c r="I296" i="1" s="1"/>
  <c r="U297" i="1"/>
  <c r="I295" i="1" s="1"/>
  <c r="U296" i="1"/>
  <c r="F102" i="10"/>
  <c r="X297" i="1" s="1"/>
  <c r="L293" i="1"/>
  <c r="L281" i="1"/>
  <c r="W35" i="7"/>
  <c r="G374" i="1"/>
  <c r="U281" i="1"/>
  <c r="U284" i="1"/>
  <c r="I283" i="1" s="1"/>
  <c r="U283" i="1"/>
  <c r="I282" i="1" s="1"/>
  <c r="U282" i="1"/>
  <c r="I281" i="1" s="1"/>
  <c r="C92" i="10"/>
  <c r="F384" i="1"/>
  <c r="W393" i="1"/>
  <c r="F387" i="1" s="1"/>
  <c r="I102" i="10" l="1"/>
  <c r="X329" i="1" s="1"/>
  <c r="L320" i="1" s="1"/>
  <c r="L318" i="1"/>
  <c r="I319" i="1"/>
  <c r="U332" i="1"/>
  <c r="I308" i="1"/>
  <c r="U320" i="1"/>
  <c r="L295" i="1"/>
  <c r="I294" i="1"/>
  <c r="U300" i="1"/>
  <c r="I89" i="10"/>
  <c r="R39" i="7"/>
  <c r="Q39" i="7"/>
  <c r="I280" i="1"/>
  <c r="U285" i="1"/>
  <c r="X316" i="1" l="1"/>
  <c r="I312" i="1"/>
  <c r="U321" i="1"/>
  <c r="I313" i="1" s="1"/>
  <c r="U333" i="1"/>
  <c r="I324" i="1" s="1"/>
  <c r="I323" i="1"/>
  <c r="X328" i="1"/>
  <c r="X296" i="1"/>
  <c r="I298" i="1"/>
  <c r="U301" i="1"/>
  <c r="I299" i="1" s="1"/>
  <c r="I92" i="10"/>
  <c r="I94" i="10"/>
  <c r="I93" i="10"/>
  <c r="U286" i="1"/>
  <c r="I285" i="1" s="1"/>
  <c r="I284" i="1"/>
  <c r="X281" i="1"/>
  <c r="X330" i="1" l="1"/>
  <c r="L319" i="1"/>
  <c r="X318" i="1"/>
  <c r="L308" i="1"/>
  <c r="L294" i="1"/>
  <c r="X298" i="1"/>
  <c r="X283" i="1"/>
  <c r="K30" i="11" s="1"/>
  <c r="L280" i="1"/>
  <c r="AD90" i="1" l="1"/>
  <c r="L310" i="1"/>
  <c r="X322" i="1"/>
  <c r="L314" i="1" s="1"/>
  <c r="X320" i="1"/>
  <c r="L312" i="1" s="1"/>
  <c r="X335" i="1"/>
  <c r="AD91" i="1"/>
  <c r="X332" i="1"/>
  <c r="L323" i="1" s="1"/>
  <c r="L321" i="1"/>
  <c r="X334" i="1"/>
  <c r="L325" i="1" s="1"/>
  <c r="K31" i="11"/>
  <c r="X300" i="1"/>
  <c r="L298" i="1" s="1"/>
  <c r="B8" i="6"/>
  <c r="L296" i="1"/>
  <c r="X303" i="1"/>
  <c r="L300" i="1" s="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<sst xmlns="http://schemas.openxmlformats.org/spreadsheetml/2006/main" count="2630" uniqueCount="715">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</sst>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b/>
      <sz val="10"/>
      <color theme="1"/>
      <name val="Liberation Serif"/>
      <family val="1"/>
    </font>
    <font>
      <sz val="10"/>
      <color theme="1"/>
      <name val="Liberation Serif"/>
      <family val="1"/>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s>
  <cellStyleXfs count="7">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xf numFmtId="9" fontId="54" fillId="0" borderId="0" applyFont="0" applyFill="0" applyBorder="0" applyAlignment="0" applyProtection="0"/>
  </cellStyleXfs>
  <cellXfs count="707">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3" xfId="0" applyNumberFormat="1" applyFont="1" applyFill="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0" fontId="4" fillId="0" borderId="89" xfId="0" applyFont="1" applyBorder="1" applyAlignment="1">
      <alignment horizontal="center" vertical="center"/>
    </xf>
    <xf numFmtId="0" fontId="4" fillId="0" borderId="90" xfId="0" applyFont="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9" fillId="0" borderId="7" xfId="0" applyFont="1" applyBorder="1" applyAlignment="1">
      <alignment vertical="top"/>
    </xf>
    <xf numFmtId="168" fontId="4" fillId="0" borderId="89"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79" xfId="0" applyFont="1" applyBorder="1" applyAlignment="1">
      <alignment horizontal="center" vertical="center"/>
    </xf>
    <xf numFmtId="0" fontId="4" fillId="0" borderId="80" xfId="0" applyFont="1" applyBorder="1" applyAlignment="1">
      <alignment horizontal="center" vertical="center"/>
    </xf>
    <xf numFmtId="0" fontId="4" fillId="3" borderId="37" xfId="0" applyFont="1" applyFill="1" applyBorder="1" applyAlignment="1">
      <alignment horizontal="center" vertical="center"/>
    </xf>
    <xf numFmtId="0" fontId="4" fillId="0" borderId="85"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2"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3" xfId="0" applyFont="1" applyBorder="1" applyAlignment="1">
      <alignment horizontal="center" vertical="center"/>
    </xf>
    <xf numFmtId="0" fontId="4" fillId="4" borderId="79" xfId="0" applyFont="1" applyFill="1" applyBorder="1" applyAlignment="1">
      <alignment horizontal="center" vertical="center"/>
    </xf>
    <xf numFmtId="0" fontId="4" fillId="4" borderId="80"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4" xfId="0" applyFont="1" applyBorder="1" applyAlignment="1">
      <alignment horizontal="center" vertical="center"/>
    </xf>
    <xf numFmtId="0" fontId="4" fillId="4" borderId="85"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5" xfId="0" applyFont="1" applyBorder="1" applyAlignment="1">
      <alignment horizontal="center" vertical="center"/>
    </xf>
    <xf numFmtId="0" fontId="4" fillId="4" borderId="82"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6"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0" xfId="0" applyNumberFormat="1" applyFont="1" applyFill="1" applyBorder="1" applyAlignment="1">
      <alignment horizontal="center" vertical="center"/>
    </xf>
    <xf numFmtId="0" fontId="4" fillId="0" borderId="81" xfId="0" applyFont="1" applyBorder="1" applyAlignment="1">
      <alignment vertical="center"/>
    </xf>
    <xf numFmtId="2" fontId="4" fillId="0" borderId="37" xfId="0" applyNumberFormat="1" applyFont="1" applyBorder="1" applyAlignment="1">
      <alignment horizontal="center" vertical="center"/>
    </xf>
    <xf numFmtId="0" fontId="4" fillId="0" borderId="86"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6" xfId="0" applyFont="1" applyFill="1" applyBorder="1" applyAlignment="1">
      <alignment vertical="center"/>
    </xf>
    <xf numFmtId="2" fontId="4" fillId="0" borderId="47" xfId="0" applyNumberFormat="1" applyFont="1" applyBorder="1" applyAlignment="1">
      <alignment horizontal="center" vertical="center"/>
    </xf>
    <xf numFmtId="0" fontId="4" fillId="0" borderId="83"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0" xfId="0" applyNumberFormat="1" applyFont="1" applyFill="1" applyBorder="1" applyAlignment="1">
      <alignment horizontal="center" vertical="center"/>
    </xf>
    <xf numFmtId="2" fontId="4" fillId="0" borderId="81"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6"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3"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1"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7"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79" xfId="0" applyNumberFormat="1" applyFont="1" applyBorder="1" applyAlignment="1">
      <alignment horizontal="center" vertical="center"/>
    </xf>
    <xf numFmtId="169" fontId="4" fillId="0" borderId="80" xfId="0" applyNumberFormat="1" applyFont="1" applyBorder="1" applyAlignment="1">
      <alignment horizontal="center" vertical="center"/>
    </xf>
    <xf numFmtId="167" fontId="4" fillId="0" borderId="85"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2"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0"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1" xfId="0" applyNumberFormat="1" applyFont="1" applyBorder="1" applyAlignment="1">
      <alignment horizontal="center" vertical="center"/>
    </xf>
    <xf numFmtId="0" fontId="9" fillId="0" borderId="5" xfId="0" applyFont="1" applyBorder="1" applyAlignment="1">
      <alignment vertical="center"/>
    </xf>
    <xf numFmtId="2" fontId="4" fillId="0" borderId="102"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3" xfId="0" applyFont="1" applyBorder="1" applyAlignment="1">
      <alignment vertical="center"/>
    </xf>
    <xf numFmtId="0" fontId="8" fillId="0" borderId="104" xfId="0" applyFont="1" applyBorder="1" applyAlignment="1">
      <alignment vertical="center"/>
    </xf>
    <xf numFmtId="0" fontId="4" fillId="0" borderId="104" xfId="0" applyFont="1" applyBorder="1" applyAlignment="1">
      <alignment vertical="center"/>
    </xf>
    <xf numFmtId="0" fontId="4" fillId="0" borderId="105"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6"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54" xfId="0" applyFont="1" applyBorder="1" applyAlignment="1">
      <alignment horizontal="center" vertical="center"/>
    </xf>
    <xf numFmtId="0" fontId="4" fillId="0" borderId="108"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1" xfId="0" applyNumberFormat="1" applyFont="1" applyBorder="1" applyAlignment="1">
      <alignment horizontal="center" vertical="center"/>
    </xf>
    <xf numFmtId="0" fontId="4" fillId="0" borderId="104" xfId="0" applyFont="1" applyBorder="1" applyAlignment="1">
      <alignment horizontal="center" vertical="center"/>
    </xf>
    <xf numFmtId="2" fontId="4" fillId="0" borderId="104" xfId="0" applyNumberFormat="1" applyFont="1" applyBorder="1" applyAlignment="1">
      <alignment horizontal="center" vertical="center"/>
    </xf>
    <xf numFmtId="167" fontId="4" fillId="0" borderId="104" xfId="0" applyNumberFormat="1" applyFont="1" applyBorder="1" applyAlignment="1">
      <alignment horizontal="center" vertical="center"/>
    </xf>
    <xf numFmtId="169" fontId="4" fillId="0" borderId="104" xfId="0" applyNumberFormat="1" applyFont="1" applyBorder="1" applyAlignment="1">
      <alignment horizontal="center" vertical="center"/>
    </xf>
    <xf numFmtId="0" fontId="4" fillId="0" borderId="109" xfId="0" applyFont="1" applyBorder="1" applyAlignment="1">
      <alignment horizontal="right" vertical="center"/>
    </xf>
    <xf numFmtId="10" fontId="4" fillId="0" borderId="110" xfId="0" applyNumberFormat="1" applyFont="1" applyBorder="1" applyAlignment="1">
      <alignment horizontal="center" vertical="center"/>
    </xf>
    <xf numFmtId="0" fontId="4" fillId="0" borderId="111"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2" xfId="0" applyFont="1" applyBorder="1" applyAlignment="1">
      <alignment horizontal="center" vertical="center"/>
    </xf>
    <xf numFmtId="167" fontId="10" fillId="0" borderId="79" xfId="0" applyNumberFormat="1" applyFont="1" applyBorder="1" applyAlignment="1">
      <alignment horizontal="center" vertical="center"/>
    </xf>
    <xf numFmtId="169" fontId="10" fillId="0" borderId="80" xfId="0" applyNumberFormat="1" applyFont="1" applyBorder="1" applyAlignment="1" applyProtection="1">
      <alignment horizontal="center" vertical="center"/>
      <protection locked="0"/>
    </xf>
    <xf numFmtId="169" fontId="10" fillId="0" borderId="113" xfId="0" applyNumberFormat="1" applyFont="1" applyBorder="1" applyAlignment="1" applyProtection="1">
      <alignment horizontal="center" vertical="center"/>
      <protection locked="0"/>
    </xf>
    <xf numFmtId="167" fontId="10" fillId="0" borderId="114"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0" fontId="10" fillId="0" borderId="79" xfId="0" applyFont="1" applyBorder="1" applyAlignment="1">
      <alignment horizontal="center" vertical="center"/>
    </xf>
    <xf numFmtId="2" fontId="10" fillId="0" borderId="80" xfId="0" applyNumberFormat="1" applyFont="1" applyBorder="1" applyAlignment="1">
      <alignment horizontal="center" vertical="center"/>
    </xf>
    <xf numFmtId="2" fontId="10" fillId="0" borderId="81" xfId="0" applyNumberFormat="1" applyFont="1" applyBorder="1" applyAlignment="1">
      <alignment horizontal="center" vertical="center"/>
    </xf>
    <xf numFmtId="0" fontId="10" fillId="0" borderId="82" xfId="0" applyFont="1" applyBorder="1" applyAlignment="1">
      <alignment horizontal="center" vertical="center"/>
    </xf>
    <xf numFmtId="2" fontId="10" fillId="0" borderId="80" xfId="0" applyNumberFormat="1" applyFont="1" applyBorder="1" applyAlignment="1" applyProtection="1">
      <alignment horizontal="center" vertical="center"/>
      <protection locked="0"/>
    </xf>
    <xf numFmtId="2" fontId="10" fillId="0" borderId="81" xfId="0" applyNumberFormat="1" applyFont="1" applyBorder="1" applyAlignment="1" applyProtection="1">
      <alignment horizontal="center" vertical="center"/>
      <protection locked="0"/>
    </xf>
    <xf numFmtId="0" fontId="10" fillId="0" borderId="82"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6" xfId="0" applyFont="1" applyFill="1" applyBorder="1" applyAlignment="1">
      <alignment horizontal="center" vertical="center"/>
    </xf>
    <xf numFmtId="2" fontId="4" fillId="0" borderId="80"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6" xfId="0" applyFont="1" applyFill="1" applyBorder="1" applyAlignment="1">
      <alignment horizontal="center" vertical="center"/>
    </xf>
    <xf numFmtId="0" fontId="4" fillId="3" borderId="83"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7"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18"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0" xfId="0" applyNumberFormat="1" applyFont="1" applyBorder="1" applyAlignment="1">
      <alignment horizontal="center" vertical="center"/>
    </xf>
    <xf numFmtId="0" fontId="4" fillId="8" borderId="85"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0" fontId="4" fillId="8" borderId="82"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3"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5"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6"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5"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4" fillId="10" borderId="82"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3"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0"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19" xfId="2" applyNumberFormat="1" applyFont="1" applyBorder="1" applyAlignment="1">
      <alignment horizontal="center" vertical="center"/>
    </xf>
    <xf numFmtId="0" fontId="26" fillId="0" borderId="120"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0"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1" xfId="0" applyBorder="1"/>
    <xf numFmtId="0" fontId="0" fillId="0" borderId="122" xfId="0" applyBorder="1"/>
    <xf numFmtId="0" fontId="0" fillId="0" borderId="123" xfId="0" applyBorder="1"/>
    <xf numFmtId="0" fontId="0" fillId="0" borderId="124" xfId="0" applyBorder="1"/>
    <xf numFmtId="0" fontId="0" fillId="0" borderId="37" xfId="0" applyBorder="1"/>
    <xf numFmtId="0" fontId="0" fillId="0" borderId="38" xfId="0" applyBorder="1"/>
    <xf numFmtId="0" fontId="0" fillId="0" borderId="125"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4" xfId="0" applyFont="1" applyBorder="1" applyAlignment="1">
      <alignment horizontal="center" vertical="center"/>
    </xf>
    <xf numFmtId="167" fontId="4" fillId="4" borderId="126" xfId="0" applyNumberFormat="1" applyFont="1" applyFill="1" applyBorder="1" applyAlignment="1">
      <alignment horizontal="center" vertical="center"/>
    </xf>
    <xf numFmtId="167" fontId="4" fillId="4" borderId="127" xfId="0" applyNumberFormat="1" applyFont="1" applyFill="1" applyBorder="1" applyAlignment="1">
      <alignment horizontal="center" vertical="center"/>
    </xf>
    <xf numFmtId="0" fontId="4" fillId="0" borderId="0" xfId="0" applyFont="1" applyAlignment="1">
      <alignment horizontal="center" vertical="center"/>
    </xf>
    <xf numFmtId="170" fontId="4" fillId="0" borderId="85"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6"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87"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73"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76"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2"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3"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28"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0" xfId="4" applyFont="1" applyBorder="1" applyAlignment="1">
      <alignment horizontal="center"/>
    </xf>
    <xf numFmtId="0" fontId="10" fillId="0" borderId="0" xfId="4" applyFont="1" applyAlignment="1">
      <alignment horizontal="right"/>
    </xf>
    <xf numFmtId="167" fontId="25" fillId="15" borderId="112" xfId="4" applyNumberFormat="1" applyFont="1" applyFill="1" applyBorder="1" applyAlignment="1">
      <alignment horizontal="center"/>
    </xf>
    <xf numFmtId="167" fontId="25" fillId="0" borderId="112"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5" xfId="4" applyFont="1" applyBorder="1" applyAlignment="1">
      <alignment horizontal="center"/>
    </xf>
    <xf numFmtId="0" fontId="36" fillId="0" borderId="136" xfId="4" applyFont="1" applyBorder="1" applyAlignment="1">
      <alignment horizontal="center" wrapText="1"/>
    </xf>
    <xf numFmtId="0" fontId="36" fillId="0" borderId="136" xfId="4" applyFont="1" applyBorder="1" applyAlignment="1">
      <alignment horizontal="center"/>
    </xf>
    <xf numFmtId="0" fontId="36" fillId="0" borderId="137" xfId="4" applyFont="1" applyBorder="1" applyAlignment="1">
      <alignment horizontal="center" wrapText="1"/>
    </xf>
    <xf numFmtId="0" fontId="38" fillId="0" borderId="112" xfId="4" applyFont="1" applyBorder="1" applyAlignment="1">
      <alignment horizontal="center" vertical="center" wrapText="1"/>
    </xf>
    <xf numFmtId="0" fontId="38" fillId="0" borderId="97" xfId="4" applyFont="1" applyBorder="1" applyAlignment="1">
      <alignment horizontal="left" vertical="center" wrapText="1"/>
    </xf>
    <xf numFmtId="14" fontId="38" fillId="0" borderId="112" xfId="4" applyNumberFormat="1" applyFont="1" applyBorder="1" applyAlignment="1">
      <alignment horizontal="center" vertical="center" wrapText="1"/>
    </xf>
    <xf numFmtId="0" fontId="38" fillId="0" borderId="138"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0" xfId="4" applyFont="1" applyBorder="1"/>
    <xf numFmtId="0" fontId="38" fillId="0" borderId="87" xfId="4" applyFont="1" applyBorder="1" applyAlignment="1">
      <alignment horizontal="center" vertical="center" wrapText="1"/>
    </xf>
    <xf numFmtId="0" fontId="38" fillId="0" borderId="80" xfId="4" applyFont="1" applyBorder="1" applyAlignment="1">
      <alignment horizontal="left" vertical="center" wrapText="1"/>
    </xf>
    <xf numFmtId="14" fontId="38" fillId="0" borderId="80" xfId="4" applyNumberFormat="1" applyFont="1" applyBorder="1" applyAlignment="1">
      <alignment horizontal="center" vertical="center" wrapText="1"/>
    </xf>
    <xf numFmtId="0" fontId="38" fillId="0" borderId="113"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18" xfId="4" applyFont="1" applyBorder="1"/>
    <xf numFmtId="0" fontId="38" fillId="0" borderId="88"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2" xfId="4" applyFont="1" applyBorder="1"/>
    <xf numFmtId="0" fontId="38" fillId="0" borderId="143" xfId="4" applyFont="1" applyBorder="1" applyAlignment="1">
      <alignment horizontal="center" vertical="center" wrapText="1"/>
    </xf>
    <xf numFmtId="0" fontId="38" fillId="0" borderId="144" xfId="4" applyFont="1" applyBorder="1" applyAlignment="1">
      <alignment horizontal="left" vertical="center" wrapText="1"/>
    </xf>
    <xf numFmtId="0" fontId="38" fillId="0" borderId="145" xfId="4" applyFont="1" applyBorder="1"/>
    <xf numFmtId="0" fontId="38" fillId="0" borderId="146" xfId="4" applyFont="1" applyBorder="1" applyAlignment="1">
      <alignment horizontal="left" vertical="center" wrapText="1"/>
    </xf>
    <xf numFmtId="0" fontId="38" fillId="0" borderId="83" xfId="4" applyFont="1" applyBorder="1"/>
    <xf numFmtId="0" fontId="38" fillId="0" borderId="80" xfId="4" applyFont="1" applyBorder="1" applyAlignment="1">
      <alignment horizontal="center" vertical="center" wrapText="1"/>
    </xf>
    <xf numFmtId="0" fontId="38" fillId="0" borderId="81"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2" xfId="4" applyFont="1" applyBorder="1" applyAlignment="1">
      <alignment horizontal="left" vertical="center" wrapText="1"/>
    </xf>
    <xf numFmtId="0" fontId="38" fillId="0" borderId="86" xfId="4" applyFont="1" applyBorder="1"/>
    <xf numFmtId="0" fontId="38" fillId="0" borderId="129" xfId="4" applyFont="1" applyBorder="1" applyAlignment="1">
      <alignment horizontal="center" vertical="center" wrapText="1"/>
    </xf>
    <xf numFmtId="0" fontId="38" fillId="0" borderId="146" xfId="4" applyFont="1" applyBorder="1" applyAlignment="1">
      <alignment horizontal="center" vertical="center" wrapText="1"/>
    </xf>
    <xf numFmtId="0" fontId="38" fillId="0" borderId="147"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89" xfId="4" applyFont="1" applyBorder="1" applyAlignment="1">
      <alignment vertical="center" wrapText="1"/>
    </xf>
    <xf numFmtId="0" fontId="38" fillId="0" borderId="148" xfId="4" applyFont="1" applyBorder="1" applyAlignment="1">
      <alignment horizontal="center" vertical="center" wrapText="1"/>
    </xf>
    <xf numFmtId="0" fontId="38" fillId="0" borderId="90" xfId="4" applyFont="1" applyBorder="1" applyAlignment="1">
      <alignment horizontal="left" vertical="center" wrapText="1"/>
    </xf>
    <xf numFmtId="14" fontId="38" fillId="0" borderId="90" xfId="4" applyNumberFormat="1" applyFont="1" applyBorder="1" applyAlignment="1">
      <alignment horizontal="center" vertical="center" wrapText="1"/>
    </xf>
    <xf numFmtId="0" fontId="38" fillId="0" borderId="92" xfId="4" applyFont="1" applyBorder="1"/>
    <xf numFmtId="0" fontId="38" fillId="0" borderId="139" xfId="4" applyFont="1" applyBorder="1" applyAlignment="1">
      <alignment vertical="center" wrapText="1"/>
    </xf>
    <xf numFmtId="0" fontId="38" fillId="0" borderId="149"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0"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9" fillId="0" borderId="49" xfId="0" applyFont="1" applyBorder="1" applyAlignment="1">
      <alignment horizontal="center" vertical="center"/>
    </xf>
    <xf numFmtId="0" fontId="4" fillId="0" borderId="151" xfId="0" applyFont="1" applyBorder="1" applyAlignment="1">
      <alignment horizontal="center" vertical="center"/>
    </xf>
    <xf numFmtId="0" fontId="4" fillId="0" borderId="22" xfId="0" applyFont="1" applyBorder="1" applyAlignment="1">
      <alignment horizontal="center" vertical="center"/>
    </xf>
    <xf numFmtId="0" fontId="10" fillId="0" borderId="0" xfId="0" applyFont="1" applyBorder="1" applyAlignment="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0" fontId="4" fillId="0" borderId="49" xfId="0" applyFont="1" applyBorder="1" applyAlignment="1">
      <alignment horizontal="center" vertical="center"/>
    </xf>
    <xf numFmtId="0" fontId="4" fillId="0" borderId="0" xfId="0" applyFont="1" applyAlignment="1">
      <alignment horizontal="center" vertical="center"/>
    </xf>
    <xf numFmtId="166" fontId="4" fillId="4" borderId="22" xfId="0" applyNumberFormat="1" applyFont="1" applyFill="1" applyBorder="1" applyAlignment="1">
      <alignment horizontal="center" vertical="center" wrapText="1"/>
    </xf>
    <xf numFmtId="0" fontId="10" fillId="0" borderId="96" xfId="0" applyFont="1" applyBorder="1" applyAlignment="1" applyProtection="1">
      <alignment horizontal="center" vertical="center"/>
      <protection locked="0"/>
    </xf>
    <xf numFmtId="0" fontId="0" fillId="0" borderId="0" xfId="0" applyAlignment="1">
      <alignment horizontal="center" vertical="center"/>
    </xf>
    <xf numFmtId="0" fontId="4" fillId="0" borderId="0" xfId="0" applyFont="1" applyFill="1" applyBorder="1" applyAlignment="1">
      <alignment horizontal="right" vertical="center"/>
    </xf>
    <xf numFmtId="0" fontId="55" fillId="0" borderId="0" xfId="0" applyFont="1" applyBorder="1" applyAlignment="1">
      <alignment horizontal="right" vertical="center"/>
    </xf>
    <xf numFmtId="0" fontId="56" fillId="0" borderId="0" xfId="0" applyFont="1" applyAlignment="1">
      <alignment vertical="center"/>
    </xf>
    <xf numFmtId="0" fontId="0" fillId="0" borderId="37" xfId="0" applyBorder="1" applyAlignment="1">
      <alignment horizontal="center" vertical="center"/>
    </xf>
    <xf numFmtId="166" fontId="4" fillId="4" borderId="22" xfId="0" applyNumberFormat="1" applyFont="1" applyFill="1" applyBorder="1" applyAlignment="1">
      <alignment vertical="center" wrapText="1"/>
    </xf>
    <xf numFmtId="0" fontId="0" fillId="0" borderId="9" xfId="0" applyBorder="1"/>
    <xf numFmtId="10" fontId="0" fillId="0" borderId="37" xfId="6" applyNumberFormat="1" applyFont="1" applyBorder="1" applyAlignment="1">
      <alignment horizontal="center"/>
    </xf>
    <xf numFmtId="10" fontId="0" fillId="0" borderId="37" xfId="6" applyNumberFormat="1" applyFont="1" applyBorder="1" applyAlignment="1">
      <alignment horizontal="center" vertical="center"/>
    </xf>
    <xf numFmtId="0" fontId="3" fillId="0" borderId="37" xfId="0" applyFont="1" applyBorder="1" applyAlignment="1">
      <alignment horizontal="center" vertical="center"/>
    </xf>
    <xf numFmtId="0" fontId="23" fillId="0" borderId="0" xfId="4" applyFont="1" applyAlignment="1">
      <alignment horizontal="center"/>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29" xfId="4" applyFont="1" applyFill="1" applyBorder="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29" xfId="4" applyNumberFormat="1"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29" xfId="4" applyNumberFormat="1" applyFont="1" applyFill="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29" xfId="4" applyFont="1" applyBorder="1" applyAlignment="1">
      <alignment horizontal="center"/>
    </xf>
    <xf numFmtId="0" fontId="25" fillId="0" borderId="130" xfId="4" applyFont="1" applyBorder="1" applyAlignment="1">
      <alignment horizontal="center"/>
    </xf>
    <xf numFmtId="0" fontId="25"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4" fillId="0" borderId="128" xfId="4" applyFont="1" applyBorder="1" applyAlignment="1">
      <alignment horizontal="center"/>
    </xf>
    <xf numFmtId="0" fontId="24" fillId="0" borderId="97"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29" xfId="4" applyFont="1" applyBorder="1" applyAlignment="1">
      <alignment horizontal="center"/>
    </xf>
    <xf numFmtId="0" fontId="28" fillId="0" borderId="0" xfId="4" applyFont="1" applyAlignment="1">
      <alignment horizontal="left" vertical="center" wrapText="1"/>
    </xf>
    <xf numFmtId="0" fontId="24" fillId="14" borderId="55" xfId="4" applyFont="1" applyFill="1" applyBorder="1" applyAlignment="1">
      <alignment horizontal="center"/>
    </xf>
    <xf numFmtId="0" fontId="24" fillId="14" borderId="129" xfId="4" applyFont="1" applyFill="1"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47" fillId="0" borderId="0" xfId="4" applyFont="1" applyBorder="1" applyAlignment="1">
      <alignment horizontal="center"/>
    </xf>
    <xf numFmtId="0" fontId="25" fillId="0" borderId="129" xfId="4"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29" xfId="4" applyNumberFormat="1" applyFont="1" applyFill="1" applyBorder="1" applyAlignment="1">
      <alignment horizontal="center"/>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29" xfId="4" applyBorder="1" applyAlignment="1">
      <alignment horizontal="left" vertical="top" wrapText="1"/>
    </xf>
    <xf numFmtId="0" fontId="24" fillId="0" borderId="109" xfId="4" applyFont="1" applyFill="1" applyBorder="1" applyAlignment="1">
      <alignment horizontal="left" vertical="center" wrapText="1"/>
    </xf>
    <xf numFmtId="0" fontId="24" fillId="0" borderId="134" xfId="4" applyFont="1" applyFill="1" applyBorder="1" applyAlignment="1">
      <alignment horizontal="left" vertical="center" wrapText="1"/>
    </xf>
    <xf numFmtId="0" fontId="24" fillId="0" borderId="110" xfId="4" applyFont="1" applyFill="1" applyBorder="1" applyAlignment="1">
      <alignment horizontal="left" vertical="center" wrapText="1"/>
    </xf>
    <xf numFmtId="0" fontId="38" fillId="0" borderId="141" xfId="4" applyFont="1" applyBorder="1" applyAlignment="1">
      <alignment horizontal="left" vertical="center" wrapText="1"/>
    </xf>
    <xf numFmtId="0" fontId="25" fillId="0" borderId="58" xfId="4" applyBorder="1" applyAlignment="1">
      <alignment horizontal="left" vertical="center" wrapText="1"/>
    </xf>
    <xf numFmtId="0" fontId="25" fillId="0" borderId="139"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1" xfId="4" applyFont="1" applyBorder="1" applyAlignment="1">
      <alignment vertical="center"/>
    </xf>
    <xf numFmtId="0" fontId="25" fillId="0" borderId="58" xfId="4" applyBorder="1" applyAlignment="1">
      <alignment vertical="center"/>
    </xf>
    <xf numFmtId="0" fontId="25" fillId="0" borderId="139" xfId="4" applyBorder="1" applyAlignment="1">
      <alignment vertical="center"/>
    </xf>
    <xf numFmtId="0" fontId="38" fillId="0" borderId="141" xfId="4" applyFont="1" applyBorder="1" applyAlignment="1">
      <alignment vertical="center" wrapText="1"/>
    </xf>
    <xf numFmtId="0" fontId="25" fillId="0" borderId="139" xfId="4" applyBorder="1" applyAlignment="1">
      <alignment vertical="center" wrapText="1"/>
    </xf>
    <xf numFmtId="0" fontId="38" fillId="0" borderId="139" xfId="4" applyFont="1" applyBorder="1" applyAlignment="1">
      <alignment horizontal="left" vertical="center" wrapText="1"/>
    </xf>
    <xf numFmtId="0" fontId="38" fillId="0" borderId="141" xfId="4" applyFont="1" applyBorder="1" applyAlignment="1">
      <alignment horizontal="left" vertical="center"/>
    </xf>
    <xf numFmtId="0" fontId="38" fillId="0" borderId="58" xfId="4" applyFont="1" applyBorder="1" applyAlignment="1">
      <alignment horizontal="left" vertical="center"/>
    </xf>
    <xf numFmtId="0" fontId="38" fillId="0" borderId="139" xfId="4" applyFont="1" applyBorder="1" applyAlignment="1">
      <alignment horizontal="left" vertical="center"/>
    </xf>
    <xf numFmtId="0" fontId="38" fillId="0" borderId="58"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4" fillId="0" borderId="9" xfId="0" applyFont="1" applyBorder="1" applyAlignment="1">
      <alignment horizontal="center" vertical="center"/>
    </xf>
    <xf numFmtId="0" fontId="4" fillId="0" borderId="0" xfId="0" applyFont="1" applyBorder="1" applyAlignment="1">
      <alignment horizontal="center" vertical="center"/>
    </xf>
    <xf numFmtId="0" fontId="4" fillId="0" borderId="59" xfId="0" applyFont="1" applyBorder="1" applyAlignment="1">
      <alignment horizontal="center" vertical="center"/>
    </xf>
    <xf numFmtId="0" fontId="4" fillId="0" borderId="0" xfId="0" applyFont="1" applyAlignment="1">
      <alignment horizontal="center" vertical="center"/>
    </xf>
    <xf numFmtId="0" fontId="4" fillId="0" borderId="152"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166" fontId="4" fillId="0" borderId="106"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98" xfId="0" applyFont="1" applyBorder="1" applyAlignment="1">
      <alignment horizontal="center" vertical="center"/>
    </xf>
    <xf numFmtId="0" fontId="8" fillId="0" borderId="99" xfId="0" applyFont="1" applyBorder="1" applyAlignment="1">
      <alignment horizontal="center" vertical="center"/>
    </xf>
    <xf numFmtId="0" fontId="0" fillId="0" borderId="122" xfId="0" applyBorder="1" applyAlignment="1">
      <alignment horizontal="center"/>
    </xf>
    <xf numFmtId="0" fontId="0" fillId="0" borderId="123"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98">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67" customWidth="1"/>
    <col min="2" max="2" width="5.5" style="467" customWidth="1"/>
    <col min="3" max="3" width="15.125" style="467" customWidth="1"/>
    <col min="4" max="4" width="12" style="467" customWidth="1"/>
    <col min="5" max="5" width="5.75" style="467" customWidth="1"/>
    <col min="6" max="6" width="4.125" style="467" customWidth="1"/>
    <col min="7" max="10" width="7.625" style="467" customWidth="1"/>
    <col min="11" max="11" width="8.5" style="467" customWidth="1"/>
    <col min="12" max="12" width="7.625" style="467" customWidth="1"/>
    <col min="13" max="14" width="5.75" style="467" customWidth="1"/>
    <col min="15" max="16384" width="9" style="467"/>
  </cols>
  <sheetData>
    <row r="1" spans="1:15" ht="26.25">
      <c r="A1" s="613" t="s">
        <v>407</v>
      </c>
      <c r="B1" s="613"/>
      <c r="C1" s="613"/>
      <c r="D1" s="613"/>
      <c r="E1" s="613"/>
      <c r="F1" s="613"/>
      <c r="G1" s="613"/>
      <c r="H1" s="613"/>
      <c r="I1" s="613"/>
      <c r="J1" s="613"/>
      <c r="K1" s="613"/>
      <c r="L1" s="613"/>
      <c r="M1" s="613"/>
      <c r="N1" s="613"/>
    </row>
    <row r="2" spans="1:15" ht="26.25">
      <c r="A2" s="613" t="s">
        <v>651</v>
      </c>
      <c r="B2" s="613"/>
      <c r="C2" s="613"/>
      <c r="D2" s="613"/>
      <c r="E2" s="613"/>
      <c r="F2" s="613"/>
      <c r="G2" s="613"/>
      <c r="H2" s="613"/>
      <c r="I2" s="613"/>
      <c r="J2" s="613"/>
      <c r="K2" s="613"/>
      <c r="L2" s="613"/>
      <c r="M2" s="613"/>
      <c r="N2" s="613"/>
    </row>
    <row r="3" spans="1:15" ht="16.5" customHeight="1">
      <c r="A3" s="468"/>
      <c r="B3" s="468"/>
      <c r="C3" s="468"/>
      <c r="D3" s="468"/>
      <c r="E3" s="468"/>
      <c r="F3" s="468"/>
      <c r="G3" s="468"/>
      <c r="H3" s="468"/>
      <c r="I3" s="468"/>
      <c r="J3" s="468"/>
      <c r="K3" s="468"/>
      <c r="L3" s="468"/>
      <c r="M3" s="468"/>
      <c r="N3" s="468"/>
    </row>
    <row r="4" spans="1:15" ht="16.5" customHeight="1">
      <c r="A4" s="469" t="s">
        <v>408</v>
      </c>
      <c r="B4" s="469"/>
      <c r="C4" s="614"/>
      <c r="D4" s="615"/>
      <c r="E4" s="615"/>
      <c r="F4" s="615"/>
      <c r="G4" s="615"/>
      <c r="H4" s="616"/>
      <c r="I4" s="470"/>
      <c r="J4" s="471" t="s">
        <v>409</v>
      </c>
      <c r="K4" s="617"/>
      <c r="L4" s="618"/>
      <c r="M4" s="618"/>
      <c r="N4" s="619"/>
    </row>
    <row r="5" spans="1:15" ht="16.5" customHeight="1">
      <c r="A5" s="469" t="s">
        <v>410</v>
      </c>
      <c r="B5" s="469"/>
      <c r="C5" s="614"/>
      <c r="D5" s="615"/>
      <c r="E5" s="615"/>
      <c r="F5" s="615"/>
      <c r="G5" s="615"/>
      <c r="H5" s="616"/>
      <c r="I5" s="470"/>
      <c r="J5" s="471" t="s">
        <v>411</v>
      </c>
      <c r="K5" s="617">
        <f>Sheet1!P7</f>
        <v>0</v>
      </c>
      <c r="L5" s="618"/>
      <c r="M5" s="618"/>
      <c r="N5" s="619"/>
    </row>
    <row r="6" spans="1:15" ht="16.5" customHeight="1">
      <c r="A6" s="469" t="s">
        <v>412</v>
      </c>
      <c r="B6" s="469"/>
      <c r="C6" s="469"/>
      <c r="D6" s="614" t="s">
        <v>5</v>
      </c>
      <c r="E6" s="615"/>
      <c r="F6" s="615"/>
      <c r="G6" s="615"/>
      <c r="H6" s="616"/>
      <c r="I6" s="470"/>
      <c r="J6" s="471" t="s">
        <v>413</v>
      </c>
      <c r="K6" s="614"/>
      <c r="L6" s="615"/>
      <c r="M6" s="615"/>
      <c r="N6" s="616"/>
    </row>
    <row r="7" spans="1:15" ht="16.5" customHeight="1">
      <c r="A7" s="469" t="s">
        <v>414</v>
      </c>
      <c r="B7" s="469"/>
      <c r="C7" s="469"/>
      <c r="D7" s="614" t="s">
        <v>415</v>
      </c>
      <c r="E7" s="615"/>
      <c r="F7" s="615"/>
      <c r="G7" s="615"/>
      <c r="H7" s="616"/>
      <c r="I7" s="470"/>
      <c r="J7" s="471" t="s">
        <v>416</v>
      </c>
      <c r="K7" s="614"/>
      <c r="L7" s="615"/>
      <c r="M7" s="615"/>
      <c r="N7" s="616"/>
    </row>
    <row r="8" spans="1:15" ht="16.5" customHeight="1">
      <c r="A8" s="469" t="s">
        <v>417</v>
      </c>
      <c r="B8" s="469"/>
      <c r="C8" s="469"/>
      <c r="D8" s="620" t="str">
        <f>Sheet1!K16</f>
        <v/>
      </c>
      <c r="E8" s="621"/>
      <c r="F8" s="621"/>
      <c r="G8" s="621"/>
      <c r="H8" s="622"/>
      <c r="I8" s="470"/>
      <c r="J8" s="471" t="s">
        <v>418</v>
      </c>
      <c r="K8" s="614"/>
      <c r="L8" s="615"/>
      <c r="M8" s="615"/>
      <c r="N8" s="616"/>
    </row>
    <row r="9" spans="1:15" ht="11.25" customHeight="1">
      <c r="A9" s="472"/>
      <c r="K9" s="473"/>
      <c r="L9" s="473"/>
      <c r="M9" s="473"/>
      <c r="N9" s="473"/>
      <c r="O9" s="473"/>
    </row>
    <row r="10" spans="1:15" s="469" customFormat="1" ht="16.5" customHeight="1">
      <c r="A10" s="472" t="s">
        <v>652</v>
      </c>
      <c r="D10" s="624"/>
      <c r="E10" s="625"/>
      <c r="F10" s="625"/>
      <c r="G10" s="625"/>
      <c r="H10" s="626"/>
      <c r="I10" s="474" t="s">
        <v>653</v>
      </c>
    </row>
    <row r="11" spans="1:15" ht="11.25" customHeight="1">
      <c r="C11" s="469"/>
      <c r="D11" s="469"/>
      <c r="E11" s="469"/>
      <c r="F11" s="469"/>
      <c r="G11" s="475"/>
      <c r="H11" s="475"/>
      <c r="I11" s="475"/>
      <c r="J11" s="475"/>
      <c r="K11" s="475"/>
      <c r="L11" s="475"/>
      <c r="M11" s="475"/>
      <c r="N11" s="475"/>
      <c r="O11" s="473"/>
    </row>
    <row r="12" spans="1:15" ht="16.5" customHeight="1" thickBot="1">
      <c r="A12" s="469" t="s">
        <v>420</v>
      </c>
      <c r="B12" s="469"/>
      <c r="C12" s="469"/>
      <c r="D12" s="627" t="s">
        <v>421</v>
      </c>
      <c r="E12" s="627"/>
      <c r="F12" s="627"/>
      <c r="G12" s="627" t="s">
        <v>416</v>
      </c>
      <c r="H12" s="627"/>
      <c r="I12" s="627" t="s">
        <v>8</v>
      </c>
      <c r="J12" s="627"/>
      <c r="K12" s="627" t="s">
        <v>419</v>
      </c>
      <c r="L12" s="627"/>
      <c r="M12" s="627"/>
      <c r="N12" s="627"/>
    </row>
    <row r="13" spans="1:15" ht="16.5" customHeight="1" thickTop="1">
      <c r="A13" s="469"/>
      <c r="B13" s="469"/>
      <c r="C13" s="476" t="s">
        <v>422</v>
      </c>
      <c r="D13" s="628" t="s">
        <v>689</v>
      </c>
      <c r="E13" s="629"/>
      <c r="F13" s="630"/>
      <c r="G13" s="628" t="s">
        <v>690</v>
      </c>
      <c r="H13" s="630"/>
      <c r="I13" s="631"/>
      <c r="J13" s="632"/>
      <c r="K13" s="628" t="s">
        <v>691</v>
      </c>
      <c r="L13" s="629"/>
      <c r="M13" s="629"/>
      <c r="N13" s="630"/>
    </row>
    <row r="14" spans="1:15" ht="16.5" customHeight="1">
      <c r="C14" s="476" t="s">
        <v>423</v>
      </c>
      <c r="D14" s="633" t="s">
        <v>689</v>
      </c>
      <c r="E14" s="634"/>
      <c r="F14" s="635"/>
      <c r="G14" s="633" t="s">
        <v>692</v>
      </c>
      <c r="H14" s="635"/>
      <c r="I14" s="624"/>
      <c r="J14" s="626"/>
      <c r="K14" s="633" t="s">
        <v>693</v>
      </c>
      <c r="L14" s="634"/>
      <c r="M14" s="634"/>
      <c r="N14" s="635"/>
    </row>
    <row r="15" spans="1:15" s="477" customFormat="1" ht="36" customHeight="1">
      <c r="A15" s="636" t="s">
        <v>654</v>
      </c>
      <c r="B15" s="636"/>
      <c r="C15" s="636"/>
      <c r="D15" s="636"/>
      <c r="E15" s="636"/>
      <c r="F15" s="636"/>
      <c r="G15" s="636"/>
      <c r="H15" s="636"/>
      <c r="I15" s="636"/>
      <c r="J15" s="636"/>
      <c r="K15" s="636"/>
      <c r="L15" s="636"/>
      <c r="M15" s="636"/>
      <c r="N15" s="636"/>
    </row>
    <row r="16" spans="1:15" ht="16.5" customHeight="1">
      <c r="A16" s="472" t="s">
        <v>424</v>
      </c>
      <c r="B16" s="472"/>
      <c r="C16" s="478"/>
      <c r="D16" s="479" t="s">
        <v>655</v>
      </c>
      <c r="E16" s="478"/>
      <c r="F16" s="478"/>
      <c r="G16" s="471"/>
      <c r="H16" s="480"/>
      <c r="I16" s="481"/>
      <c r="J16" s="471"/>
      <c r="K16" s="478"/>
      <c r="L16" s="478"/>
      <c r="M16" s="482"/>
      <c r="N16" s="476" t="s">
        <v>425</v>
      </c>
    </row>
    <row r="17" spans="1:15" s="490" customFormat="1" ht="15.75" customHeight="1">
      <c r="A17" s="483" t="s">
        <v>656</v>
      </c>
      <c r="B17" s="484"/>
      <c r="C17" s="485"/>
      <c r="D17" s="486" t="s">
        <v>354</v>
      </c>
      <c r="E17" s="485"/>
      <c r="F17" s="486" t="s">
        <v>657</v>
      </c>
      <c r="G17" s="487"/>
      <c r="H17" s="488"/>
      <c r="I17" s="489"/>
      <c r="J17" s="489"/>
      <c r="K17" s="489"/>
      <c r="L17" s="489"/>
      <c r="M17" s="489"/>
      <c r="N17" s="489"/>
      <c r="O17" s="485"/>
    </row>
    <row r="18" spans="1:15" ht="13.5" customHeight="1">
      <c r="A18" s="491"/>
      <c r="B18" s="491"/>
      <c r="C18" s="490"/>
      <c r="D18" s="492"/>
      <c r="E18" s="490"/>
      <c r="F18" s="490"/>
      <c r="G18" s="492"/>
      <c r="H18" s="482"/>
      <c r="I18" s="493"/>
      <c r="J18" s="493"/>
      <c r="K18" s="493"/>
      <c r="L18" s="493"/>
    </row>
    <row r="19" spans="1:15" ht="21" customHeight="1">
      <c r="A19" s="623" t="s">
        <v>426</v>
      </c>
      <c r="B19" s="623"/>
      <c r="C19" s="623"/>
      <c r="D19" s="623"/>
      <c r="E19" s="623"/>
      <c r="F19" s="623"/>
      <c r="G19" s="623"/>
      <c r="H19" s="623"/>
      <c r="I19" s="623"/>
      <c r="J19" s="623"/>
      <c r="K19" s="623"/>
      <c r="L19" s="623"/>
      <c r="M19" s="623"/>
      <c r="N19" s="623"/>
    </row>
    <row r="20" spans="1:15" ht="15" customHeight="1">
      <c r="A20" s="639" t="s">
        <v>427</v>
      </c>
      <c r="B20" s="639"/>
      <c r="C20" s="639"/>
      <c r="D20" s="639"/>
      <c r="E20" s="639"/>
      <c r="F20" s="639"/>
      <c r="G20" s="639"/>
      <c r="H20" s="639"/>
      <c r="I20" s="639"/>
      <c r="J20" s="639"/>
      <c r="K20" s="639"/>
      <c r="L20" s="639"/>
      <c r="M20" s="639"/>
      <c r="N20" s="639"/>
    </row>
    <row r="21" spans="1:15" ht="15" customHeight="1">
      <c r="M21" s="640" t="s">
        <v>428</v>
      </c>
      <c r="N21" s="640"/>
    </row>
    <row r="22" spans="1:15" ht="15.75" customHeight="1">
      <c r="A22" s="494" t="s">
        <v>429</v>
      </c>
      <c r="B22" s="469"/>
      <c r="C22" s="469"/>
      <c r="D22" s="469"/>
      <c r="E22" s="469"/>
      <c r="F22" s="495"/>
      <c r="G22" s="495"/>
      <c r="H22" s="469"/>
      <c r="I22" s="469"/>
      <c r="J22" s="469"/>
      <c r="K22" s="469"/>
      <c r="L22" s="469"/>
      <c r="M22" s="637"/>
      <c r="N22" s="638"/>
    </row>
    <row r="23" spans="1:15" ht="15.75" customHeight="1">
      <c r="A23" s="494" t="s">
        <v>430</v>
      </c>
      <c r="B23" s="469"/>
      <c r="C23" s="469"/>
      <c r="D23" s="469"/>
      <c r="E23" s="469"/>
      <c r="F23" s="495"/>
      <c r="G23" s="495"/>
      <c r="H23" s="469"/>
      <c r="I23" s="469"/>
      <c r="J23" s="469"/>
      <c r="K23" s="469"/>
      <c r="L23" s="469"/>
      <c r="M23" s="637"/>
      <c r="N23" s="638"/>
    </row>
    <row r="24" spans="1:15" ht="15.75" customHeight="1">
      <c r="A24" s="494" t="s">
        <v>431</v>
      </c>
      <c r="B24" s="469"/>
      <c r="C24" s="469"/>
      <c r="D24" s="469"/>
      <c r="E24" s="469"/>
      <c r="F24" s="495"/>
      <c r="G24" s="495"/>
      <c r="H24" s="469"/>
      <c r="I24" s="469"/>
      <c r="J24" s="470"/>
      <c r="K24" s="470"/>
      <c r="L24" s="470"/>
      <c r="M24" s="637"/>
      <c r="N24" s="638"/>
    </row>
    <row r="25" spans="1:15" ht="15.75" customHeight="1">
      <c r="A25" s="494" t="s">
        <v>432</v>
      </c>
      <c r="B25" s="469"/>
      <c r="C25" s="469"/>
      <c r="D25" s="469"/>
      <c r="E25" s="469"/>
      <c r="F25" s="495"/>
      <c r="G25" s="495"/>
      <c r="H25" s="469"/>
      <c r="I25" s="469"/>
      <c r="J25" s="469"/>
      <c r="K25" s="469"/>
      <c r="L25" s="469"/>
      <c r="M25" s="637"/>
      <c r="N25" s="638"/>
    </row>
    <row r="26" spans="1:15" ht="15.75" customHeight="1">
      <c r="A26" s="494" t="s">
        <v>433</v>
      </c>
      <c r="B26" s="469"/>
      <c r="C26" s="469"/>
      <c r="D26" s="469"/>
      <c r="E26" s="469"/>
      <c r="F26" s="495"/>
      <c r="G26" s="495"/>
      <c r="H26" s="469"/>
      <c r="I26" s="469"/>
      <c r="J26" s="469"/>
      <c r="K26" s="469"/>
      <c r="L26" s="469"/>
      <c r="M26" s="637"/>
      <c r="N26" s="638"/>
    </row>
    <row r="27" spans="1:15" ht="15.75" customHeight="1">
      <c r="A27" s="494" t="s">
        <v>434</v>
      </c>
      <c r="B27" s="469"/>
      <c r="C27" s="469"/>
      <c r="D27" s="469"/>
      <c r="E27" s="469"/>
      <c r="F27" s="495"/>
      <c r="G27" s="495"/>
      <c r="H27" s="469"/>
      <c r="I27" s="469"/>
      <c r="J27" s="469"/>
      <c r="K27" s="469"/>
      <c r="L27" s="469"/>
      <c r="M27" s="637"/>
      <c r="N27" s="638"/>
    </row>
    <row r="28" spans="1:15" ht="15.75" customHeight="1">
      <c r="A28" s="494" t="s">
        <v>658</v>
      </c>
      <c r="B28" s="469"/>
      <c r="C28" s="469"/>
      <c r="D28" s="469"/>
      <c r="E28" s="469"/>
      <c r="F28" s="495"/>
      <c r="G28" s="495"/>
      <c r="H28" s="469"/>
      <c r="I28" s="469"/>
      <c r="J28" s="469"/>
      <c r="K28" s="469"/>
      <c r="L28" s="469"/>
      <c r="M28" s="637"/>
      <c r="N28" s="638"/>
    </row>
    <row r="29" spans="1:15" ht="15.75" customHeight="1">
      <c r="A29" s="494" t="s">
        <v>659</v>
      </c>
      <c r="B29" s="469"/>
      <c r="C29" s="469"/>
      <c r="D29" s="469"/>
      <c r="E29" s="469"/>
      <c r="F29" s="495"/>
      <c r="G29" s="495"/>
      <c r="H29" s="469"/>
      <c r="I29" s="469"/>
      <c r="J29" s="469"/>
      <c r="K29" s="469"/>
      <c r="L29" s="469"/>
    </row>
    <row r="30" spans="1:15" ht="15.75" customHeight="1">
      <c r="A30" s="469"/>
      <c r="B30" s="496" t="s">
        <v>660</v>
      </c>
      <c r="F30" s="497"/>
      <c r="G30" s="497"/>
      <c r="K30" s="498" t="str">
        <f>Sheet1!X283</f>
        <v/>
      </c>
      <c r="L30" s="499" t="s">
        <v>329</v>
      </c>
      <c r="M30" s="637"/>
      <c r="N30" s="638"/>
    </row>
    <row r="31" spans="1:15" ht="15.75" customHeight="1">
      <c r="A31" s="469"/>
      <c r="B31" s="499" t="s">
        <v>661</v>
      </c>
      <c r="C31" s="500"/>
      <c r="D31" s="501"/>
      <c r="E31" s="501"/>
      <c r="F31" s="502"/>
      <c r="G31" s="502"/>
      <c r="H31" s="501"/>
      <c r="I31" s="501"/>
      <c r="J31" s="501"/>
      <c r="K31" s="503" t="str">
        <f>Sheet1!X298</f>
        <v/>
      </c>
      <c r="L31" s="499" t="s">
        <v>329</v>
      </c>
      <c r="M31" s="637"/>
      <c r="N31" s="638"/>
    </row>
    <row r="32" spans="1:15" ht="15.75" customHeight="1">
      <c r="A32" s="469" t="s">
        <v>435</v>
      </c>
      <c r="B32" s="469"/>
      <c r="C32" s="469"/>
      <c r="D32" s="469"/>
      <c r="E32" s="469"/>
      <c r="F32" s="495"/>
      <c r="G32" s="495"/>
      <c r="H32" s="469"/>
      <c r="I32" s="469"/>
      <c r="J32" s="469"/>
      <c r="K32" s="469"/>
      <c r="L32" s="469"/>
      <c r="M32" s="637"/>
      <c r="N32" s="638"/>
    </row>
    <row r="33" spans="1:14" ht="15.75" customHeight="1" thickBot="1">
      <c r="A33" s="469" t="s">
        <v>436</v>
      </c>
      <c r="B33" s="469"/>
      <c r="C33" s="469"/>
      <c r="D33" s="469"/>
      <c r="E33" s="469"/>
      <c r="F33" s="469"/>
      <c r="G33" s="504" t="s">
        <v>437</v>
      </c>
      <c r="H33" s="504" t="s">
        <v>438</v>
      </c>
      <c r="I33" s="504" t="s">
        <v>439</v>
      </c>
      <c r="J33" s="469"/>
      <c r="K33" s="469"/>
      <c r="L33" s="469"/>
    </row>
    <row r="34" spans="1:14" ht="15.75" customHeight="1" thickTop="1">
      <c r="C34" s="496" t="s">
        <v>662</v>
      </c>
      <c r="D34" s="478"/>
      <c r="E34" s="478"/>
      <c r="F34" s="505"/>
      <c r="G34" s="506">
        <f>Sheet1!P446</f>
        <v>0</v>
      </c>
      <c r="H34" s="506">
        <f>Sheet1!P447</f>
        <v>0</v>
      </c>
      <c r="I34" s="507">
        <f>Sheet1!P448</f>
        <v>0</v>
      </c>
      <c r="K34" s="473"/>
      <c r="L34" s="473"/>
      <c r="M34" s="637"/>
      <c r="N34" s="638"/>
    </row>
    <row r="35" spans="1:14" ht="15.75" customHeight="1">
      <c r="C35" s="500" t="s">
        <v>663</v>
      </c>
      <c r="D35" s="499"/>
      <c r="E35" s="499"/>
      <c r="F35" s="508"/>
      <c r="G35" s="509">
        <f>Sheet1!T446</f>
        <v>0</v>
      </c>
      <c r="H35" s="509">
        <f>Sheet1!T447</f>
        <v>0</v>
      </c>
      <c r="I35" s="509">
        <f>Sheet1!T448</f>
        <v>0</v>
      </c>
      <c r="L35" s="473"/>
      <c r="M35" s="637"/>
      <c r="N35" s="638"/>
    </row>
    <row r="36" spans="1:14" ht="15.75" customHeight="1">
      <c r="A36" s="469" t="s">
        <v>664</v>
      </c>
      <c r="B36" s="469"/>
      <c r="C36" s="469"/>
      <c r="D36" s="469"/>
      <c r="E36" s="469"/>
      <c r="F36" s="495"/>
      <c r="G36" s="495"/>
      <c r="H36" s="469"/>
      <c r="I36" s="469"/>
      <c r="J36" s="469"/>
      <c r="K36" s="469"/>
      <c r="L36" s="470"/>
      <c r="M36" s="475"/>
      <c r="N36" s="475"/>
    </row>
    <row r="37" spans="1:14" ht="15.75" customHeight="1">
      <c r="A37" s="469"/>
      <c r="B37" s="469"/>
      <c r="C37" s="478" t="s">
        <v>665</v>
      </c>
      <c r="D37" s="510" t="str">
        <f>Sheet1!T458</f>
        <v/>
      </c>
      <c r="E37" s="469"/>
      <c r="F37" s="495"/>
      <c r="G37" s="495"/>
      <c r="H37" s="469"/>
      <c r="I37" s="469"/>
      <c r="J37" s="505"/>
      <c r="K37" s="511"/>
      <c r="L37" s="511"/>
      <c r="M37" s="637"/>
      <c r="N37" s="638"/>
    </row>
    <row r="38" spans="1:14" ht="15.75" customHeight="1">
      <c r="A38" s="469"/>
      <c r="B38" s="469"/>
      <c r="C38" s="478" t="s">
        <v>666</v>
      </c>
      <c r="D38" s="510" t="str">
        <f>Sheet1!T459</f>
        <v/>
      </c>
      <c r="E38" s="512" t="s">
        <v>667</v>
      </c>
      <c r="F38" s="495"/>
      <c r="G38" s="495"/>
      <c r="H38" s="469"/>
      <c r="I38" s="469"/>
      <c r="J38" s="513"/>
      <c r="K38" s="511"/>
      <c r="L38" s="511"/>
      <c r="M38" s="478"/>
      <c r="N38" s="478"/>
    </row>
    <row r="39" spans="1:14" ht="15.75" customHeight="1">
      <c r="A39" s="469"/>
      <c r="B39" s="469"/>
      <c r="C39" s="478" t="s">
        <v>668</v>
      </c>
      <c r="D39" s="469"/>
      <c r="E39" s="469"/>
      <c r="F39" s="495"/>
      <c r="G39" s="495"/>
      <c r="H39" s="469"/>
      <c r="I39" s="469"/>
      <c r="J39" s="505"/>
      <c r="K39" s="511"/>
      <c r="L39" s="511"/>
      <c r="M39" s="637"/>
      <c r="N39" s="638"/>
    </row>
    <row r="40" spans="1:14" ht="15.75" customHeight="1">
      <c r="A40" s="469" t="s">
        <v>669</v>
      </c>
      <c r="B40" s="469"/>
      <c r="C40" s="469"/>
      <c r="D40" s="469"/>
      <c r="E40" s="469"/>
      <c r="F40" s="469"/>
      <c r="G40" s="469"/>
      <c r="H40" s="469"/>
      <c r="I40" s="469"/>
      <c r="J40" s="469"/>
      <c r="K40" s="469"/>
      <c r="L40" s="469"/>
      <c r="M40" s="637"/>
      <c r="N40" s="638"/>
    </row>
    <row r="41" spans="1:14" ht="15.75" customHeight="1">
      <c r="A41" s="469" t="s">
        <v>670</v>
      </c>
      <c r="B41" s="469"/>
      <c r="C41" s="469"/>
      <c r="D41" s="469"/>
      <c r="E41" s="469"/>
      <c r="F41" s="469"/>
      <c r="G41" s="469"/>
      <c r="H41" s="469"/>
      <c r="I41" s="469"/>
      <c r="J41" s="469"/>
      <c r="K41" s="469"/>
      <c r="L41" s="469"/>
      <c r="M41" s="637"/>
      <c r="N41" s="638"/>
    </row>
    <row r="42" spans="1:14" ht="15.75" customHeight="1">
      <c r="A42" s="469" t="s">
        <v>671</v>
      </c>
      <c r="B42" s="469"/>
      <c r="C42" s="469"/>
      <c r="D42" s="469"/>
      <c r="E42" s="469"/>
      <c r="F42" s="469"/>
      <c r="G42" s="469"/>
      <c r="H42" s="469"/>
      <c r="I42" s="469"/>
      <c r="J42" s="469"/>
      <c r="K42" s="469"/>
      <c r="L42" s="469"/>
      <c r="M42" s="637"/>
      <c r="N42" s="638"/>
    </row>
    <row r="43" spans="1:14" ht="15.75" customHeight="1">
      <c r="A43" s="494" t="s">
        <v>672</v>
      </c>
      <c r="B43" s="494"/>
      <c r="C43" s="494"/>
      <c r="D43" s="494"/>
      <c r="E43" s="494"/>
      <c r="F43" s="494"/>
      <c r="G43" s="494"/>
      <c r="H43" s="494"/>
      <c r="I43" s="494"/>
      <c r="J43" s="494"/>
      <c r="K43" s="494"/>
      <c r="L43" s="469"/>
      <c r="M43" s="637"/>
      <c r="N43" s="642"/>
    </row>
    <row r="44" spans="1:14" ht="15.75" customHeight="1">
      <c r="A44" s="469" t="s">
        <v>673</v>
      </c>
      <c r="B44" s="469"/>
      <c r="C44" s="469"/>
      <c r="D44" s="469"/>
      <c r="E44" s="469"/>
      <c r="F44" s="469"/>
      <c r="G44" s="469"/>
      <c r="H44" s="469"/>
      <c r="I44" s="469"/>
      <c r="J44" s="469"/>
      <c r="K44" s="469"/>
      <c r="L44" s="469"/>
      <c r="M44" s="637"/>
      <c r="N44" s="638"/>
    </row>
    <row r="45" spans="1:14" ht="15.75" customHeight="1">
      <c r="A45" s="469" t="s">
        <v>674</v>
      </c>
      <c r="B45" s="469"/>
      <c r="C45" s="469"/>
      <c r="D45" s="469"/>
      <c r="E45" s="469"/>
      <c r="F45" s="469"/>
      <c r="G45" s="469"/>
      <c r="H45" s="469"/>
      <c r="I45" s="469"/>
      <c r="J45" s="469"/>
      <c r="K45" s="469"/>
      <c r="L45" s="469"/>
      <c r="M45" s="637"/>
      <c r="N45" s="638"/>
    </row>
    <row r="46" spans="1:14" ht="15.75" customHeight="1">
      <c r="A46" s="469" t="s">
        <v>675</v>
      </c>
      <c r="B46" s="469"/>
      <c r="C46" s="469"/>
      <c r="D46" s="469"/>
      <c r="E46" s="469"/>
      <c r="F46" s="469"/>
      <c r="G46" s="469"/>
      <c r="H46" s="469"/>
      <c r="I46" s="469"/>
      <c r="J46" s="469"/>
      <c r="K46" s="469"/>
      <c r="L46" s="469"/>
      <c r="M46" s="637"/>
      <c r="N46" s="638"/>
    </row>
    <row r="47" spans="1:14" ht="15.75" customHeight="1">
      <c r="A47" s="469"/>
      <c r="B47" s="469"/>
      <c r="C47" s="469"/>
      <c r="D47" s="469"/>
      <c r="E47" s="469"/>
      <c r="F47" s="469"/>
      <c r="G47" s="469"/>
      <c r="H47" s="469"/>
      <c r="I47" s="469"/>
      <c r="J47" s="469"/>
      <c r="K47" s="469"/>
      <c r="L47" s="469"/>
      <c r="M47" s="511"/>
      <c r="N47" s="511"/>
    </row>
    <row r="48" spans="1:14" ht="15.75" customHeight="1">
      <c r="A48" s="641" t="s">
        <v>676</v>
      </c>
      <c r="B48" s="641"/>
      <c r="C48" s="641"/>
      <c r="D48" s="641"/>
      <c r="E48" s="641"/>
      <c r="F48" s="641"/>
      <c r="G48" s="641"/>
      <c r="H48" s="641"/>
      <c r="I48" s="641"/>
      <c r="J48" s="641"/>
      <c r="K48" s="641"/>
      <c r="L48" s="641"/>
      <c r="M48" s="641"/>
      <c r="N48" s="641"/>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97" priority="7" stopIfTrue="1" operator="equal">
      <formula>"Fail"</formula>
    </cfRule>
  </conditionalFormatting>
  <conditionalFormatting sqref="M41:N41">
    <cfRule type="cellIs" dxfId="96" priority="6" stopIfTrue="1" operator="equal">
      <formula>"Fail"</formula>
    </cfRule>
  </conditionalFormatting>
  <conditionalFormatting sqref="M34:N34">
    <cfRule type="cellIs" dxfId="95" priority="5" stopIfTrue="1" operator="equal">
      <formula>"Fail"</formula>
    </cfRule>
  </conditionalFormatting>
  <conditionalFormatting sqref="M31:N31">
    <cfRule type="cellIs" dxfId="94" priority="2" stopIfTrue="1" operator="equal">
      <formula>"Fail"</formula>
    </cfRule>
  </conditionalFormatting>
  <conditionalFormatting sqref="M35:N35">
    <cfRule type="cellIs" dxfId="93" priority="4" stopIfTrue="1" operator="equal">
      <formula>"Fail"</formula>
    </cfRule>
  </conditionalFormatting>
  <conditionalFormatting sqref="M30:N30">
    <cfRule type="cellIs" dxfId="92" priority="3" stopIfTrue="1" operator="equal">
      <formula>"Fail"</formula>
    </cfRule>
  </conditionalFormatting>
  <conditionalFormatting sqref="M46:N46">
    <cfRule type="cellIs" dxfId="91"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67" customWidth="1"/>
    <col min="2" max="2" width="18.125" style="467" customWidth="1"/>
    <col min="3" max="4" width="8.625" style="467" customWidth="1"/>
    <col min="5" max="5" width="5.75" style="467" customWidth="1"/>
    <col min="6" max="6" width="3.25" style="467" customWidth="1"/>
    <col min="7" max="7" width="13.75" style="467" customWidth="1"/>
    <col min="8" max="8" width="11.125" style="467" customWidth="1"/>
    <col min="9" max="9" width="9.25" style="467" customWidth="1"/>
    <col min="10" max="10" width="8.375" style="467" customWidth="1"/>
    <col min="11" max="11" width="9" style="467"/>
    <col min="12" max="12" width="4.125" style="467" customWidth="1"/>
    <col min="13" max="16384" width="9" style="467"/>
  </cols>
  <sheetData>
    <row r="1" spans="1:12" ht="27" customHeight="1">
      <c r="A1" s="646" t="s">
        <v>407</v>
      </c>
      <c r="B1" s="646"/>
      <c r="C1" s="646"/>
      <c r="D1" s="646"/>
      <c r="E1" s="646"/>
      <c r="F1" s="646"/>
      <c r="G1" s="646"/>
      <c r="H1" s="646"/>
      <c r="I1" s="646"/>
      <c r="J1" s="646"/>
      <c r="K1" s="646"/>
      <c r="L1" s="646"/>
    </row>
    <row r="2" spans="1:12" ht="18" customHeight="1">
      <c r="A2" s="647" t="s">
        <v>677</v>
      </c>
      <c r="B2" s="648"/>
      <c r="C2" s="648"/>
      <c r="D2" s="648"/>
      <c r="E2" s="648"/>
      <c r="F2" s="648"/>
      <c r="G2" s="648"/>
      <c r="H2" s="648"/>
      <c r="I2" s="648"/>
      <c r="J2" s="648"/>
      <c r="K2" s="648"/>
      <c r="L2" s="648"/>
    </row>
    <row r="3" spans="1:12" ht="15.75" customHeight="1"/>
    <row r="4" spans="1:12" ht="24" customHeight="1">
      <c r="A4" s="649" t="s">
        <v>442</v>
      </c>
      <c r="B4" s="649"/>
      <c r="C4" s="649"/>
      <c r="D4" s="649"/>
      <c r="E4" s="649"/>
      <c r="F4" s="649"/>
      <c r="G4" s="649"/>
      <c r="H4" s="649"/>
      <c r="I4" s="649"/>
      <c r="J4" s="649"/>
      <c r="K4" s="649"/>
      <c r="L4" s="649"/>
    </row>
    <row r="5" spans="1:12" ht="42" customHeight="1">
      <c r="A5" s="650" t="s">
        <v>678</v>
      </c>
      <c r="B5" s="650"/>
      <c r="C5" s="650"/>
      <c r="D5" s="650"/>
      <c r="E5" s="650"/>
      <c r="F5" s="650"/>
      <c r="G5" s="650"/>
      <c r="H5" s="650"/>
      <c r="I5" s="650"/>
      <c r="J5" s="650"/>
      <c r="K5" s="650"/>
      <c r="L5" s="650"/>
    </row>
    <row r="6" spans="1:12" ht="15" customHeight="1">
      <c r="A6" s="514" t="s">
        <v>679</v>
      </c>
      <c r="B6" s="515"/>
      <c r="C6" s="515"/>
      <c r="D6" s="515"/>
      <c r="E6" s="515"/>
      <c r="F6" s="515"/>
      <c r="G6" s="515"/>
      <c r="H6" s="515"/>
      <c r="I6" s="516"/>
      <c r="J6" s="517"/>
      <c r="K6" s="517"/>
      <c r="L6" s="518"/>
    </row>
    <row r="7" spans="1:12" ht="15" customHeight="1">
      <c r="A7" s="519" t="s">
        <v>680</v>
      </c>
      <c r="B7" s="520"/>
      <c r="C7" s="520"/>
      <c r="D7" s="520"/>
      <c r="E7" s="520"/>
      <c r="F7" s="520"/>
      <c r="G7" s="520"/>
      <c r="H7" s="520"/>
      <c r="I7" s="520"/>
      <c r="J7" s="520"/>
      <c r="K7" s="520"/>
      <c r="L7" s="521"/>
    </row>
    <row r="8" spans="1:12" ht="15" customHeight="1">
      <c r="J8" s="651"/>
      <c r="K8" s="651"/>
      <c r="L8" s="651"/>
    </row>
    <row r="9" spans="1:12" ht="15" customHeight="1">
      <c r="A9" s="473"/>
      <c r="E9" s="473"/>
      <c r="H9" s="522" t="s">
        <v>443</v>
      </c>
      <c r="I9" s="490"/>
      <c r="J9" s="652" t="s">
        <v>428</v>
      </c>
      <c r="K9" s="652"/>
      <c r="L9" s="652"/>
    </row>
    <row r="10" spans="1:12" ht="15.75" customHeight="1">
      <c r="A10" s="523" t="s">
        <v>444</v>
      </c>
      <c r="B10" s="524" t="s">
        <v>681</v>
      </c>
      <c r="H10" s="525" t="s">
        <v>445</v>
      </c>
      <c r="J10" s="643"/>
      <c r="K10" s="644"/>
      <c r="L10" s="645"/>
    </row>
    <row r="11" spans="1:12" ht="15.75" customHeight="1">
      <c r="A11" s="526" t="s">
        <v>446</v>
      </c>
      <c r="B11" s="524" t="s">
        <v>447</v>
      </c>
      <c r="H11" s="525" t="s">
        <v>445</v>
      </c>
      <c r="J11" s="643"/>
      <c r="K11" s="644"/>
      <c r="L11" s="645"/>
    </row>
    <row r="12" spans="1:12" ht="15.75" customHeight="1">
      <c r="A12" s="526" t="s">
        <v>448</v>
      </c>
      <c r="B12" s="524" t="s">
        <v>175</v>
      </c>
      <c r="H12" s="525" t="s">
        <v>445</v>
      </c>
      <c r="J12" s="643"/>
      <c r="K12" s="644"/>
      <c r="L12" s="645"/>
    </row>
    <row r="13" spans="1:12" ht="15.75" customHeight="1">
      <c r="A13" s="526" t="s">
        <v>449</v>
      </c>
      <c r="B13" s="524" t="s">
        <v>450</v>
      </c>
      <c r="H13" s="525" t="s">
        <v>445</v>
      </c>
      <c r="J13" s="643"/>
      <c r="K13" s="644"/>
      <c r="L13" s="645"/>
    </row>
    <row r="14" spans="1:12" ht="15.75" customHeight="1">
      <c r="A14" s="526" t="s">
        <v>451</v>
      </c>
      <c r="B14" s="524" t="s">
        <v>452</v>
      </c>
      <c r="H14" s="525" t="s">
        <v>445</v>
      </c>
      <c r="J14" s="643"/>
      <c r="K14" s="644"/>
      <c r="L14" s="645"/>
    </row>
    <row r="15" spans="1:12" ht="15.75" customHeight="1">
      <c r="A15" s="526" t="s">
        <v>453</v>
      </c>
      <c r="B15" s="524" t="s">
        <v>454</v>
      </c>
      <c r="H15" s="525" t="s">
        <v>445</v>
      </c>
      <c r="J15" s="643"/>
      <c r="K15" s="644"/>
      <c r="L15" s="645"/>
    </row>
    <row r="16" spans="1:12" ht="15.75" customHeight="1">
      <c r="A16" s="526" t="s">
        <v>455</v>
      </c>
      <c r="B16" s="527" t="s">
        <v>166</v>
      </c>
      <c r="H16" s="525" t="s">
        <v>456</v>
      </c>
      <c r="J16" s="643"/>
      <c r="K16" s="644"/>
      <c r="L16" s="645"/>
    </row>
    <row r="17" spans="1:12" ht="15.75" customHeight="1">
      <c r="A17" s="526" t="s">
        <v>457</v>
      </c>
      <c r="B17" s="527" t="s">
        <v>458</v>
      </c>
      <c r="H17" s="525" t="s">
        <v>459</v>
      </c>
      <c r="J17" s="643"/>
      <c r="K17" s="644"/>
      <c r="L17" s="645"/>
    </row>
    <row r="18" spans="1:12" ht="15.75" customHeight="1">
      <c r="A18" s="523" t="s">
        <v>460</v>
      </c>
      <c r="B18" s="524" t="s">
        <v>461</v>
      </c>
      <c r="H18" s="525" t="s">
        <v>462</v>
      </c>
      <c r="J18" s="643"/>
      <c r="K18" s="644"/>
      <c r="L18" s="645"/>
    </row>
    <row r="19" spans="1:12" ht="15.75" customHeight="1">
      <c r="A19" s="523" t="s">
        <v>463</v>
      </c>
      <c r="B19" s="524" t="s">
        <v>464</v>
      </c>
      <c r="H19" s="528" t="s">
        <v>465</v>
      </c>
      <c r="J19" s="643"/>
      <c r="K19" s="644"/>
      <c r="L19" s="645"/>
    </row>
    <row r="20" spans="1:12" ht="15.75" customHeight="1">
      <c r="A20" s="529" t="s">
        <v>466</v>
      </c>
      <c r="B20" s="524" t="s">
        <v>682</v>
      </c>
      <c r="C20" s="501"/>
      <c r="D20" s="501"/>
      <c r="E20" s="501"/>
      <c r="F20" s="501"/>
      <c r="G20" s="501"/>
      <c r="H20" s="530" t="s">
        <v>465</v>
      </c>
      <c r="J20" s="643"/>
      <c r="K20" s="644"/>
      <c r="L20" s="645"/>
    </row>
    <row r="21" spans="1:12" ht="15.75" customHeight="1">
      <c r="A21" s="523" t="s">
        <v>467</v>
      </c>
      <c r="B21" s="524" t="s">
        <v>683</v>
      </c>
      <c r="H21" s="528" t="s">
        <v>684</v>
      </c>
      <c r="J21" s="643"/>
      <c r="K21" s="644"/>
      <c r="L21" s="645"/>
    </row>
    <row r="22" spans="1:12" ht="15.75" customHeight="1">
      <c r="A22" s="523" t="s">
        <v>685</v>
      </c>
      <c r="B22" s="524" t="s">
        <v>686</v>
      </c>
      <c r="H22" s="525" t="s">
        <v>687</v>
      </c>
      <c r="J22" s="643"/>
      <c r="K22" s="644"/>
      <c r="L22" s="645"/>
    </row>
    <row r="23" spans="1:12" ht="15.75" customHeight="1"/>
    <row r="24" spans="1:12" ht="24" customHeight="1">
      <c r="A24" s="653" t="s">
        <v>468</v>
      </c>
      <c r="B24" s="653"/>
      <c r="C24" s="653"/>
      <c r="D24" s="653"/>
      <c r="E24" s="653"/>
      <c r="F24" s="653"/>
      <c r="G24" s="653"/>
      <c r="H24" s="653"/>
      <c r="I24" s="653"/>
      <c r="J24" s="653"/>
      <c r="K24" s="653"/>
      <c r="L24" s="653"/>
    </row>
    <row r="25" spans="1:12" ht="15" customHeight="1"/>
    <row r="26" spans="1:12" ht="241.5" customHeight="1">
      <c r="A26" s="654"/>
      <c r="B26" s="655"/>
      <c r="C26" s="655"/>
      <c r="D26" s="655"/>
      <c r="E26" s="655"/>
      <c r="F26" s="655"/>
      <c r="G26" s="655"/>
      <c r="H26" s="655"/>
      <c r="I26" s="655"/>
      <c r="J26" s="655"/>
      <c r="K26" s="655"/>
      <c r="L26" s="656"/>
    </row>
    <row r="27" spans="1:12" ht="15" customHeight="1" thickBot="1"/>
    <row r="28" spans="1:12" ht="204.75" customHeight="1" thickBot="1">
      <c r="A28" s="657" t="s">
        <v>688</v>
      </c>
      <c r="B28" s="658"/>
      <c r="C28" s="658"/>
      <c r="D28" s="658"/>
      <c r="E28" s="658"/>
      <c r="F28" s="658"/>
      <c r="G28" s="658"/>
      <c r="H28" s="658"/>
      <c r="I28" s="658"/>
      <c r="J28" s="658"/>
      <c r="K28" s="658"/>
      <c r="L28" s="659"/>
    </row>
    <row r="33" spans="2:12" ht="18" customHeight="1">
      <c r="B33" s="469"/>
      <c r="C33" s="469"/>
      <c r="D33" s="469"/>
      <c r="E33" s="469"/>
      <c r="F33" s="469"/>
      <c r="G33" s="469"/>
      <c r="H33" s="469"/>
      <c r="I33" s="469"/>
      <c r="J33" s="469"/>
      <c r="K33" s="469"/>
      <c r="L33" s="469"/>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90" priority="2" stopIfTrue="1" operator="equal">
      <formula>"Fail"</formula>
    </cfRule>
  </conditionalFormatting>
  <conditionalFormatting sqref="J21:L21">
    <cfRule type="cellIs" dxfId="89"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67" customWidth="1"/>
    <col min="2" max="2" width="6.5" style="467" customWidth="1"/>
    <col min="3" max="3" width="36.25" style="467" customWidth="1"/>
    <col min="4" max="4" width="9.875" style="467" customWidth="1"/>
    <col min="5" max="5" width="15.5" style="467" customWidth="1"/>
    <col min="6" max="7" width="9" style="467"/>
    <col min="8" max="8" width="10.875" style="467" customWidth="1"/>
    <col min="9" max="256" width="9" style="467"/>
    <col min="257" max="257" width="13.5" style="467" customWidth="1"/>
    <col min="258" max="258" width="6.5" style="467" customWidth="1"/>
    <col min="259" max="259" width="36.25" style="467" customWidth="1"/>
    <col min="260" max="260" width="9.875" style="467" customWidth="1"/>
    <col min="261" max="261" width="15.5" style="467" customWidth="1"/>
    <col min="262" max="263" width="9" style="467"/>
    <col min="264" max="264" width="10.875" style="467" customWidth="1"/>
    <col min="265" max="512" width="9" style="467"/>
    <col min="513" max="513" width="13.5" style="467" customWidth="1"/>
    <col min="514" max="514" width="6.5" style="467" customWidth="1"/>
    <col min="515" max="515" width="36.25" style="467" customWidth="1"/>
    <col min="516" max="516" width="9.875" style="467" customWidth="1"/>
    <col min="517" max="517" width="15.5" style="467" customWidth="1"/>
    <col min="518" max="519" width="9" style="467"/>
    <col min="520" max="520" width="10.875" style="467" customWidth="1"/>
    <col min="521" max="768" width="9" style="467"/>
    <col min="769" max="769" width="13.5" style="467" customWidth="1"/>
    <col min="770" max="770" width="6.5" style="467" customWidth="1"/>
    <col min="771" max="771" width="36.25" style="467" customWidth="1"/>
    <col min="772" max="772" width="9.875" style="467" customWidth="1"/>
    <col min="773" max="773" width="15.5" style="467" customWidth="1"/>
    <col min="774" max="775" width="9" style="467"/>
    <col min="776" max="776" width="10.875" style="467" customWidth="1"/>
    <col min="777" max="1024" width="9" style="467"/>
    <col min="1025" max="1025" width="13.5" style="467" customWidth="1"/>
    <col min="1026" max="1026" width="6.5" style="467" customWidth="1"/>
    <col min="1027" max="1027" width="36.25" style="467" customWidth="1"/>
    <col min="1028" max="1028" width="9.875" style="467" customWidth="1"/>
    <col min="1029" max="1029" width="15.5" style="467" customWidth="1"/>
    <col min="1030" max="1031" width="9" style="467"/>
    <col min="1032" max="1032" width="10.875" style="467" customWidth="1"/>
    <col min="1033" max="1280" width="9" style="467"/>
    <col min="1281" max="1281" width="13.5" style="467" customWidth="1"/>
    <col min="1282" max="1282" width="6.5" style="467" customWidth="1"/>
    <col min="1283" max="1283" width="36.25" style="467" customWidth="1"/>
    <col min="1284" max="1284" width="9.875" style="467" customWidth="1"/>
    <col min="1285" max="1285" width="15.5" style="467" customWidth="1"/>
    <col min="1286" max="1287" width="9" style="467"/>
    <col min="1288" max="1288" width="10.875" style="467" customWidth="1"/>
    <col min="1289" max="1536" width="9" style="467"/>
    <col min="1537" max="1537" width="13.5" style="467" customWidth="1"/>
    <col min="1538" max="1538" width="6.5" style="467" customWidth="1"/>
    <col min="1539" max="1539" width="36.25" style="467" customWidth="1"/>
    <col min="1540" max="1540" width="9.875" style="467" customWidth="1"/>
    <col min="1541" max="1541" width="15.5" style="467" customWidth="1"/>
    <col min="1542" max="1543" width="9" style="467"/>
    <col min="1544" max="1544" width="10.875" style="467" customWidth="1"/>
    <col min="1545" max="1792" width="9" style="467"/>
    <col min="1793" max="1793" width="13.5" style="467" customWidth="1"/>
    <col min="1794" max="1794" width="6.5" style="467" customWidth="1"/>
    <col min="1795" max="1795" width="36.25" style="467" customWidth="1"/>
    <col min="1796" max="1796" width="9.875" style="467" customWidth="1"/>
    <col min="1797" max="1797" width="15.5" style="467" customWidth="1"/>
    <col min="1798" max="1799" width="9" style="467"/>
    <col min="1800" max="1800" width="10.875" style="467" customWidth="1"/>
    <col min="1801" max="2048" width="9" style="467"/>
    <col min="2049" max="2049" width="13.5" style="467" customWidth="1"/>
    <col min="2050" max="2050" width="6.5" style="467" customWidth="1"/>
    <col min="2051" max="2051" width="36.25" style="467" customWidth="1"/>
    <col min="2052" max="2052" width="9.875" style="467" customWidth="1"/>
    <col min="2053" max="2053" width="15.5" style="467" customWidth="1"/>
    <col min="2054" max="2055" width="9" style="467"/>
    <col min="2056" max="2056" width="10.875" style="467" customWidth="1"/>
    <col min="2057" max="2304" width="9" style="467"/>
    <col min="2305" max="2305" width="13.5" style="467" customWidth="1"/>
    <col min="2306" max="2306" width="6.5" style="467" customWidth="1"/>
    <col min="2307" max="2307" width="36.25" style="467" customWidth="1"/>
    <col min="2308" max="2308" width="9.875" style="467" customWidth="1"/>
    <col min="2309" max="2309" width="15.5" style="467" customWidth="1"/>
    <col min="2310" max="2311" width="9" style="467"/>
    <col min="2312" max="2312" width="10.875" style="467" customWidth="1"/>
    <col min="2313" max="2560" width="9" style="467"/>
    <col min="2561" max="2561" width="13.5" style="467" customWidth="1"/>
    <col min="2562" max="2562" width="6.5" style="467" customWidth="1"/>
    <col min="2563" max="2563" width="36.25" style="467" customWidth="1"/>
    <col min="2564" max="2564" width="9.875" style="467" customWidth="1"/>
    <col min="2565" max="2565" width="15.5" style="467" customWidth="1"/>
    <col min="2566" max="2567" width="9" style="467"/>
    <col min="2568" max="2568" width="10.875" style="467" customWidth="1"/>
    <col min="2569" max="2816" width="9" style="467"/>
    <col min="2817" max="2817" width="13.5" style="467" customWidth="1"/>
    <col min="2818" max="2818" width="6.5" style="467" customWidth="1"/>
    <col min="2819" max="2819" width="36.25" style="467" customWidth="1"/>
    <col min="2820" max="2820" width="9.875" style="467" customWidth="1"/>
    <col min="2821" max="2821" width="15.5" style="467" customWidth="1"/>
    <col min="2822" max="2823" width="9" style="467"/>
    <col min="2824" max="2824" width="10.875" style="467" customWidth="1"/>
    <col min="2825" max="3072" width="9" style="467"/>
    <col min="3073" max="3073" width="13.5" style="467" customWidth="1"/>
    <col min="3074" max="3074" width="6.5" style="467" customWidth="1"/>
    <col min="3075" max="3075" width="36.25" style="467" customWidth="1"/>
    <col min="3076" max="3076" width="9.875" style="467" customWidth="1"/>
    <col min="3077" max="3077" width="15.5" style="467" customWidth="1"/>
    <col min="3078" max="3079" width="9" style="467"/>
    <col min="3080" max="3080" width="10.875" style="467" customWidth="1"/>
    <col min="3081" max="3328" width="9" style="467"/>
    <col min="3329" max="3329" width="13.5" style="467" customWidth="1"/>
    <col min="3330" max="3330" width="6.5" style="467" customWidth="1"/>
    <col min="3331" max="3331" width="36.25" style="467" customWidth="1"/>
    <col min="3332" max="3332" width="9.875" style="467" customWidth="1"/>
    <col min="3333" max="3333" width="15.5" style="467" customWidth="1"/>
    <col min="3334" max="3335" width="9" style="467"/>
    <col min="3336" max="3336" width="10.875" style="467" customWidth="1"/>
    <col min="3337" max="3584" width="9" style="467"/>
    <col min="3585" max="3585" width="13.5" style="467" customWidth="1"/>
    <col min="3586" max="3586" width="6.5" style="467" customWidth="1"/>
    <col min="3587" max="3587" width="36.25" style="467" customWidth="1"/>
    <col min="3588" max="3588" width="9.875" style="467" customWidth="1"/>
    <col min="3589" max="3589" width="15.5" style="467" customWidth="1"/>
    <col min="3590" max="3591" width="9" style="467"/>
    <col min="3592" max="3592" width="10.875" style="467" customWidth="1"/>
    <col min="3593" max="3840" width="9" style="467"/>
    <col min="3841" max="3841" width="13.5" style="467" customWidth="1"/>
    <col min="3842" max="3842" width="6.5" style="467" customWidth="1"/>
    <col min="3843" max="3843" width="36.25" style="467" customWidth="1"/>
    <col min="3844" max="3844" width="9.875" style="467" customWidth="1"/>
    <col min="3845" max="3845" width="15.5" style="467" customWidth="1"/>
    <col min="3846" max="3847" width="9" style="467"/>
    <col min="3848" max="3848" width="10.875" style="467" customWidth="1"/>
    <col min="3849" max="4096" width="9" style="467"/>
    <col min="4097" max="4097" width="13.5" style="467" customWidth="1"/>
    <col min="4098" max="4098" width="6.5" style="467" customWidth="1"/>
    <col min="4099" max="4099" width="36.25" style="467" customWidth="1"/>
    <col min="4100" max="4100" width="9.875" style="467" customWidth="1"/>
    <col min="4101" max="4101" width="15.5" style="467" customWidth="1"/>
    <col min="4102" max="4103" width="9" style="467"/>
    <col min="4104" max="4104" width="10.875" style="467" customWidth="1"/>
    <col min="4105" max="4352" width="9" style="467"/>
    <col min="4353" max="4353" width="13.5" style="467" customWidth="1"/>
    <col min="4354" max="4354" width="6.5" style="467" customWidth="1"/>
    <col min="4355" max="4355" width="36.25" style="467" customWidth="1"/>
    <col min="4356" max="4356" width="9.875" style="467" customWidth="1"/>
    <col min="4357" max="4357" width="15.5" style="467" customWidth="1"/>
    <col min="4358" max="4359" width="9" style="467"/>
    <col min="4360" max="4360" width="10.875" style="467" customWidth="1"/>
    <col min="4361" max="4608" width="9" style="467"/>
    <col min="4609" max="4609" width="13.5" style="467" customWidth="1"/>
    <col min="4610" max="4610" width="6.5" style="467" customWidth="1"/>
    <col min="4611" max="4611" width="36.25" style="467" customWidth="1"/>
    <col min="4612" max="4612" width="9.875" style="467" customWidth="1"/>
    <col min="4613" max="4613" width="15.5" style="467" customWidth="1"/>
    <col min="4614" max="4615" width="9" style="467"/>
    <col min="4616" max="4616" width="10.875" style="467" customWidth="1"/>
    <col min="4617" max="4864" width="9" style="467"/>
    <col min="4865" max="4865" width="13.5" style="467" customWidth="1"/>
    <col min="4866" max="4866" width="6.5" style="467" customWidth="1"/>
    <col min="4867" max="4867" width="36.25" style="467" customWidth="1"/>
    <col min="4868" max="4868" width="9.875" style="467" customWidth="1"/>
    <col min="4869" max="4869" width="15.5" style="467" customWidth="1"/>
    <col min="4870" max="4871" width="9" style="467"/>
    <col min="4872" max="4872" width="10.875" style="467" customWidth="1"/>
    <col min="4873" max="5120" width="9" style="467"/>
    <col min="5121" max="5121" width="13.5" style="467" customWidth="1"/>
    <col min="5122" max="5122" width="6.5" style="467" customWidth="1"/>
    <col min="5123" max="5123" width="36.25" style="467" customWidth="1"/>
    <col min="5124" max="5124" width="9.875" style="467" customWidth="1"/>
    <col min="5125" max="5125" width="15.5" style="467" customWidth="1"/>
    <col min="5126" max="5127" width="9" style="467"/>
    <col min="5128" max="5128" width="10.875" style="467" customWidth="1"/>
    <col min="5129" max="5376" width="9" style="467"/>
    <col min="5377" max="5377" width="13.5" style="467" customWidth="1"/>
    <col min="5378" max="5378" width="6.5" style="467" customWidth="1"/>
    <col min="5379" max="5379" width="36.25" style="467" customWidth="1"/>
    <col min="5380" max="5380" width="9.875" style="467" customWidth="1"/>
    <col min="5381" max="5381" width="15.5" style="467" customWidth="1"/>
    <col min="5382" max="5383" width="9" style="467"/>
    <col min="5384" max="5384" width="10.875" style="467" customWidth="1"/>
    <col min="5385" max="5632" width="9" style="467"/>
    <col min="5633" max="5633" width="13.5" style="467" customWidth="1"/>
    <col min="5634" max="5634" width="6.5" style="467" customWidth="1"/>
    <col min="5635" max="5635" width="36.25" style="467" customWidth="1"/>
    <col min="5636" max="5636" width="9.875" style="467" customWidth="1"/>
    <col min="5637" max="5637" width="15.5" style="467" customWidth="1"/>
    <col min="5638" max="5639" width="9" style="467"/>
    <col min="5640" max="5640" width="10.875" style="467" customWidth="1"/>
    <col min="5641" max="5888" width="9" style="467"/>
    <col min="5889" max="5889" width="13.5" style="467" customWidth="1"/>
    <col min="5890" max="5890" width="6.5" style="467" customWidth="1"/>
    <col min="5891" max="5891" width="36.25" style="467" customWidth="1"/>
    <col min="5892" max="5892" width="9.875" style="467" customWidth="1"/>
    <col min="5893" max="5893" width="15.5" style="467" customWidth="1"/>
    <col min="5894" max="5895" width="9" style="467"/>
    <col min="5896" max="5896" width="10.875" style="467" customWidth="1"/>
    <col min="5897" max="6144" width="9" style="467"/>
    <col min="6145" max="6145" width="13.5" style="467" customWidth="1"/>
    <col min="6146" max="6146" width="6.5" style="467" customWidth="1"/>
    <col min="6147" max="6147" width="36.25" style="467" customWidth="1"/>
    <col min="6148" max="6148" width="9.875" style="467" customWidth="1"/>
    <col min="6149" max="6149" width="15.5" style="467" customWidth="1"/>
    <col min="6150" max="6151" width="9" style="467"/>
    <col min="6152" max="6152" width="10.875" style="467" customWidth="1"/>
    <col min="6153" max="6400" width="9" style="467"/>
    <col min="6401" max="6401" width="13.5" style="467" customWidth="1"/>
    <col min="6402" max="6402" width="6.5" style="467" customWidth="1"/>
    <col min="6403" max="6403" width="36.25" style="467" customWidth="1"/>
    <col min="6404" max="6404" width="9.875" style="467" customWidth="1"/>
    <col min="6405" max="6405" width="15.5" style="467" customWidth="1"/>
    <col min="6406" max="6407" width="9" style="467"/>
    <col min="6408" max="6408" width="10.875" style="467" customWidth="1"/>
    <col min="6409" max="6656" width="9" style="467"/>
    <col min="6657" max="6657" width="13.5" style="467" customWidth="1"/>
    <col min="6658" max="6658" width="6.5" style="467" customWidth="1"/>
    <col min="6659" max="6659" width="36.25" style="467" customWidth="1"/>
    <col min="6660" max="6660" width="9.875" style="467" customWidth="1"/>
    <col min="6661" max="6661" width="15.5" style="467" customWidth="1"/>
    <col min="6662" max="6663" width="9" style="467"/>
    <col min="6664" max="6664" width="10.875" style="467" customWidth="1"/>
    <col min="6665" max="6912" width="9" style="467"/>
    <col min="6913" max="6913" width="13.5" style="467" customWidth="1"/>
    <col min="6914" max="6914" width="6.5" style="467" customWidth="1"/>
    <col min="6915" max="6915" width="36.25" style="467" customWidth="1"/>
    <col min="6916" max="6916" width="9.875" style="467" customWidth="1"/>
    <col min="6917" max="6917" width="15.5" style="467" customWidth="1"/>
    <col min="6918" max="6919" width="9" style="467"/>
    <col min="6920" max="6920" width="10.875" style="467" customWidth="1"/>
    <col min="6921" max="7168" width="9" style="467"/>
    <col min="7169" max="7169" width="13.5" style="467" customWidth="1"/>
    <col min="7170" max="7170" width="6.5" style="467" customWidth="1"/>
    <col min="7171" max="7171" width="36.25" style="467" customWidth="1"/>
    <col min="7172" max="7172" width="9.875" style="467" customWidth="1"/>
    <col min="7173" max="7173" width="15.5" style="467" customWidth="1"/>
    <col min="7174" max="7175" width="9" style="467"/>
    <col min="7176" max="7176" width="10.875" style="467" customWidth="1"/>
    <col min="7177" max="7424" width="9" style="467"/>
    <col min="7425" max="7425" width="13.5" style="467" customWidth="1"/>
    <col min="7426" max="7426" width="6.5" style="467" customWidth="1"/>
    <col min="7427" max="7427" width="36.25" style="467" customWidth="1"/>
    <col min="7428" max="7428" width="9.875" style="467" customWidth="1"/>
    <col min="7429" max="7429" width="15.5" style="467" customWidth="1"/>
    <col min="7430" max="7431" width="9" style="467"/>
    <col min="7432" max="7432" width="10.875" style="467" customWidth="1"/>
    <col min="7433" max="7680" width="9" style="467"/>
    <col min="7681" max="7681" width="13.5" style="467" customWidth="1"/>
    <col min="7682" max="7682" width="6.5" style="467" customWidth="1"/>
    <col min="7683" max="7683" width="36.25" style="467" customWidth="1"/>
    <col min="7684" max="7684" width="9.875" style="467" customWidth="1"/>
    <col min="7685" max="7685" width="15.5" style="467" customWidth="1"/>
    <col min="7686" max="7687" width="9" style="467"/>
    <col min="7688" max="7688" width="10.875" style="467" customWidth="1"/>
    <col min="7689" max="7936" width="9" style="467"/>
    <col min="7937" max="7937" width="13.5" style="467" customWidth="1"/>
    <col min="7938" max="7938" width="6.5" style="467" customWidth="1"/>
    <col min="7939" max="7939" width="36.25" style="467" customWidth="1"/>
    <col min="7940" max="7940" width="9.875" style="467" customWidth="1"/>
    <col min="7941" max="7941" width="15.5" style="467" customWidth="1"/>
    <col min="7942" max="7943" width="9" style="467"/>
    <col min="7944" max="7944" width="10.875" style="467" customWidth="1"/>
    <col min="7945" max="8192" width="9" style="467"/>
    <col min="8193" max="8193" width="13.5" style="467" customWidth="1"/>
    <col min="8194" max="8194" width="6.5" style="467" customWidth="1"/>
    <col min="8195" max="8195" width="36.25" style="467" customWidth="1"/>
    <col min="8196" max="8196" width="9.875" style="467" customWidth="1"/>
    <col min="8197" max="8197" width="15.5" style="467" customWidth="1"/>
    <col min="8198" max="8199" width="9" style="467"/>
    <col min="8200" max="8200" width="10.875" style="467" customWidth="1"/>
    <col min="8201" max="8448" width="9" style="467"/>
    <col min="8449" max="8449" width="13.5" style="467" customWidth="1"/>
    <col min="8450" max="8450" width="6.5" style="467" customWidth="1"/>
    <col min="8451" max="8451" width="36.25" style="467" customWidth="1"/>
    <col min="8452" max="8452" width="9.875" style="467" customWidth="1"/>
    <col min="8453" max="8453" width="15.5" style="467" customWidth="1"/>
    <col min="8454" max="8455" width="9" style="467"/>
    <col min="8456" max="8456" width="10.875" style="467" customWidth="1"/>
    <col min="8457" max="8704" width="9" style="467"/>
    <col min="8705" max="8705" width="13.5" style="467" customWidth="1"/>
    <col min="8706" max="8706" width="6.5" style="467" customWidth="1"/>
    <col min="8707" max="8707" width="36.25" style="467" customWidth="1"/>
    <col min="8708" max="8708" width="9.875" style="467" customWidth="1"/>
    <col min="8709" max="8709" width="15.5" style="467" customWidth="1"/>
    <col min="8710" max="8711" width="9" style="467"/>
    <col min="8712" max="8712" width="10.875" style="467" customWidth="1"/>
    <col min="8713" max="8960" width="9" style="467"/>
    <col min="8961" max="8961" width="13.5" style="467" customWidth="1"/>
    <col min="8962" max="8962" width="6.5" style="467" customWidth="1"/>
    <col min="8963" max="8963" width="36.25" style="467" customWidth="1"/>
    <col min="8964" max="8964" width="9.875" style="467" customWidth="1"/>
    <col min="8965" max="8965" width="15.5" style="467" customWidth="1"/>
    <col min="8966" max="8967" width="9" style="467"/>
    <col min="8968" max="8968" width="10.875" style="467" customWidth="1"/>
    <col min="8969" max="9216" width="9" style="467"/>
    <col min="9217" max="9217" width="13.5" style="467" customWidth="1"/>
    <col min="9218" max="9218" width="6.5" style="467" customWidth="1"/>
    <col min="9219" max="9219" width="36.25" style="467" customWidth="1"/>
    <col min="9220" max="9220" width="9.875" style="467" customWidth="1"/>
    <col min="9221" max="9221" width="15.5" style="467" customWidth="1"/>
    <col min="9222" max="9223" width="9" style="467"/>
    <col min="9224" max="9224" width="10.875" style="467" customWidth="1"/>
    <col min="9225" max="9472" width="9" style="467"/>
    <col min="9473" max="9473" width="13.5" style="467" customWidth="1"/>
    <col min="9474" max="9474" width="6.5" style="467" customWidth="1"/>
    <col min="9475" max="9475" width="36.25" style="467" customWidth="1"/>
    <col min="9476" max="9476" width="9.875" style="467" customWidth="1"/>
    <col min="9477" max="9477" width="15.5" style="467" customWidth="1"/>
    <col min="9478" max="9479" width="9" style="467"/>
    <col min="9480" max="9480" width="10.875" style="467" customWidth="1"/>
    <col min="9481" max="9728" width="9" style="467"/>
    <col min="9729" max="9729" width="13.5" style="467" customWidth="1"/>
    <col min="9730" max="9730" width="6.5" style="467" customWidth="1"/>
    <col min="9731" max="9731" width="36.25" style="467" customWidth="1"/>
    <col min="9732" max="9732" width="9.875" style="467" customWidth="1"/>
    <col min="9733" max="9733" width="15.5" style="467" customWidth="1"/>
    <col min="9734" max="9735" width="9" style="467"/>
    <col min="9736" max="9736" width="10.875" style="467" customWidth="1"/>
    <col min="9737" max="9984" width="9" style="467"/>
    <col min="9985" max="9985" width="13.5" style="467" customWidth="1"/>
    <col min="9986" max="9986" width="6.5" style="467" customWidth="1"/>
    <col min="9987" max="9987" width="36.25" style="467" customWidth="1"/>
    <col min="9988" max="9988" width="9.875" style="467" customWidth="1"/>
    <col min="9989" max="9989" width="15.5" style="467" customWidth="1"/>
    <col min="9990" max="9991" width="9" style="467"/>
    <col min="9992" max="9992" width="10.875" style="467" customWidth="1"/>
    <col min="9993" max="10240" width="9" style="467"/>
    <col min="10241" max="10241" width="13.5" style="467" customWidth="1"/>
    <col min="10242" max="10242" width="6.5" style="467" customWidth="1"/>
    <col min="10243" max="10243" width="36.25" style="467" customWidth="1"/>
    <col min="10244" max="10244" width="9.875" style="467" customWidth="1"/>
    <col min="10245" max="10245" width="15.5" style="467" customWidth="1"/>
    <col min="10246" max="10247" width="9" style="467"/>
    <col min="10248" max="10248" width="10.875" style="467" customWidth="1"/>
    <col min="10249" max="10496" width="9" style="467"/>
    <col min="10497" max="10497" width="13.5" style="467" customWidth="1"/>
    <col min="10498" max="10498" width="6.5" style="467" customWidth="1"/>
    <col min="10499" max="10499" width="36.25" style="467" customWidth="1"/>
    <col min="10500" max="10500" width="9.875" style="467" customWidth="1"/>
    <col min="10501" max="10501" width="15.5" style="467" customWidth="1"/>
    <col min="10502" max="10503" width="9" style="467"/>
    <col min="10504" max="10504" width="10.875" style="467" customWidth="1"/>
    <col min="10505" max="10752" width="9" style="467"/>
    <col min="10753" max="10753" width="13.5" style="467" customWidth="1"/>
    <col min="10754" max="10754" width="6.5" style="467" customWidth="1"/>
    <col min="10755" max="10755" width="36.25" style="467" customWidth="1"/>
    <col min="10756" max="10756" width="9.875" style="467" customWidth="1"/>
    <col min="10757" max="10757" width="15.5" style="467" customWidth="1"/>
    <col min="10758" max="10759" width="9" style="467"/>
    <col min="10760" max="10760" width="10.875" style="467" customWidth="1"/>
    <col min="10761" max="11008" width="9" style="467"/>
    <col min="11009" max="11009" width="13.5" style="467" customWidth="1"/>
    <col min="11010" max="11010" width="6.5" style="467" customWidth="1"/>
    <col min="11011" max="11011" width="36.25" style="467" customWidth="1"/>
    <col min="11012" max="11012" width="9.875" style="467" customWidth="1"/>
    <col min="11013" max="11013" width="15.5" style="467" customWidth="1"/>
    <col min="11014" max="11015" width="9" style="467"/>
    <col min="11016" max="11016" width="10.875" style="467" customWidth="1"/>
    <col min="11017" max="11264" width="9" style="467"/>
    <col min="11265" max="11265" width="13.5" style="467" customWidth="1"/>
    <col min="11266" max="11266" width="6.5" style="467" customWidth="1"/>
    <col min="11267" max="11267" width="36.25" style="467" customWidth="1"/>
    <col min="11268" max="11268" width="9.875" style="467" customWidth="1"/>
    <col min="11269" max="11269" width="15.5" style="467" customWidth="1"/>
    <col min="11270" max="11271" width="9" style="467"/>
    <col min="11272" max="11272" width="10.875" style="467" customWidth="1"/>
    <col min="11273" max="11520" width="9" style="467"/>
    <col min="11521" max="11521" width="13.5" style="467" customWidth="1"/>
    <col min="11522" max="11522" width="6.5" style="467" customWidth="1"/>
    <col min="11523" max="11523" width="36.25" style="467" customWidth="1"/>
    <col min="11524" max="11524" width="9.875" style="467" customWidth="1"/>
    <col min="11525" max="11525" width="15.5" style="467" customWidth="1"/>
    <col min="11526" max="11527" width="9" style="467"/>
    <col min="11528" max="11528" width="10.875" style="467" customWidth="1"/>
    <col min="11529" max="11776" width="9" style="467"/>
    <col min="11777" max="11777" width="13.5" style="467" customWidth="1"/>
    <col min="11778" max="11778" width="6.5" style="467" customWidth="1"/>
    <col min="11779" max="11779" width="36.25" style="467" customWidth="1"/>
    <col min="11780" max="11780" width="9.875" style="467" customWidth="1"/>
    <col min="11781" max="11781" width="15.5" style="467" customWidth="1"/>
    <col min="11782" max="11783" width="9" style="467"/>
    <col min="11784" max="11784" width="10.875" style="467" customWidth="1"/>
    <col min="11785" max="12032" width="9" style="467"/>
    <col min="12033" max="12033" width="13.5" style="467" customWidth="1"/>
    <col min="12034" max="12034" width="6.5" style="467" customWidth="1"/>
    <col min="12035" max="12035" width="36.25" style="467" customWidth="1"/>
    <col min="12036" max="12036" width="9.875" style="467" customWidth="1"/>
    <col min="12037" max="12037" width="15.5" style="467" customWidth="1"/>
    <col min="12038" max="12039" width="9" style="467"/>
    <col min="12040" max="12040" width="10.875" style="467" customWidth="1"/>
    <col min="12041" max="12288" width="9" style="467"/>
    <col min="12289" max="12289" width="13.5" style="467" customWidth="1"/>
    <col min="12290" max="12290" width="6.5" style="467" customWidth="1"/>
    <col min="12291" max="12291" width="36.25" style="467" customWidth="1"/>
    <col min="12292" max="12292" width="9.875" style="467" customWidth="1"/>
    <col min="12293" max="12293" width="15.5" style="467" customWidth="1"/>
    <col min="12294" max="12295" width="9" style="467"/>
    <col min="12296" max="12296" width="10.875" style="467" customWidth="1"/>
    <col min="12297" max="12544" width="9" style="467"/>
    <col min="12545" max="12545" width="13.5" style="467" customWidth="1"/>
    <col min="12546" max="12546" width="6.5" style="467" customWidth="1"/>
    <col min="12547" max="12547" width="36.25" style="467" customWidth="1"/>
    <col min="12548" max="12548" width="9.875" style="467" customWidth="1"/>
    <col min="12549" max="12549" width="15.5" style="467" customWidth="1"/>
    <col min="12550" max="12551" width="9" style="467"/>
    <col min="12552" max="12552" width="10.875" style="467" customWidth="1"/>
    <col min="12553" max="12800" width="9" style="467"/>
    <col min="12801" max="12801" width="13.5" style="467" customWidth="1"/>
    <col min="12802" max="12802" width="6.5" style="467" customWidth="1"/>
    <col min="12803" max="12803" width="36.25" style="467" customWidth="1"/>
    <col min="12804" max="12804" width="9.875" style="467" customWidth="1"/>
    <col min="12805" max="12805" width="15.5" style="467" customWidth="1"/>
    <col min="12806" max="12807" width="9" style="467"/>
    <col min="12808" max="12808" width="10.875" style="467" customWidth="1"/>
    <col min="12809" max="13056" width="9" style="467"/>
    <col min="13057" max="13057" width="13.5" style="467" customWidth="1"/>
    <col min="13058" max="13058" width="6.5" style="467" customWidth="1"/>
    <col min="13059" max="13059" width="36.25" style="467" customWidth="1"/>
    <col min="13060" max="13060" width="9.875" style="467" customWidth="1"/>
    <col min="13061" max="13061" width="15.5" style="467" customWidth="1"/>
    <col min="13062" max="13063" width="9" style="467"/>
    <col min="13064" max="13064" width="10.875" style="467" customWidth="1"/>
    <col min="13065" max="13312" width="9" style="467"/>
    <col min="13313" max="13313" width="13.5" style="467" customWidth="1"/>
    <col min="13314" max="13314" width="6.5" style="467" customWidth="1"/>
    <col min="13315" max="13315" width="36.25" style="467" customWidth="1"/>
    <col min="13316" max="13316" width="9.875" style="467" customWidth="1"/>
    <col min="13317" max="13317" width="15.5" style="467" customWidth="1"/>
    <col min="13318" max="13319" width="9" style="467"/>
    <col min="13320" max="13320" width="10.875" style="467" customWidth="1"/>
    <col min="13321" max="13568" width="9" style="467"/>
    <col min="13569" max="13569" width="13.5" style="467" customWidth="1"/>
    <col min="13570" max="13570" width="6.5" style="467" customWidth="1"/>
    <col min="13571" max="13571" width="36.25" style="467" customWidth="1"/>
    <col min="13572" max="13572" width="9.875" style="467" customWidth="1"/>
    <col min="13573" max="13573" width="15.5" style="467" customWidth="1"/>
    <col min="13574" max="13575" width="9" style="467"/>
    <col min="13576" max="13576" width="10.875" style="467" customWidth="1"/>
    <col min="13577" max="13824" width="9" style="467"/>
    <col min="13825" max="13825" width="13.5" style="467" customWidth="1"/>
    <col min="13826" max="13826" width="6.5" style="467" customWidth="1"/>
    <col min="13827" max="13827" width="36.25" style="467" customWidth="1"/>
    <col min="13828" max="13828" width="9.875" style="467" customWidth="1"/>
    <col min="13829" max="13829" width="15.5" style="467" customWidth="1"/>
    <col min="13830" max="13831" width="9" style="467"/>
    <col min="13832" max="13832" width="10.875" style="467" customWidth="1"/>
    <col min="13833" max="14080" width="9" style="467"/>
    <col min="14081" max="14081" width="13.5" style="467" customWidth="1"/>
    <col min="14082" max="14082" width="6.5" style="467" customWidth="1"/>
    <col min="14083" max="14083" width="36.25" style="467" customWidth="1"/>
    <col min="14084" max="14084" width="9.875" style="467" customWidth="1"/>
    <col min="14085" max="14085" width="15.5" style="467" customWidth="1"/>
    <col min="14086" max="14087" width="9" style="467"/>
    <col min="14088" max="14088" width="10.875" style="467" customWidth="1"/>
    <col min="14089" max="14336" width="9" style="467"/>
    <col min="14337" max="14337" width="13.5" style="467" customWidth="1"/>
    <col min="14338" max="14338" width="6.5" style="467" customWidth="1"/>
    <col min="14339" max="14339" width="36.25" style="467" customWidth="1"/>
    <col min="14340" max="14340" width="9.875" style="467" customWidth="1"/>
    <col min="14341" max="14341" width="15.5" style="467" customWidth="1"/>
    <col min="14342" max="14343" width="9" style="467"/>
    <col min="14344" max="14344" width="10.875" style="467" customWidth="1"/>
    <col min="14345" max="14592" width="9" style="467"/>
    <col min="14593" max="14593" width="13.5" style="467" customWidth="1"/>
    <col min="14594" max="14594" width="6.5" style="467" customWidth="1"/>
    <col min="14595" max="14595" width="36.25" style="467" customWidth="1"/>
    <col min="14596" max="14596" width="9.875" style="467" customWidth="1"/>
    <col min="14597" max="14597" width="15.5" style="467" customWidth="1"/>
    <col min="14598" max="14599" width="9" style="467"/>
    <col min="14600" max="14600" width="10.875" style="467" customWidth="1"/>
    <col min="14601" max="14848" width="9" style="467"/>
    <col min="14849" max="14849" width="13.5" style="467" customWidth="1"/>
    <col min="14850" max="14850" width="6.5" style="467" customWidth="1"/>
    <col min="14851" max="14851" width="36.25" style="467" customWidth="1"/>
    <col min="14852" max="14852" width="9.875" style="467" customWidth="1"/>
    <col min="14853" max="14853" width="15.5" style="467" customWidth="1"/>
    <col min="14854" max="14855" width="9" style="467"/>
    <col min="14856" max="14856" width="10.875" style="467" customWidth="1"/>
    <col min="14857" max="15104" width="9" style="467"/>
    <col min="15105" max="15105" width="13.5" style="467" customWidth="1"/>
    <col min="15106" max="15106" width="6.5" style="467" customWidth="1"/>
    <col min="15107" max="15107" width="36.25" style="467" customWidth="1"/>
    <col min="15108" max="15108" width="9.875" style="467" customWidth="1"/>
    <col min="15109" max="15109" width="15.5" style="467" customWidth="1"/>
    <col min="15110" max="15111" width="9" style="467"/>
    <col min="15112" max="15112" width="10.875" style="467" customWidth="1"/>
    <col min="15113" max="15360" width="9" style="467"/>
    <col min="15361" max="15361" width="13.5" style="467" customWidth="1"/>
    <col min="15362" max="15362" width="6.5" style="467" customWidth="1"/>
    <col min="15363" max="15363" width="36.25" style="467" customWidth="1"/>
    <col min="15364" max="15364" width="9.875" style="467" customWidth="1"/>
    <col min="15365" max="15365" width="15.5" style="467" customWidth="1"/>
    <col min="15366" max="15367" width="9" style="467"/>
    <col min="15368" max="15368" width="10.875" style="467" customWidth="1"/>
    <col min="15369" max="15616" width="9" style="467"/>
    <col min="15617" max="15617" width="13.5" style="467" customWidth="1"/>
    <col min="15618" max="15618" width="6.5" style="467" customWidth="1"/>
    <col min="15619" max="15619" width="36.25" style="467" customWidth="1"/>
    <col min="15620" max="15620" width="9.875" style="467" customWidth="1"/>
    <col min="15621" max="15621" width="15.5" style="467" customWidth="1"/>
    <col min="15622" max="15623" width="9" style="467"/>
    <col min="15624" max="15624" width="10.875" style="467" customWidth="1"/>
    <col min="15625" max="15872" width="9" style="467"/>
    <col min="15873" max="15873" width="13.5" style="467" customWidth="1"/>
    <col min="15874" max="15874" width="6.5" style="467" customWidth="1"/>
    <col min="15875" max="15875" width="36.25" style="467" customWidth="1"/>
    <col min="15876" max="15876" width="9.875" style="467" customWidth="1"/>
    <col min="15877" max="15877" width="15.5" style="467" customWidth="1"/>
    <col min="15878" max="15879" width="9" style="467"/>
    <col min="15880" max="15880" width="10.875" style="467" customWidth="1"/>
    <col min="15881" max="16128" width="9" style="467"/>
    <col min="16129" max="16129" width="13.5" style="467" customWidth="1"/>
    <col min="16130" max="16130" width="6.5" style="467" customWidth="1"/>
    <col min="16131" max="16131" width="36.25" style="467" customWidth="1"/>
    <col min="16132" max="16132" width="9.875" style="467" customWidth="1"/>
    <col min="16133" max="16133" width="15.5" style="467" customWidth="1"/>
    <col min="16134" max="16135" width="9" style="467"/>
    <col min="16136" max="16136" width="10.875" style="467" customWidth="1"/>
    <col min="16137" max="16384" width="9" style="467"/>
  </cols>
  <sheetData>
    <row r="1" spans="1:5" ht="33" customHeight="1">
      <c r="A1" s="675" t="s">
        <v>469</v>
      </c>
      <c r="B1" s="676"/>
      <c r="C1" s="676"/>
      <c r="D1" s="676"/>
      <c r="E1" s="676"/>
    </row>
    <row r="2" spans="1:5" ht="18" customHeight="1">
      <c r="A2" s="531"/>
      <c r="B2" s="531"/>
      <c r="C2" s="531"/>
      <c r="D2" s="531"/>
      <c r="E2" s="531"/>
    </row>
    <row r="3" spans="1:5" ht="16.5" customHeight="1">
      <c r="A3" s="532" t="s">
        <v>470</v>
      </c>
      <c r="B3" s="677">
        <f>'QC Test Summary-Hologic'!C4</f>
        <v>0</v>
      </c>
      <c r="C3" s="677"/>
      <c r="D3" s="677"/>
      <c r="E3" s="677"/>
    </row>
    <row r="4" spans="1:5" ht="16.5" customHeight="1">
      <c r="A4" s="532" t="s">
        <v>471</v>
      </c>
      <c r="B4" s="678" t="str">
        <f>Sheet1!R17</f>
        <v/>
      </c>
      <c r="C4" s="678"/>
      <c r="D4" s="533" t="s">
        <v>23</v>
      </c>
      <c r="E4" s="534" t="str">
        <f>Sheet1!R18</f>
        <v/>
      </c>
    </row>
    <row r="5" spans="1:5" ht="16.5" customHeight="1">
      <c r="A5" s="532" t="s">
        <v>472</v>
      </c>
      <c r="B5" s="534" t="str">
        <f>Sheet1!V18</f>
        <v/>
      </c>
      <c r="C5" s="534"/>
      <c r="D5" s="533" t="s">
        <v>473</v>
      </c>
      <c r="E5" s="583" t="str">
        <f>Sheet1!V17</f>
        <v/>
      </c>
    </row>
    <row r="6" spans="1:5" ht="16.5" customHeight="1">
      <c r="A6" s="532" t="s">
        <v>474</v>
      </c>
      <c r="B6" s="678" t="str">
        <f>Sheet1!X7</f>
        <v>Eugene Mah</v>
      </c>
      <c r="C6" s="678"/>
      <c r="D6" s="533" t="s">
        <v>475</v>
      </c>
      <c r="E6" s="535" t="str">
        <f>Sheet1!R14</f>
        <v/>
      </c>
    </row>
    <row r="7" spans="1:5" ht="16.5" customHeight="1">
      <c r="A7" s="532" t="s">
        <v>476</v>
      </c>
      <c r="B7" s="678"/>
      <c r="C7" s="678"/>
      <c r="D7" s="533" t="s">
        <v>477</v>
      </c>
      <c r="E7" s="584">
        <f>Sheet1!P7</f>
        <v>0</v>
      </c>
    </row>
    <row r="8" spans="1:5" ht="21.75" customHeight="1" thickBot="1"/>
    <row r="9" spans="1:5" ht="35.25" customHeight="1" thickBot="1">
      <c r="A9" s="536" t="s">
        <v>478</v>
      </c>
      <c r="B9" s="537" t="s">
        <v>479</v>
      </c>
      <c r="C9" s="538" t="s">
        <v>480</v>
      </c>
      <c r="D9" s="537" t="s">
        <v>481</v>
      </c>
      <c r="E9" s="539" t="s">
        <v>694</v>
      </c>
    </row>
    <row r="10" spans="1:5" ht="33" customHeight="1" thickTop="1">
      <c r="A10" s="674" t="s">
        <v>482</v>
      </c>
      <c r="B10" s="540" t="s">
        <v>483</v>
      </c>
      <c r="C10" s="541" t="s">
        <v>484</v>
      </c>
      <c r="D10" s="542" t="s">
        <v>485</v>
      </c>
      <c r="E10" s="543"/>
    </row>
    <row r="11" spans="1:5" ht="25.5" customHeight="1" thickBot="1">
      <c r="A11" s="670"/>
      <c r="B11" s="544" t="s">
        <v>486</v>
      </c>
      <c r="C11" s="545" t="s">
        <v>487</v>
      </c>
      <c r="D11" s="546" t="s">
        <v>485</v>
      </c>
      <c r="E11" s="547"/>
    </row>
    <row r="12" spans="1:5" ht="33.75" customHeight="1">
      <c r="A12" s="665" t="s">
        <v>488</v>
      </c>
      <c r="B12" s="548" t="s">
        <v>489</v>
      </c>
      <c r="C12" s="549" t="s">
        <v>490</v>
      </c>
      <c r="D12" s="550" t="s">
        <v>491</v>
      </c>
      <c r="E12" s="551"/>
    </row>
    <row r="13" spans="1:5" ht="33.75" customHeight="1">
      <c r="A13" s="666"/>
      <c r="B13" s="552" t="s">
        <v>492</v>
      </c>
      <c r="C13" s="553" t="s">
        <v>493</v>
      </c>
      <c r="D13" s="554" t="s">
        <v>491</v>
      </c>
      <c r="E13" s="555"/>
    </row>
    <row r="14" spans="1:5" ht="34.5" customHeight="1" thickBot="1">
      <c r="A14" s="667"/>
      <c r="B14" s="556" t="s">
        <v>494</v>
      </c>
      <c r="C14" s="557" t="s">
        <v>495</v>
      </c>
      <c r="D14" s="546" t="s">
        <v>485</v>
      </c>
      <c r="E14" s="558"/>
    </row>
    <row r="15" spans="1:5" ht="56.25">
      <c r="A15" s="668" t="s">
        <v>496</v>
      </c>
      <c r="B15" s="559" t="s">
        <v>497</v>
      </c>
      <c r="C15" s="560" t="s">
        <v>498</v>
      </c>
      <c r="D15" s="550" t="s">
        <v>485</v>
      </c>
      <c r="E15" s="561"/>
    </row>
    <row r="16" spans="1:5" ht="54.75" customHeight="1" thickBot="1">
      <c r="A16" s="669"/>
      <c r="B16" s="544" t="s">
        <v>499</v>
      </c>
      <c r="C16" s="562" t="s">
        <v>500</v>
      </c>
      <c r="D16" s="546" t="s">
        <v>501</v>
      </c>
      <c r="E16" s="563"/>
    </row>
    <row r="17" spans="1:5" ht="33.75" customHeight="1">
      <c r="A17" s="660" t="s">
        <v>502</v>
      </c>
      <c r="B17" s="564" t="s">
        <v>503</v>
      </c>
      <c r="C17" s="549" t="s">
        <v>504</v>
      </c>
      <c r="D17" s="550" t="s">
        <v>485</v>
      </c>
      <c r="E17" s="565"/>
    </row>
    <row r="18" spans="1:5" ht="33.75" customHeight="1" thickBot="1">
      <c r="A18" s="670"/>
      <c r="B18" s="566" t="s">
        <v>505</v>
      </c>
      <c r="C18" s="567" t="s">
        <v>506</v>
      </c>
      <c r="D18" s="546" t="s">
        <v>485</v>
      </c>
      <c r="E18" s="547"/>
    </row>
    <row r="19" spans="1:5" ht="33.75">
      <c r="A19" s="671" t="s">
        <v>507</v>
      </c>
      <c r="B19" s="564" t="s">
        <v>508</v>
      </c>
      <c r="C19" s="549" t="s">
        <v>509</v>
      </c>
      <c r="D19" s="550" t="s">
        <v>485</v>
      </c>
      <c r="E19" s="565"/>
    </row>
    <row r="20" spans="1:5" ht="33.75" customHeight="1">
      <c r="A20" s="672"/>
      <c r="B20" s="568" t="s">
        <v>510</v>
      </c>
      <c r="C20" s="569" t="s">
        <v>511</v>
      </c>
      <c r="D20" s="542" t="s">
        <v>485</v>
      </c>
      <c r="E20" s="570"/>
    </row>
    <row r="21" spans="1:5" ht="54.75" customHeight="1" thickBot="1">
      <c r="A21" s="673"/>
      <c r="B21" s="566" t="s">
        <v>512</v>
      </c>
      <c r="C21" s="567" t="s">
        <v>513</v>
      </c>
      <c r="D21" s="546" t="s">
        <v>485</v>
      </c>
      <c r="E21" s="547"/>
    </row>
    <row r="22" spans="1:5" ht="33.75" customHeight="1">
      <c r="A22" s="660" t="s">
        <v>514</v>
      </c>
      <c r="B22" s="564" t="s">
        <v>515</v>
      </c>
      <c r="C22" s="549" t="s">
        <v>516</v>
      </c>
      <c r="D22" s="550" t="s">
        <v>485</v>
      </c>
      <c r="E22" s="565"/>
    </row>
    <row r="23" spans="1:5" ht="25.5" customHeight="1" thickBot="1">
      <c r="A23" s="670"/>
      <c r="B23" s="544" t="s">
        <v>517</v>
      </c>
      <c r="C23" s="557" t="s">
        <v>518</v>
      </c>
      <c r="D23" s="546" t="s">
        <v>485</v>
      </c>
      <c r="E23" s="563"/>
    </row>
    <row r="24" spans="1:5" ht="33.75">
      <c r="A24" s="671" t="s">
        <v>519</v>
      </c>
      <c r="B24" s="564" t="s">
        <v>520</v>
      </c>
      <c r="C24" s="549" t="s">
        <v>521</v>
      </c>
      <c r="D24" s="550" t="s">
        <v>485</v>
      </c>
      <c r="E24" s="565"/>
    </row>
    <row r="25" spans="1:5" ht="45.75" customHeight="1">
      <c r="A25" s="672"/>
      <c r="B25" s="568" t="s">
        <v>522</v>
      </c>
      <c r="C25" s="553" t="s">
        <v>523</v>
      </c>
      <c r="D25" s="542" t="s">
        <v>501</v>
      </c>
      <c r="E25" s="570"/>
    </row>
    <row r="26" spans="1:5" ht="46.5" customHeight="1">
      <c r="A26" s="672"/>
      <c r="B26" s="571" t="s">
        <v>524</v>
      </c>
      <c r="C26" s="553" t="s">
        <v>525</v>
      </c>
      <c r="D26" s="542" t="s">
        <v>485</v>
      </c>
      <c r="E26" s="570"/>
    </row>
    <row r="27" spans="1:5" ht="22.5">
      <c r="A27" s="672"/>
      <c r="B27" s="571" t="s">
        <v>526</v>
      </c>
      <c r="C27" s="553" t="s">
        <v>527</v>
      </c>
      <c r="D27" s="542" t="s">
        <v>485</v>
      </c>
      <c r="E27" s="570"/>
    </row>
    <row r="28" spans="1:5" ht="23.25" thickBot="1">
      <c r="A28" s="673"/>
      <c r="B28" s="572" t="s">
        <v>528</v>
      </c>
      <c r="C28" s="557" t="s">
        <v>529</v>
      </c>
      <c r="D28" s="546" t="s">
        <v>485</v>
      </c>
      <c r="E28" s="563"/>
    </row>
    <row r="29" spans="1:5" ht="22.5">
      <c r="A29" s="660" t="s">
        <v>530</v>
      </c>
      <c r="B29" s="573" t="s">
        <v>531</v>
      </c>
      <c r="C29" s="549" t="s">
        <v>532</v>
      </c>
      <c r="D29" s="550" t="s">
        <v>485</v>
      </c>
      <c r="E29" s="565"/>
    </row>
    <row r="30" spans="1:5" ht="54.75" customHeight="1">
      <c r="A30" s="661"/>
      <c r="B30" s="571" t="s">
        <v>533</v>
      </c>
      <c r="C30" s="553" t="s">
        <v>534</v>
      </c>
      <c r="D30" s="542" t="s">
        <v>485</v>
      </c>
      <c r="E30" s="570"/>
    </row>
    <row r="31" spans="1:5" ht="34.5" thickBot="1">
      <c r="A31" s="662"/>
      <c r="B31" s="572" t="s">
        <v>535</v>
      </c>
      <c r="C31" s="557" t="s">
        <v>536</v>
      </c>
      <c r="D31" s="546" t="s">
        <v>485</v>
      </c>
      <c r="E31" s="563"/>
    </row>
    <row r="32" spans="1:5" ht="46.5" customHeight="1">
      <c r="A32" s="660" t="s">
        <v>537</v>
      </c>
      <c r="B32" s="573" t="s">
        <v>538</v>
      </c>
      <c r="C32" s="549" t="s">
        <v>539</v>
      </c>
      <c r="D32" s="550" t="s">
        <v>491</v>
      </c>
      <c r="E32" s="565"/>
    </row>
    <row r="33" spans="1:5" ht="66.75" customHeight="1">
      <c r="A33" s="661"/>
      <c r="B33" s="571" t="s">
        <v>540</v>
      </c>
      <c r="C33" s="553" t="s">
        <v>695</v>
      </c>
      <c r="D33" s="554" t="s">
        <v>491</v>
      </c>
      <c r="E33" s="570"/>
    </row>
    <row r="34" spans="1:5" ht="34.5" thickBot="1">
      <c r="A34" s="662"/>
      <c r="B34" s="572" t="s">
        <v>541</v>
      </c>
      <c r="C34" s="557" t="s">
        <v>542</v>
      </c>
      <c r="D34" s="574" t="s">
        <v>491</v>
      </c>
      <c r="E34" s="563"/>
    </row>
    <row r="35" spans="1:5" ht="33.75" customHeight="1" thickBot="1">
      <c r="A35" s="575" t="s">
        <v>696</v>
      </c>
      <c r="B35" s="576">
        <v>11</v>
      </c>
      <c r="C35" s="577" t="s">
        <v>543</v>
      </c>
      <c r="D35" s="578" t="s">
        <v>491</v>
      </c>
      <c r="E35" s="579"/>
    </row>
    <row r="36" spans="1:5" ht="54.75" customHeight="1" thickBot="1">
      <c r="A36" s="575" t="s">
        <v>697</v>
      </c>
      <c r="B36" s="576">
        <v>12</v>
      </c>
      <c r="C36" s="577" t="s">
        <v>544</v>
      </c>
      <c r="D36" s="578" t="s">
        <v>491</v>
      </c>
      <c r="E36" s="579"/>
    </row>
    <row r="37" spans="1:5" ht="45.75" thickBot="1">
      <c r="A37" s="575" t="s">
        <v>698</v>
      </c>
      <c r="B37" s="576">
        <v>13</v>
      </c>
      <c r="C37" s="577" t="s">
        <v>545</v>
      </c>
      <c r="D37" s="578" t="s">
        <v>491</v>
      </c>
      <c r="E37" s="579"/>
    </row>
    <row r="38" spans="1:5" ht="46.5" customHeight="1" thickBot="1">
      <c r="A38" s="575" t="s">
        <v>699</v>
      </c>
      <c r="B38" s="576">
        <v>14</v>
      </c>
      <c r="C38" s="577" t="s">
        <v>546</v>
      </c>
      <c r="D38" s="578" t="s">
        <v>547</v>
      </c>
      <c r="E38" s="579"/>
    </row>
    <row r="39" spans="1:5" ht="46.5" customHeight="1" thickBot="1">
      <c r="A39" s="580" t="s">
        <v>700</v>
      </c>
      <c r="B39" s="581">
        <v>15</v>
      </c>
      <c r="C39" s="567" t="s">
        <v>548</v>
      </c>
      <c r="D39" s="546" t="s">
        <v>547</v>
      </c>
      <c r="E39" s="547"/>
    </row>
    <row r="40" spans="1:5">
      <c r="A40" s="663" t="s">
        <v>701</v>
      </c>
      <c r="B40" s="664"/>
      <c r="C40" s="664"/>
      <c r="D40" s="664"/>
      <c r="E40" s="664"/>
    </row>
    <row r="41" spans="1:5">
      <c r="A41" s="582"/>
      <c r="B41" s="582"/>
      <c r="C41" s="582"/>
      <c r="D41" s="582"/>
      <c r="E41" s="582"/>
    </row>
    <row r="42" spans="1:5">
      <c r="A42" s="582"/>
      <c r="B42" s="582"/>
      <c r="C42" s="582"/>
      <c r="D42" s="582"/>
      <c r="E42" s="582"/>
    </row>
    <row r="43" spans="1:5">
      <c r="A43" s="582"/>
      <c r="B43" s="582"/>
      <c r="C43" s="582"/>
      <c r="D43" s="582"/>
      <c r="E43" s="582"/>
    </row>
    <row r="44" spans="1:5">
      <c r="A44" s="582"/>
      <c r="B44" s="582"/>
      <c r="C44" s="582"/>
      <c r="D44" s="582"/>
      <c r="E44" s="582"/>
    </row>
    <row r="45" spans="1:5">
      <c r="A45" s="582"/>
      <c r="B45" s="582"/>
      <c r="C45" s="582"/>
      <c r="D45" s="582"/>
      <c r="E45" s="582"/>
    </row>
    <row r="46" spans="1:5">
      <c r="A46" s="582"/>
      <c r="B46" s="582"/>
      <c r="C46" s="582"/>
      <c r="D46" s="582"/>
      <c r="E46" s="582"/>
    </row>
    <row r="47" spans="1:5">
      <c r="A47" s="582"/>
      <c r="B47" s="582"/>
      <c r="C47" s="582"/>
      <c r="D47" s="582"/>
      <c r="E47" s="582"/>
    </row>
    <row r="48" spans="1:5">
      <c r="A48" s="582"/>
      <c r="B48" s="582"/>
      <c r="C48" s="582"/>
      <c r="D48" s="582"/>
      <c r="E48" s="582"/>
    </row>
    <row r="49" spans="1:5">
      <c r="A49" s="582"/>
      <c r="B49" s="582"/>
      <c r="C49" s="582"/>
      <c r="D49" s="582"/>
      <c r="E49" s="582"/>
    </row>
    <row r="50" spans="1:5">
      <c r="A50" s="582"/>
      <c r="B50" s="582"/>
      <c r="C50" s="582"/>
      <c r="D50" s="582"/>
      <c r="E50" s="582"/>
    </row>
    <row r="51" spans="1:5">
      <c r="A51" s="582"/>
      <c r="B51" s="582"/>
      <c r="C51" s="582"/>
      <c r="D51" s="582"/>
      <c r="E51" s="582"/>
    </row>
    <row r="52" spans="1:5">
      <c r="A52" s="582"/>
      <c r="B52" s="582"/>
      <c r="C52" s="582"/>
      <c r="D52" s="582"/>
      <c r="E52" s="582"/>
    </row>
    <row r="53" spans="1:5">
      <c r="A53" s="582"/>
      <c r="B53" s="582"/>
      <c r="C53" s="582"/>
      <c r="D53" s="582"/>
      <c r="E53" s="582"/>
    </row>
    <row r="54" spans="1:5">
      <c r="A54" s="582"/>
      <c r="B54" s="582"/>
      <c r="C54" s="582"/>
      <c r="D54" s="582"/>
      <c r="E54" s="582"/>
    </row>
    <row r="55" spans="1:5">
      <c r="A55" s="582"/>
      <c r="B55" s="582"/>
      <c r="C55" s="582"/>
      <c r="D55" s="582"/>
      <c r="E55" s="582"/>
    </row>
    <row r="56" spans="1:5">
      <c r="A56" s="582"/>
      <c r="B56" s="582"/>
      <c r="C56" s="582"/>
      <c r="D56" s="582"/>
      <c r="E56" s="582"/>
    </row>
    <row r="57" spans="1:5">
      <c r="A57" s="582"/>
      <c r="B57" s="582"/>
      <c r="C57" s="582"/>
      <c r="D57" s="582"/>
      <c r="E57" s="582"/>
    </row>
    <row r="58" spans="1:5">
      <c r="A58" s="582"/>
      <c r="B58" s="582"/>
      <c r="C58" s="582"/>
      <c r="D58" s="582"/>
      <c r="E58" s="582"/>
    </row>
    <row r="59" spans="1:5">
      <c r="A59" s="582"/>
      <c r="B59" s="582"/>
      <c r="C59" s="582"/>
      <c r="D59" s="582"/>
      <c r="E59" s="582"/>
    </row>
    <row r="60" spans="1:5">
      <c r="A60" s="582"/>
      <c r="B60" s="582"/>
      <c r="C60" s="582"/>
      <c r="D60" s="582"/>
      <c r="E60" s="582"/>
    </row>
    <row r="61" spans="1:5">
      <c r="A61" s="582"/>
      <c r="B61" s="582"/>
      <c r="C61" s="582"/>
      <c r="D61" s="582"/>
      <c r="E61" s="582"/>
    </row>
    <row r="62" spans="1:5">
      <c r="A62" s="582"/>
      <c r="B62" s="582"/>
      <c r="C62" s="582"/>
      <c r="D62" s="582"/>
      <c r="E62" s="582"/>
    </row>
    <row r="63" spans="1:5">
      <c r="A63" s="582"/>
      <c r="B63" s="582"/>
      <c r="C63" s="582"/>
      <c r="D63" s="582"/>
      <c r="E63" s="582"/>
    </row>
    <row r="64" spans="1:5">
      <c r="A64" s="582"/>
      <c r="B64" s="582"/>
      <c r="C64" s="582"/>
      <c r="D64" s="582"/>
      <c r="E64" s="582"/>
    </row>
    <row r="65" spans="1:5">
      <c r="A65" s="582"/>
      <c r="B65" s="582"/>
      <c r="C65" s="582"/>
      <c r="D65" s="582"/>
      <c r="E65" s="582"/>
    </row>
    <row r="66" spans="1:5">
      <c r="A66" s="582"/>
      <c r="B66" s="582"/>
      <c r="C66" s="582"/>
      <c r="D66" s="582"/>
      <c r="E66" s="582"/>
    </row>
    <row r="67" spans="1:5">
      <c r="A67" s="582"/>
      <c r="B67" s="582"/>
      <c r="C67" s="582"/>
      <c r="D67" s="582"/>
      <c r="E67" s="582"/>
    </row>
    <row r="68" spans="1:5">
      <c r="A68" s="582"/>
      <c r="B68" s="582"/>
      <c r="C68" s="582"/>
      <c r="D68" s="582"/>
      <c r="E68" s="582"/>
    </row>
    <row r="69" spans="1:5">
      <c r="A69" s="582"/>
      <c r="B69" s="582"/>
      <c r="C69" s="582"/>
      <c r="D69" s="582"/>
      <c r="E69" s="582"/>
    </row>
    <row r="70" spans="1:5">
      <c r="A70" s="582"/>
      <c r="B70" s="582"/>
      <c r="C70" s="582"/>
      <c r="D70" s="582"/>
      <c r="E70" s="582"/>
    </row>
    <row r="71" spans="1:5">
      <c r="A71" s="582"/>
      <c r="B71" s="582"/>
      <c r="C71" s="582"/>
      <c r="D71" s="582"/>
      <c r="E71" s="582"/>
    </row>
    <row r="72" spans="1:5">
      <c r="A72" s="582"/>
      <c r="B72" s="582"/>
      <c r="C72" s="582"/>
      <c r="D72" s="582"/>
      <c r="E72" s="582"/>
    </row>
    <row r="73" spans="1:5">
      <c r="A73" s="582"/>
      <c r="B73" s="582"/>
      <c r="C73" s="582"/>
      <c r="D73" s="582"/>
      <c r="E73" s="582"/>
    </row>
    <row r="74" spans="1:5">
      <c r="A74" s="582"/>
      <c r="B74" s="582"/>
      <c r="C74" s="582"/>
      <c r="D74" s="582"/>
      <c r="E74" s="582"/>
    </row>
    <row r="75" spans="1:5">
      <c r="A75" s="582"/>
      <c r="B75" s="582"/>
      <c r="C75" s="582"/>
      <c r="D75" s="582"/>
      <c r="E75" s="582"/>
    </row>
    <row r="76" spans="1:5">
      <c r="A76" s="582"/>
      <c r="B76" s="582"/>
      <c r="C76" s="582"/>
      <c r="D76" s="582"/>
      <c r="E76" s="582"/>
    </row>
    <row r="77" spans="1:5">
      <c r="A77" s="582"/>
      <c r="B77" s="582"/>
      <c r="C77" s="582"/>
      <c r="D77" s="582"/>
      <c r="E77" s="582"/>
    </row>
    <row r="78" spans="1:5">
      <c r="A78" s="582"/>
      <c r="B78" s="582"/>
      <c r="C78" s="582"/>
      <c r="D78" s="582"/>
      <c r="E78" s="582"/>
    </row>
    <row r="79" spans="1:5">
      <c r="A79" s="582"/>
      <c r="B79" s="582"/>
      <c r="C79" s="582"/>
      <c r="D79" s="582"/>
      <c r="E79" s="582"/>
    </row>
    <row r="80" spans="1:5">
      <c r="A80" s="582"/>
      <c r="B80" s="582"/>
      <c r="C80" s="582"/>
      <c r="D80" s="582"/>
      <c r="E80" s="582"/>
    </row>
    <row r="81" spans="1:5">
      <c r="A81" s="582"/>
      <c r="B81" s="582"/>
      <c r="C81" s="582"/>
      <c r="D81" s="582"/>
      <c r="E81" s="582"/>
    </row>
    <row r="82" spans="1:5">
      <c r="A82" s="582"/>
      <c r="B82" s="582"/>
      <c r="C82" s="582"/>
      <c r="D82" s="582"/>
      <c r="E82" s="582"/>
    </row>
    <row r="83" spans="1:5">
      <c r="A83" s="582"/>
      <c r="B83" s="582"/>
      <c r="C83" s="582"/>
      <c r="D83" s="582"/>
      <c r="E83" s="582"/>
    </row>
    <row r="84" spans="1:5">
      <c r="A84" s="582"/>
      <c r="B84" s="582"/>
      <c r="C84" s="582"/>
      <c r="D84" s="582"/>
      <c r="E84" s="582"/>
    </row>
    <row r="85" spans="1:5">
      <c r="A85" s="582"/>
      <c r="B85" s="582"/>
      <c r="C85" s="582"/>
      <c r="D85" s="582"/>
      <c r="E85" s="582"/>
    </row>
    <row r="86" spans="1:5">
      <c r="A86" s="582"/>
      <c r="B86" s="582"/>
      <c r="C86" s="582"/>
      <c r="D86" s="582"/>
      <c r="E86" s="582"/>
    </row>
    <row r="87" spans="1:5">
      <c r="A87" s="582"/>
      <c r="B87" s="582"/>
      <c r="C87" s="582"/>
      <c r="D87" s="582"/>
      <c r="E87" s="582"/>
    </row>
    <row r="88" spans="1:5">
      <c r="A88" s="582"/>
      <c r="B88" s="582"/>
      <c r="C88" s="582"/>
      <c r="D88" s="582"/>
      <c r="E88" s="582"/>
    </row>
    <row r="89" spans="1:5">
      <c r="A89" s="582"/>
      <c r="B89" s="582"/>
      <c r="C89" s="582"/>
      <c r="D89" s="582"/>
      <c r="E89" s="582"/>
    </row>
    <row r="90" spans="1:5">
      <c r="A90" s="582"/>
      <c r="B90" s="582"/>
      <c r="C90" s="582"/>
      <c r="D90" s="582"/>
      <c r="E90" s="582"/>
    </row>
    <row r="91" spans="1:5">
      <c r="A91" s="582"/>
      <c r="B91" s="582"/>
      <c r="C91" s="582"/>
      <c r="D91" s="582"/>
      <c r="E91" s="582"/>
    </row>
    <row r="92" spans="1:5">
      <c r="A92" s="582"/>
      <c r="B92" s="582"/>
      <c r="C92" s="582"/>
      <c r="D92" s="582"/>
      <c r="E92" s="582"/>
    </row>
    <row r="93" spans="1:5">
      <c r="A93" s="582"/>
      <c r="B93" s="582"/>
      <c r="C93" s="582"/>
      <c r="D93" s="582"/>
      <c r="E93" s="582"/>
    </row>
    <row r="94" spans="1:5">
      <c r="A94" s="582"/>
      <c r="B94" s="582"/>
      <c r="C94" s="582"/>
      <c r="D94" s="582"/>
      <c r="E94" s="582"/>
    </row>
    <row r="95" spans="1:5">
      <c r="A95" s="582"/>
      <c r="B95" s="582"/>
      <c r="C95" s="582"/>
      <c r="D95" s="582"/>
      <c r="E95" s="582"/>
    </row>
    <row r="96" spans="1:5">
      <c r="A96" s="582"/>
      <c r="B96" s="582"/>
      <c r="C96" s="582"/>
      <c r="D96" s="582"/>
      <c r="E96" s="582"/>
    </row>
    <row r="97" spans="1:5">
      <c r="A97" s="582"/>
      <c r="B97" s="582"/>
      <c r="C97" s="582"/>
      <c r="D97" s="582"/>
      <c r="E97" s="582"/>
    </row>
    <row r="98" spans="1:5">
      <c r="A98" s="582"/>
      <c r="B98" s="582"/>
      <c r="C98" s="582"/>
      <c r="D98" s="582"/>
      <c r="E98" s="582"/>
    </row>
    <row r="99" spans="1:5">
      <c r="A99" s="582"/>
      <c r="B99" s="582"/>
      <c r="C99" s="582"/>
      <c r="D99" s="582"/>
      <c r="E99" s="582"/>
    </row>
    <row r="100" spans="1:5">
      <c r="A100" s="582"/>
      <c r="B100" s="582"/>
      <c r="C100" s="582"/>
      <c r="D100" s="582"/>
      <c r="E100" s="582"/>
    </row>
    <row r="101" spans="1:5">
      <c r="A101" s="582"/>
      <c r="B101" s="582"/>
      <c r="C101" s="582"/>
      <c r="D101" s="582"/>
      <c r="E101" s="582"/>
    </row>
    <row r="102" spans="1:5">
      <c r="A102" s="582"/>
      <c r="B102" s="582"/>
      <c r="C102" s="582"/>
      <c r="D102" s="582"/>
      <c r="E102" s="582"/>
    </row>
    <row r="103" spans="1:5">
      <c r="A103" s="582"/>
      <c r="B103" s="582"/>
      <c r="C103" s="582"/>
      <c r="D103" s="582"/>
      <c r="E103" s="582"/>
    </row>
    <row r="104" spans="1:5">
      <c r="A104" s="582"/>
      <c r="B104" s="582"/>
      <c r="C104" s="582"/>
      <c r="D104" s="582"/>
      <c r="E104" s="582"/>
    </row>
    <row r="105" spans="1:5">
      <c r="A105" s="582"/>
      <c r="B105" s="582"/>
      <c r="C105" s="582"/>
      <c r="D105" s="582"/>
      <c r="E105" s="582"/>
    </row>
    <row r="106" spans="1:5">
      <c r="A106" s="582"/>
      <c r="B106" s="582"/>
      <c r="C106" s="582"/>
      <c r="D106" s="582"/>
      <c r="E106" s="582"/>
    </row>
    <row r="107" spans="1:5">
      <c r="A107" s="582"/>
      <c r="B107" s="582"/>
      <c r="C107" s="582"/>
      <c r="D107" s="582"/>
      <c r="E107" s="582"/>
    </row>
    <row r="108" spans="1:5">
      <c r="A108" s="582"/>
      <c r="B108" s="582"/>
      <c r="C108" s="582"/>
      <c r="D108" s="582"/>
      <c r="E108" s="582"/>
    </row>
    <row r="109" spans="1:5">
      <c r="A109" s="582"/>
      <c r="B109" s="582"/>
      <c r="C109" s="582"/>
      <c r="D109" s="582"/>
      <c r="E109" s="582"/>
    </row>
    <row r="110" spans="1:5">
      <c r="A110" s="582"/>
      <c r="B110" s="582"/>
      <c r="C110" s="582"/>
      <c r="D110" s="582"/>
      <c r="E110" s="582"/>
    </row>
    <row r="111" spans="1:5">
      <c r="A111" s="582"/>
      <c r="B111" s="582"/>
      <c r="C111" s="582"/>
      <c r="D111" s="582"/>
      <c r="E111" s="582"/>
    </row>
    <row r="112" spans="1:5">
      <c r="A112" s="582"/>
      <c r="B112" s="582"/>
      <c r="C112" s="582"/>
      <c r="D112" s="582"/>
      <c r="E112" s="582"/>
    </row>
    <row r="113" spans="1:5">
      <c r="A113" s="582"/>
      <c r="B113" s="582"/>
      <c r="C113" s="582"/>
      <c r="D113" s="582"/>
      <c r="E113" s="582"/>
    </row>
    <row r="114" spans="1:5">
      <c r="A114" s="582"/>
      <c r="B114" s="582"/>
      <c r="C114" s="582"/>
      <c r="D114" s="582"/>
      <c r="E114" s="582"/>
    </row>
    <row r="115" spans="1:5">
      <c r="A115" s="582"/>
      <c r="B115" s="582"/>
      <c r="C115" s="582"/>
      <c r="D115" s="582"/>
      <c r="E115" s="582"/>
    </row>
    <row r="116" spans="1:5">
      <c r="A116" s="582"/>
      <c r="B116" s="582"/>
      <c r="C116" s="582"/>
      <c r="D116" s="582"/>
      <c r="E116" s="582"/>
    </row>
    <row r="117" spans="1:5">
      <c r="A117" s="582"/>
      <c r="B117" s="582"/>
      <c r="C117" s="582"/>
      <c r="D117" s="582"/>
      <c r="E117" s="582"/>
    </row>
    <row r="118" spans="1:5">
      <c r="A118" s="582"/>
      <c r="B118" s="582"/>
      <c r="C118" s="582"/>
      <c r="D118" s="582"/>
      <c r="E118" s="582"/>
    </row>
    <row r="119" spans="1:5">
      <c r="A119" s="582"/>
      <c r="B119" s="582"/>
      <c r="C119" s="582"/>
      <c r="D119" s="582"/>
      <c r="E119" s="582"/>
    </row>
    <row r="120" spans="1:5">
      <c r="A120" s="582"/>
      <c r="B120" s="582"/>
      <c r="C120" s="582"/>
      <c r="D120" s="582"/>
      <c r="E120" s="582"/>
    </row>
    <row r="121" spans="1:5">
      <c r="A121" s="582"/>
      <c r="B121" s="582"/>
      <c r="C121" s="582"/>
      <c r="D121" s="582"/>
      <c r="E121" s="582"/>
    </row>
    <row r="122" spans="1:5">
      <c r="A122" s="582"/>
      <c r="B122" s="582"/>
      <c r="C122" s="582"/>
      <c r="D122" s="582"/>
      <c r="E122" s="582"/>
    </row>
    <row r="123" spans="1:5">
      <c r="A123" s="582"/>
      <c r="B123" s="582"/>
      <c r="C123" s="582"/>
      <c r="D123" s="582"/>
      <c r="E123" s="582"/>
    </row>
    <row r="124" spans="1:5">
      <c r="A124" s="582"/>
      <c r="B124" s="582"/>
      <c r="C124" s="582"/>
      <c r="D124" s="582"/>
      <c r="E124" s="582"/>
    </row>
    <row r="125" spans="1:5">
      <c r="A125" s="582"/>
      <c r="B125" s="582"/>
      <c r="C125" s="582"/>
      <c r="D125" s="582"/>
      <c r="E125" s="582"/>
    </row>
    <row r="126" spans="1:5">
      <c r="A126" s="582"/>
      <c r="B126" s="582"/>
      <c r="C126" s="582"/>
      <c r="D126" s="582"/>
      <c r="E126" s="582"/>
    </row>
    <row r="127" spans="1:5">
      <c r="A127" s="582"/>
      <c r="B127" s="582"/>
      <c r="C127" s="582"/>
      <c r="D127" s="582"/>
      <c r="E127" s="582"/>
    </row>
    <row r="128" spans="1:5">
      <c r="A128" s="582"/>
      <c r="B128" s="582"/>
      <c r="C128" s="582"/>
      <c r="D128" s="582"/>
      <c r="E128" s="582"/>
    </row>
    <row r="129" spans="1:5">
      <c r="A129" s="582"/>
      <c r="B129" s="582"/>
      <c r="C129" s="582"/>
      <c r="D129" s="582"/>
      <c r="E129" s="582"/>
    </row>
    <row r="130" spans="1:5">
      <c r="A130" s="582"/>
      <c r="B130" s="582"/>
      <c r="C130" s="582"/>
      <c r="D130" s="582"/>
      <c r="E130" s="582"/>
    </row>
    <row r="131" spans="1:5">
      <c r="A131" s="582"/>
      <c r="B131" s="582"/>
      <c r="C131" s="582"/>
      <c r="D131" s="582"/>
      <c r="E131" s="582"/>
    </row>
    <row r="132" spans="1:5">
      <c r="A132" s="582"/>
      <c r="B132" s="582"/>
      <c r="C132" s="582"/>
      <c r="D132" s="582"/>
      <c r="E132" s="582"/>
    </row>
    <row r="133" spans="1:5">
      <c r="A133" s="582"/>
      <c r="B133" s="582"/>
      <c r="C133" s="582"/>
      <c r="D133" s="582"/>
      <c r="E133" s="582"/>
    </row>
    <row r="134" spans="1:5">
      <c r="A134" s="582"/>
      <c r="B134" s="582"/>
      <c r="C134" s="582"/>
      <c r="D134" s="582"/>
      <c r="E134" s="582"/>
    </row>
    <row r="135" spans="1:5">
      <c r="A135" s="582"/>
      <c r="B135" s="582"/>
      <c r="C135" s="582"/>
      <c r="D135" s="582"/>
      <c r="E135" s="582"/>
    </row>
    <row r="136" spans="1:5">
      <c r="A136" s="582"/>
      <c r="B136" s="582"/>
      <c r="C136" s="582"/>
      <c r="D136" s="582"/>
      <c r="E136" s="582"/>
    </row>
    <row r="137" spans="1:5">
      <c r="A137" s="582"/>
      <c r="B137" s="582"/>
      <c r="C137" s="582"/>
      <c r="D137" s="582"/>
      <c r="E137" s="582"/>
    </row>
    <row r="138" spans="1:5">
      <c r="A138" s="582"/>
      <c r="B138" s="582"/>
      <c r="C138" s="582"/>
      <c r="D138" s="582"/>
      <c r="E138" s="582"/>
    </row>
    <row r="139" spans="1:5">
      <c r="A139" s="582"/>
      <c r="B139" s="582"/>
      <c r="C139" s="582"/>
      <c r="D139" s="582"/>
      <c r="E139" s="582"/>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H1" zoomScale="75" zoomScaleNormal="75" workbookViewId="0">
      <selection activeCell="Q136" sqref="Q136:S137"/>
    </sheetView>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4"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5"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6"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47"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48"/>
      <c r="AC7" s="349" t="str">
        <f t="shared" ref="AC7:AC19" si="0">IF(AB7&lt;&gt;AD7,"Change","")</f>
        <v>Change</v>
      </c>
      <c r="AD7" s="350"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1"/>
      <c r="AC8" s="349" t="str">
        <f t="shared" si="0"/>
        <v/>
      </c>
      <c r="AD8" s="352"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3"/>
      <c r="AC9" s="349" t="str">
        <f t="shared" si="0"/>
        <v>Change</v>
      </c>
      <c r="AD9" s="354" t="str">
        <f>IF(X7="","",X7)</f>
        <v>Eugene Mah</v>
      </c>
      <c r="AH9" s="16" t="s">
        <v>402</v>
      </c>
      <c r="AI9" s="16" t="s">
        <v>403</v>
      </c>
      <c r="AJ9" s="16" t="s">
        <v>404</v>
      </c>
      <c r="AK9" s="16" t="s">
        <v>405</v>
      </c>
      <c r="AL9" s="16" t="s">
        <v>239</v>
      </c>
      <c r="AM9" s="16" t="s">
        <v>49</v>
      </c>
      <c r="AN9" s="16" t="s">
        <v>309</v>
      </c>
      <c r="AO9" s="16" t="s">
        <v>310</v>
      </c>
      <c r="AP9" s="16" t="s">
        <v>406</v>
      </c>
      <c r="AQ9" s="420" t="s">
        <v>591</v>
      </c>
      <c r="AR9" s="420" t="s">
        <v>590</v>
      </c>
    </row>
    <row r="10" spans="1:44">
      <c r="A10" s="1">
        <v>10</v>
      </c>
      <c r="B10" s="39"/>
      <c r="C10" s="40"/>
      <c r="D10" s="5"/>
      <c r="E10" s="41" t="s">
        <v>10</v>
      </c>
      <c r="F10" s="684" t="str">
        <f>IF(R10="","",R10)</f>
        <v/>
      </c>
      <c r="G10" s="684"/>
      <c r="H10" s="5"/>
      <c r="I10" s="5"/>
      <c r="J10" s="41" t="s">
        <v>11</v>
      </c>
      <c r="K10" s="684" t="str">
        <f>IF(V10="","",V10)</f>
        <v/>
      </c>
      <c r="L10" s="684"/>
      <c r="M10" s="42"/>
      <c r="N10" s="5"/>
      <c r="O10" s="13"/>
      <c r="P10" s="5"/>
      <c r="Q10" s="41" t="s">
        <v>10</v>
      </c>
      <c r="R10" s="25" t="str">
        <f>IF(S10&lt;&gt;"",S10,IF(AB10="","",AB10))</f>
        <v/>
      </c>
      <c r="S10" s="26"/>
      <c r="T10" s="5"/>
      <c r="U10" s="41" t="s">
        <v>11</v>
      </c>
      <c r="V10" s="25" t="str">
        <f>IF(W10&lt;&gt;"",W10,IF(AB15="","",AB15))</f>
        <v/>
      </c>
      <c r="W10" s="26"/>
      <c r="X10" s="5"/>
      <c r="Y10" s="15"/>
      <c r="AA10" s="41" t="s">
        <v>10</v>
      </c>
      <c r="AB10" s="353"/>
      <c r="AC10" s="349" t="str">
        <f t="shared" si="0"/>
        <v/>
      </c>
      <c r="AD10" s="354" t="str">
        <f>IF(R10="","",R10)</f>
        <v/>
      </c>
      <c r="AH10" s="182">
        <v>24</v>
      </c>
      <c r="AI10" s="183">
        <v>50</v>
      </c>
      <c r="AJ10" s="366">
        <v>0</v>
      </c>
      <c r="AK10" s="183" t="str">
        <f t="shared" ref="AK10:AK74" si="1">IF($V$21="","",$V$21)</f>
        <v/>
      </c>
      <c r="AL10" s="183" t="str">
        <f t="shared" ref="AL10:AL57" si="2">IF($V$24="","",$V$24)</f>
        <v/>
      </c>
      <c r="AM10" s="183"/>
      <c r="AN10" s="183"/>
      <c r="AO10" s="183"/>
      <c r="AP10" s="183"/>
      <c r="AQ10" s="217"/>
      <c r="AR10" s="217"/>
    </row>
    <row r="11" spans="1:44">
      <c r="A11" s="1">
        <v>11</v>
      </c>
      <c r="B11" s="39"/>
      <c r="C11" s="40"/>
      <c r="D11" s="5"/>
      <c r="E11" s="41" t="s">
        <v>12</v>
      </c>
      <c r="F11" s="685" t="str">
        <f>IF(R11="","",R11)</f>
        <v/>
      </c>
      <c r="G11" s="685"/>
      <c r="H11" s="5"/>
      <c r="I11" s="5"/>
      <c r="J11" s="41" t="s">
        <v>13</v>
      </c>
      <c r="K11" s="684" t="str">
        <f>IF(V11="","",V11)</f>
        <v/>
      </c>
      <c r="L11" s="684"/>
      <c r="M11" s="42"/>
      <c r="N11" s="5"/>
      <c r="O11" s="13"/>
      <c r="P11" s="5"/>
      <c r="Q11" s="41" t="s">
        <v>12</v>
      </c>
      <c r="R11" s="25" t="str">
        <f>IF(S11&lt;&gt;"",S11,IF(AB11="","",AB11))</f>
        <v/>
      </c>
      <c r="S11" s="26"/>
      <c r="T11" s="5"/>
      <c r="U11" s="41" t="s">
        <v>13</v>
      </c>
      <c r="V11" s="25" t="str">
        <f>IF(W11&lt;&gt;"",W11,IF(AB16="","",AB16))</f>
        <v/>
      </c>
      <c r="W11" s="26"/>
      <c r="X11" s="5"/>
      <c r="Y11" s="15"/>
      <c r="AA11" s="41" t="s">
        <v>12</v>
      </c>
      <c r="AB11" s="353"/>
      <c r="AC11" s="349" t="str">
        <f t="shared" si="0"/>
        <v/>
      </c>
      <c r="AD11" s="354" t="str">
        <f>IF(R11="","",R11)</f>
        <v/>
      </c>
      <c r="AH11" s="367">
        <v>24</v>
      </c>
      <c r="AI11" s="368">
        <v>50</v>
      </c>
      <c r="AJ11" s="369">
        <v>0</v>
      </c>
      <c r="AK11" s="368" t="str">
        <f t="shared" si="1"/>
        <v/>
      </c>
      <c r="AL11" s="368" t="str">
        <f t="shared" si="2"/>
        <v/>
      </c>
      <c r="AM11" s="368"/>
      <c r="AN11" s="368"/>
      <c r="AO11" s="368"/>
      <c r="AP11" s="368"/>
      <c r="AQ11" s="370"/>
      <c r="AR11" s="370"/>
    </row>
    <row r="12" spans="1:44">
      <c r="A12" s="1">
        <v>12</v>
      </c>
      <c r="B12" s="39"/>
      <c r="C12" s="40"/>
      <c r="D12" s="5"/>
      <c r="E12" s="41" t="s">
        <v>14</v>
      </c>
      <c r="F12" s="685" t="str">
        <f>IF(R12="","",R12)</f>
        <v/>
      </c>
      <c r="G12" s="685"/>
      <c r="H12" s="5"/>
      <c r="I12" s="5"/>
      <c r="J12" s="41" t="s">
        <v>15</v>
      </c>
      <c r="K12" s="686" t="str">
        <f>IF(V12="","",V12)</f>
        <v/>
      </c>
      <c r="L12" s="686"/>
      <c r="M12" s="42"/>
      <c r="N12" s="5"/>
      <c r="O12" s="13"/>
      <c r="P12" s="5"/>
      <c r="Q12" s="41" t="s">
        <v>14</v>
      </c>
      <c r="R12" s="25" t="str">
        <f>IF(S12&lt;&gt;"",S12,IF(AB12="","",AB12))</f>
        <v/>
      </c>
      <c r="S12" s="26"/>
      <c r="T12" s="5"/>
      <c r="U12" s="41" t="s">
        <v>15</v>
      </c>
      <c r="V12" s="43" t="str">
        <f>IF(W12&lt;&gt;"",W12,IF(AB17="","",AB17))</f>
        <v/>
      </c>
      <c r="W12" s="44"/>
      <c r="X12" s="5"/>
      <c r="Y12" s="15"/>
      <c r="AA12" s="41" t="s">
        <v>14</v>
      </c>
      <c r="AB12" s="353"/>
      <c r="AC12" s="349" t="str">
        <f t="shared" si="0"/>
        <v/>
      </c>
      <c r="AD12" s="354" t="str">
        <f>IF(R12="","",R12)</f>
        <v/>
      </c>
      <c r="AH12" s="367">
        <v>24</v>
      </c>
      <c r="AI12" s="368">
        <v>50</v>
      </c>
      <c r="AJ12" s="369">
        <v>0.4</v>
      </c>
      <c r="AK12" s="368" t="str">
        <f t="shared" si="1"/>
        <v/>
      </c>
      <c r="AL12" s="368" t="str">
        <f t="shared" si="2"/>
        <v/>
      </c>
      <c r="AM12" s="368"/>
      <c r="AN12" s="368"/>
      <c r="AO12" s="368"/>
      <c r="AP12" s="368"/>
      <c r="AQ12" s="370"/>
      <c r="AR12" s="370"/>
    </row>
    <row r="13" spans="1:44">
      <c r="A13" s="1">
        <v>13</v>
      </c>
      <c r="B13" s="39"/>
      <c r="C13" s="40"/>
      <c r="D13" s="5"/>
      <c r="E13" s="41" t="s">
        <v>16</v>
      </c>
      <c r="F13" s="685" t="str">
        <f>IF(R13="","",R13)</f>
        <v/>
      </c>
      <c r="G13" s="685"/>
      <c r="H13" s="5"/>
      <c r="I13" s="5"/>
      <c r="J13" s="41" t="s">
        <v>17</v>
      </c>
      <c r="K13" s="684" t="str">
        <f>IF(V13="","",V13)</f>
        <v/>
      </c>
      <c r="L13" s="684"/>
      <c r="M13" s="42"/>
      <c r="N13" s="5"/>
      <c r="O13" s="13"/>
      <c r="P13" s="5"/>
      <c r="Q13" s="41" t="s">
        <v>16</v>
      </c>
      <c r="R13" s="25" t="str">
        <f>IF(S13&lt;&gt;"",S13,IF(AB13="","",AB13))</f>
        <v/>
      </c>
      <c r="S13" s="26"/>
      <c r="T13" s="5"/>
      <c r="U13" s="41" t="s">
        <v>17</v>
      </c>
      <c r="V13" s="25" t="str">
        <f>IF(W13&lt;&gt;"",W13,IF(AB18="","",AB18))</f>
        <v/>
      </c>
      <c r="W13" s="26"/>
      <c r="X13" s="5"/>
      <c r="Y13" s="15"/>
      <c r="AA13" s="41" t="s">
        <v>16</v>
      </c>
      <c r="AB13" s="353"/>
      <c r="AC13" s="349" t="str">
        <f t="shared" si="0"/>
        <v/>
      </c>
      <c r="AD13" s="354" t="str">
        <f>IF(R13="","",R13)</f>
        <v/>
      </c>
      <c r="AH13" s="367">
        <v>24</v>
      </c>
      <c r="AI13" s="368">
        <v>50</v>
      </c>
      <c r="AJ13" s="369">
        <v>0.4</v>
      </c>
      <c r="AK13" s="368" t="str">
        <f t="shared" si="1"/>
        <v/>
      </c>
      <c r="AL13" s="368" t="str">
        <f t="shared" si="2"/>
        <v/>
      </c>
      <c r="AM13" s="368"/>
      <c r="AN13" s="368"/>
      <c r="AO13" s="368"/>
      <c r="AP13" s="368"/>
      <c r="AQ13" s="370"/>
      <c r="AR13" s="370"/>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5"/>
      <c r="AC14" s="349" t="str">
        <f t="shared" si="0"/>
        <v/>
      </c>
      <c r="AD14" s="354" t="str">
        <f>IF(R14="","",R14)</f>
        <v/>
      </c>
      <c r="AH14" s="367">
        <v>24</v>
      </c>
      <c r="AI14" s="368">
        <v>50</v>
      </c>
      <c r="AJ14" s="369">
        <v>0.5</v>
      </c>
      <c r="AK14" s="368" t="str">
        <f t="shared" si="1"/>
        <v/>
      </c>
      <c r="AL14" s="368" t="str">
        <f t="shared" si="2"/>
        <v/>
      </c>
      <c r="AM14" s="368"/>
      <c r="AN14" s="368"/>
      <c r="AO14" s="368"/>
      <c r="AP14" s="368"/>
      <c r="AQ14" s="370"/>
      <c r="AR14" s="370"/>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3"/>
      <c r="AC15" s="349" t="str">
        <f t="shared" si="0"/>
        <v/>
      </c>
      <c r="AD15" s="354" t="str">
        <f>IF(V10="","",V10)</f>
        <v/>
      </c>
      <c r="AH15" s="367">
        <v>24</v>
      </c>
      <c r="AI15" s="368">
        <v>50</v>
      </c>
      <c r="AJ15" s="369">
        <v>0.5</v>
      </c>
      <c r="AK15" s="368" t="str">
        <f t="shared" si="1"/>
        <v/>
      </c>
      <c r="AL15" s="368" t="str">
        <f t="shared" si="2"/>
        <v/>
      </c>
      <c r="AM15" s="368"/>
      <c r="AN15" s="368"/>
      <c r="AO15" s="368"/>
      <c r="AP15" s="368"/>
      <c r="AQ15" s="370"/>
      <c r="AR15" s="370"/>
    </row>
    <row r="16" spans="1:44">
      <c r="A16" s="1">
        <v>16</v>
      </c>
      <c r="B16" s="39"/>
      <c r="C16" s="40"/>
      <c r="D16" s="5"/>
      <c r="E16" s="41" t="s">
        <v>21</v>
      </c>
      <c r="F16" s="684" t="str">
        <f>IF(R17="","",R17)</f>
        <v/>
      </c>
      <c r="G16" s="684"/>
      <c r="H16" s="5"/>
      <c r="I16" s="5"/>
      <c r="J16" s="41" t="s">
        <v>22</v>
      </c>
      <c r="K16" s="686" t="str">
        <f>IF(V17="","",V17)</f>
        <v/>
      </c>
      <c r="L16" s="686"/>
      <c r="M16" s="42"/>
      <c r="N16" s="5"/>
      <c r="O16" s="13"/>
      <c r="P16" s="45" t="s">
        <v>20</v>
      </c>
      <c r="Q16" s="5"/>
      <c r="R16" s="5"/>
      <c r="S16" s="5"/>
      <c r="T16" s="5"/>
      <c r="U16" s="5"/>
      <c r="V16" s="5"/>
      <c r="W16" s="5"/>
      <c r="X16" s="5"/>
      <c r="Y16" s="15"/>
      <c r="AA16" s="41" t="s">
        <v>13</v>
      </c>
      <c r="AB16" s="353"/>
      <c r="AC16" s="349" t="str">
        <f t="shared" si="0"/>
        <v/>
      </c>
      <c r="AD16" s="354" t="str">
        <f>IF(V11="","",V11)</f>
        <v/>
      </c>
      <c r="AH16" s="367">
        <v>24</v>
      </c>
      <c r="AI16" s="368">
        <v>50</v>
      </c>
      <c r="AJ16" s="369">
        <v>0.4</v>
      </c>
      <c r="AK16" s="368" t="str">
        <f t="shared" si="1"/>
        <v/>
      </c>
      <c r="AL16" s="368" t="str">
        <f t="shared" si="2"/>
        <v/>
      </c>
      <c r="AM16" s="368"/>
      <c r="AN16" s="368"/>
      <c r="AO16" s="368"/>
      <c r="AP16" s="368"/>
      <c r="AQ16" s="370"/>
      <c r="AR16" s="370"/>
    </row>
    <row r="17" spans="1:44">
      <c r="A17" s="1">
        <v>17</v>
      </c>
      <c r="B17" s="39"/>
      <c r="C17" s="40"/>
      <c r="D17" s="5"/>
      <c r="E17" s="41" t="s">
        <v>23</v>
      </c>
      <c r="F17" s="684" t="str">
        <f>IF(R18="","",R18)</f>
        <v/>
      </c>
      <c r="G17" s="684"/>
      <c r="H17" s="5"/>
      <c r="I17" s="5"/>
      <c r="J17" s="41" t="s">
        <v>24</v>
      </c>
      <c r="K17" s="684" t="str">
        <f>IF(V18="","",V18)</f>
        <v/>
      </c>
      <c r="L17" s="684"/>
      <c r="M17" s="42"/>
      <c r="N17" s="5"/>
      <c r="O17" s="13"/>
      <c r="P17" s="5"/>
      <c r="Q17" s="41" t="s">
        <v>21</v>
      </c>
      <c r="R17" s="25" t="str">
        <f>IF(S17&lt;&gt;"",S17,IF(AB21="","",AB21))</f>
        <v/>
      </c>
      <c r="S17" s="26"/>
      <c r="T17" s="5"/>
      <c r="U17" s="41" t="s">
        <v>22</v>
      </c>
      <c r="V17" s="43" t="str">
        <f>IF(W17&lt;&gt;"",W17,IF(AB24="","",AB24))</f>
        <v/>
      </c>
      <c r="W17" s="44"/>
      <c r="X17" s="5"/>
      <c r="Y17" s="15"/>
      <c r="AA17" s="41" t="s">
        <v>15</v>
      </c>
      <c r="AB17" s="356"/>
      <c r="AC17" s="349" t="str">
        <f t="shared" si="0"/>
        <v/>
      </c>
      <c r="AD17" s="357" t="str">
        <f>IF(V12="","",V12)</f>
        <v/>
      </c>
      <c r="AH17" s="367">
        <v>24</v>
      </c>
      <c r="AI17" s="368">
        <v>50</v>
      </c>
      <c r="AJ17" s="369">
        <v>0.4</v>
      </c>
      <c r="AK17" s="368" t="str">
        <f t="shared" si="1"/>
        <v/>
      </c>
      <c r="AL17" s="368" t="str">
        <f t="shared" si="2"/>
        <v/>
      </c>
      <c r="AM17" s="368"/>
      <c r="AN17" s="368"/>
      <c r="AO17" s="368"/>
      <c r="AP17" s="368"/>
      <c r="AQ17" s="370"/>
      <c r="AR17" s="370"/>
    </row>
    <row r="18" spans="1:44">
      <c r="A18" s="1">
        <v>18</v>
      </c>
      <c r="B18" s="39"/>
      <c r="C18" s="40"/>
      <c r="D18" s="5"/>
      <c r="E18" s="41" t="s">
        <v>25</v>
      </c>
      <c r="F18" s="684" t="str">
        <f>IF(R19="","",R19)</f>
        <v/>
      </c>
      <c r="G18" s="684"/>
      <c r="H18" s="5"/>
      <c r="I18" s="5"/>
      <c r="J18" s="41" t="s">
        <v>26</v>
      </c>
      <c r="K18" s="684" t="str">
        <f>IF(V19="","",V19)</f>
        <v/>
      </c>
      <c r="L18" s="684"/>
      <c r="M18" s="42"/>
      <c r="N18" s="5"/>
      <c r="O18" s="13"/>
      <c r="P18" s="5"/>
      <c r="Q18" s="41" t="s">
        <v>23</v>
      </c>
      <c r="R18" s="25" t="str">
        <f>IF(S18&lt;&gt;"",S18,IF(AB22="","",AB22))</f>
        <v/>
      </c>
      <c r="S18" s="26"/>
      <c r="T18" s="5"/>
      <c r="U18" s="41" t="s">
        <v>24</v>
      </c>
      <c r="V18" s="25" t="str">
        <f>IF(W18&lt;&gt;"",W18,IF(AB25="","",AB25))</f>
        <v/>
      </c>
      <c r="W18" s="26"/>
      <c r="X18" s="5"/>
      <c r="Y18" s="15"/>
      <c r="AA18" s="41" t="s">
        <v>17</v>
      </c>
      <c r="AB18" s="353"/>
      <c r="AC18" s="349" t="str">
        <f t="shared" si="0"/>
        <v/>
      </c>
      <c r="AD18" s="354" t="str">
        <f>IF(V13="","",V13)</f>
        <v/>
      </c>
      <c r="AH18" s="185">
        <v>25</v>
      </c>
      <c r="AI18" s="121">
        <v>50</v>
      </c>
      <c r="AJ18" s="209">
        <v>0</v>
      </c>
      <c r="AK18" s="121" t="str">
        <f t="shared" si="1"/>
        <v/>
      </c>
      <c r="AL18" s="121" t="str">
        <f t="shared" si="2"/>
        <v/>
      </c>
      <c r="AM18" s="121"/>
      <c r="AN18" s="121"/>
      <c r="AO18" s="121"/>
      <c r="AP18" s="121"/>
      <c r="AQ18" s="220"/>
      <c r="AR18" s="220"/>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3"/>
      <c r="AC19" s="349" t="str">
        <f t="shared" si="0"/>
        <v/>
      </c>
      <c r="AD19" s="354" t="str">
        <f>IF(V14="","",V14)</f>
        <v/>
      </c>
      <c r="AH19" s="367">
        <v>25</v>
      </c>
      <c r="AI19" s="368">
        <v>50</v>
      </c>
      <c r="AJ19" s="369">
        <v>0</v>
      </c>
      <c r="AK19" s="368" t="str">
        <f t="shared" si="1"/>
        <v/>
      </c>
      <c r="AL19" s="368" t="str">
        <f t="shared" si="2"/>
        <v/>
      </c>
      <c r="AM19" s="368"/>
      <c r="AN19" s="368"/>
      <c r="AO19" s="368"/>
      <c r="AP19" s="368"/>
      <c r="AQ19" s="370"/>
      <c r="AR19" s="370"/>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47" t="s">
        <v>20</v>
      </c>
      <c r="AB20" s="5"/>
      <c r="AC20" s="5"/>
      <c r="AD20" s="5"/>
      <c r="AH20" s="367">
        <v>25</v>
      </c>
      <c r="AI20" s="368">
        <v>50</v>
      </c>
      <c r="AJ20" s="369">
        <v>0.4</v>
      </c>
      <c r="AK20" s="368" t="str">
        <f t="shared" si="1"/>
        <v/>
      </c>
      <c r="AL20" s="368" t="str">
        <f t="shared" si="2"/>
        <v/>
      </c>
      <c r="AM20" s="368"/>
      <c r="AN20" s="368"/>
      <c r="AO20" s="368"/>
      <c r="AP20" s="368"/>
      <c r="AQ20" s="370"/>
      <c r="AR20" s="370"/>
    </row>
    <row r="21" spans="1:44">
      <c r="A21" s="1">
        <v>21</v>
      </c>
      <c r="B21" s="39"/>
      <c r="C21" s="40"/>
      <c r="D21" s="5"/>
      <c r="E21" s="41" t="s">
        <v>28</v>
      </c>
      <c r="F21" s="684" t="str">
        <f>IF(R22="","",R22)</f>
        <v/>
      </c>
      <c r="G21" s="684"/>
      <c r="H21" s="5"/>
      <c r="I21" s="5"/>
      <c r="J21" s="41" t="s">
        <v>29</v>
      </c>
      <c r="K21" s="684" t="str">
        <f>IF(V21="","",V21)</f>
        <v/>
      </c>
      <c r="L21" s="684"/>
      <c r="M21" s="42"/>
      <c r="N21" s="5"/>
      <c r="O21" s="13"/>
      <c r="P21" s="45" t="s">
        <v>27</v>
      </c>
      <c r="Q21" s="5"/>
      <c r="R21" s="5"/>
      <c r="S21" s="5"/>
      <c r="T21" s="5"/>
      <c r="U21" s="45" t="s">
        <v>29</v>
      </c>
      <c r="V21" s="25" t="str">
        <f>IF(W21&lt;&gt;"",W21,IF(AB38="","",AB38))</f>
        <v/>
      </c>
      <c r="W21" s="26"/>
      <c r="X21" s="5"/>
      <c r="Y21" s="15"/>
      <c r="AA21" s="41" t="s">
        <v>21</v>
      </c>
      <c r="AB21" s="353"/>
      <c r="AC21" s="349" t="str">
        <f t="shared" ref="AC21:AC26" si="3">IF(AB21&lt;&gt;AD21,"Change","")</f>
        <v/>
      </c>
      <c r="AD21" s="354" t="str">
        <f>IF(R17="","",R17)</f>
        <v/>
      </c>
      <c r="AH21" s="367">
        <v>25</v>
      </c>
      <c r="AI21" s="368">
        <v>50</v>
      </c>
      <c r="AJ21" s="369">
        <v>0.4</v>
      </c>
      <c r="AK21" s="368" t="str">
        <f t="shared" si="1"/>
        <v/>
      </c>
      <c r="AL21" s="368" t="str">
        <f t="shared" si="2"/>
        <v/>
      </c>
      <c r="AM21" s="368"/>
      <c r="AN21" s="368"/>
      <c r="AO21" s="368"/>
      <c r="AP21" s="368"/>
      <c r="AQ21" s="370"/>
      <c r="AR21" s="370"/>
    </row>
    <row r="22" spans="1:44">
      <c r="A22" s="1">
        <v>22</v>
      </c>
      <c r="B22" s="39"/>
      <c r="C22" s="40"/>
      <c r="D22" s="5"/>
      <c r="E22" s="41" t="s">
        <v>22</v>
      </c>
      <c r="F22" s="686" t="str">
        <f>IF(R23="","",R23)</f>
        <v/>
      </c>
      <c r="G22" s="686"/>
      <c r="H22" s="5"/>
      <c r="I22" s="5"/>
      <c r="J22" s="41"/>
      <c r="K22" s="684" t="str">
        <f>IF(V22="","",V22)</f>
        <v/>
      </c>
      <c r="L22" s="684"/>
      <c r="M22" s="42"/>
      <c r="N22" s="5"/>
      <c r="O22" s="13"/>
      <c r="P22" s="5"/>
      <c r="Q22" s="41" t="s">
        <v>28</v>
      </c>
      <c r="R22" s="25" t="str">
        <f>IF(S22&lt;&gt;"",S22,IF(AB28="","",AB28))</f>
        <v/>
      </c>
      <c r="S22" s="26"/>
      <c r="T22" s="5"/>
      <c r="U22" s="5"/>
      <c r="V22" s="25" t="str">
        <f>IF(W22&lt;&gt;"",W22,IF(AB39="","",AB39))</f>
        <v/>
      </c>
      <c r="W22" s="26"/>
      <c r="X22" s="5"/>
      <c r="Y22" s="15"/>
      <c r="AA22" s="41" t="s">
        <v>23</v>
      </c>
      <c r="AB22" s="353"/>
      <c r="AC22" s="349" t="str">
        <f t="shared" si="3"/>
        <v/>
      </c>
      <c r="AD22" s="354" t="str">
        <f>IF(R18="","",R18)</f>
        <v/>
      </c>
      <c r="AH22" s="367">
        <v>25</v>
      </c>
      <c r="AI22" s="368">
        <v>50</v>
      </c>
      <c r="AJ22" s="369">
        <v>0.5</v>
      </c>
      <c r="AK22" s="368" t="str">
        <f t="shared" si="1"/>
        <v/>
      </c>
      <c r="AL22" s="368" t="str">
        <f t="shared" si="2"/>
        <v/>
      </c>
      <c r="AM22" s="368"/>
      <c r="AN22" s="368"/>
      <c r="AO22" s="368"/>
      <c r="AP22" s="368"/>
      <c r="AQ22" s="370"/>
      <c r="AR22" s="370"/>
    </row>
    <row r="23" spans="1:44">
      <c r="A23" s="1">
        <v>23</v>
      </c>
      <c r="B23" s="39"/>
      <c r="C23" s="40"/>
      <c r="D23" s="45" t="s">
        <v>30</v>
      </c>
      <c r="E23" s="5"/>
      <c r="F23" s="5"/>
      <c r="G23" s="5"/>
      <c r="H23" s="5"/>
      <c r="I23" s="5"/>
      <c r="J23" s="41" t="s">
        <v>31</v>
      </c>
      <c r="K23" s="684" t="str">
        <f>IF(V24="","",V24)</f>
        <v/>
      </c>
      <c r="L23" s="684"/>
      <c r="M23" s="42"/>
      <c r="N23" s="5"/>
      <c r="O23" s="13"/>
      <c r="P23" s="5"/>
      <c r="Q23" s="41" t="s">
        <v>22</v>
      </c>
      <c r="R23" s="43" t="str">
        <f>IF(S23&lt;&gt;"",S23,IF(AB29="","",AB29))</f>
        <v/>
      </c>
      <c r="S23" s="44"/>
      <c r="T23" s="5"/>
      <c r="U23" s="5"/>
      <c r="V23" s="47"/>
      <c r="W23" s="47"/>
      <c r="X23" s="5"/>
      <c r="Y23" s="15"/>
      <c r="AA23" s="41" t="s">
        <v>25</v>
      </c>
      <c r="AB23" s="353"/>
      <c r="AC23" s="349" t="str">
        <f t="shared" si="3"/>
        <v/>
      </c>
      <c r="AD23" s="354" t="str">
        <f>IF(R19="","",R19)</f>
        <v/>
      </c>
      <c r="AH23" s="367">
        <v>25</v>
      </c>
      <c r="AI23" s="368">
        <v>50</v>
      </c>
      <c r="AJ23" s="369">
        <v>0.5</v>
      </c>
      <c r="AK23" s="368" t="str">
        <f t="shared" si="1"/>
        <v/>
      </c>
      <c r="AL23" s="368" t="str">
        <f t="shared" si="2"/>
        <v/>
      </c>
      <c r="AM23" s="368"/>
      <c r="AN23" s="368"/>
      <c r="AO23" s="368"/>
      <c r="AP23" s="368"/>
      <c r="AQ23" s="370"/>
      <c r="AR23" s="370"/>
    </row>
    <row r="24" spans="1:44">
      <c r="A24" s="1">
        <v>24</v>
      </c>
      <c r="B24" s="39"/>
      <c r="C24" s="40"/>
      <c r="D24" s="5"/>
      <c r="E24" s="41" t="s">
        <v>21</v>
      </c>
      <c r="F24" s="684" t="str">
        <f>IF(R25="","",R25)</f>
        <v/>
      </c>
      <c r="G24" s="684"/>
      <c r="H24" s="5"/>
      <c r="I24" s="5"/>
      <c r="J24" s="5"/>
      <c r="K24" s="684" t="str">
        <f>IF(V25="","",V25)</f>
        <v/>
      </c>
      <c r="L24" s="684"/>
      <c r="M24" s="42"/>
      <c r="N24" s="5"/>
      <c r="O24" s="13"/>
      <c r="P24" s="45" t="s">
        <v>30</v>
      </c>
      <c r="Q24" s="5"/>
      <c r="R24" s="5"/>
      <c r="S24" s="5"/>
      <c r="T24" s="5"/>
      <c r="U24" s="45" t="s">
        <v>31</v>
      </c>
      <c r="V24" s="25" t="str">
        <f>IF(W24&lt;&gt;"",W24,IF(AB40="","",AB40))</f>
        <v/>
      </c>
      <c r="W24" s="26"/>
      <c r="X24" s="5"/>
      <c r="Y24" s="15"/>
      <c r="AA24" s="41" t="s">
        <v>22</v>
      </c>
      <c r="AB24" s="356"/>
      <c r="AC24" s="349" t="str">
        <f t="shared" si="3"/>
        <v/>
      </c>
      <c r="AD24" s="357" t="str">
        <f>IF(V17="","",V17)</f>
        <v/>
      </c>
      <c r="AH24" s="367">
        <v>25</v>
      </c>
      <c r="AI24" s="368">
        <v>50</v>
      </c>
      <c r="AJ24" s="369">
        <v>0.5</v>
      </c>
      <c r="AK24" s="368" t="str">
        <f t="shared" si="1"/>
        <v/>
      </c>
      <c r="AL24" s="368" t="str">
        <f t="shared" si="2"/>
        <v/>
      </c>
      <c r="AM24" s="368"/>
      <c r="AN24" s="368"/>
      <c r="AO24" s="368"/>
      <c r="AP24" s="368"/>
      <c r="AQ24" s="370"/>
      <c r="AR24" s="370"/>
    </row>
    <row r="25" spans="1:44">
      <c r="A25" s="1">
        <v>25</v>
      </c>
      <c r="B25" s="39"/>
      <c r="C25" s="40"/>
      <c r="D25" s="5"/>
      <c r="E25" s="41" t="s">
        <v>23</v>
      </c>
      <c r="F25" s="684" t="str">
        <f>IF(R26="","",R26)</f>
        <v/>
      </c>
      <c r="G25" s="684"/>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3"/>
      <c r="AC25" s="349" t="str">
        <f t="shared" si="3"/>
        <v/>
      </c>
      <c r="AD25" s="354" t="str">
        <f>IF(V18="","",V18)</f>
        <v/>
      </c>
      <c r="AH25" s="367">
        <v>25</v>
      </c>
      <c r="AI25" s="368">
        <v>50</v>
      </c>
      <c r="AJ25" s="369">
        <v>0.5</v>
      </c>
      <c r="AK25" s="368" t="str">
        <f t="shared" si="1"/>
        <v/>
      </c>
      <c r="AL25" s="368" t="str">
        <f t="shared" si="2"/>
        <v/>
      </c>
      <c r="AM25" s="368"/>
      <c r="AN25" s="368"/>
      <c r="AO25" s="368"/>
      <c r="AP25" s="368"/>
      <c r="AQ25" s="370"/>
      <c r="AR25" s="370"/>
    </row>
    <row r="26" spans="1:44">
      <c r="A26" s="1">
        <v>26</v>
      </c>
      <c r="B26" s="39"/>
      <c r="C26" s="40"/>
      <c r="D26" s="5"/>
      <c r="E26" s="41" t="s">
        <v>24</v>
      </c>
      <c r="F26" s="684" t="str">
        <f>IF(R27="","",R27)</f>
        <v/>
      </c>
      <c r="G26" s="684"/>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3"/>
      <c r="AC26" s="349" t="str">
        <f t="shared" si="3"/>
        <v/>
      </c>
      <c r="AD26" s="354" t="str">
        <f>IF(V19="","",V19)</f>
        <v/>
      </c>
      <c r="AH26" s="185">
        <v>26</v>
      </c>
      <c r="AI26" s="121">
        <v>50</v>
      </c>
      <c r="AJ26" s="209">
        <v>0</v>
      </c>
      <c r="AK26" s="121" t="str">
        <f t="shared" si="1"/>
        <v/>
      </c>
      <c r="AL26" s="121" t="str">
        <f t="shared" si="2"/>
        <v/>
      </c>
      <c r="AM26" s="121"/>
      <c r="AN26" s="121"/>
      <c r="AO26" s="121"/>
      <c r="AP26" s="121"/>
      <c r="AQ26" s="220"/>
      <c r="AR26" s="220"/>
    </row>
    <row r="27" spans="1:44">
      <c r="A27" s="1">
        <v>27</v>
      </c>
      <c r="B27" s="39"/>
      <c r="C27" s="40"/>
      <c r="D27" s="45" t="s">
        <v>33</v>
      </c>
      <c r="E27" s="5"/>
      <c r="F27" s="5"/>
      <c r="G27" s="5"/>
      <c r="H27" s="5"/>
      <c r="I27" s="5"/>
      <c r="J27" s="41" t="s">
        <v>34</v>
      </c>
      <c r="K27" s="684" t="str">
        <f>IF(V28="","",V28)</f>
        <v/>
      </c>
      <c r="L27" s="684"/>
      <c r="M27" s="42"/>
      <c r="N27" s="5"/>
      <c r="O27" s="13"/>
      <c r="P27" s="5"/>
      <c r="Q27" s="41" t="s">
        <v>24</v>
      </c>
      <c r="R27" s="25" t="str">
        <f>IF(S27&lt;&gt;"",S27,IF(AB32="","",AB32))</f>
        <v/>
      </c>
      <c r="S27" s="26"/>
      <c r="T27" s="5"/>
      <c r="U27" s="46" t="s">
        <v>32</v>
      </c>
      <c r="V27" s="5"/>
      <c r="W27" s="5"/>
      <c r="X27" s="5"/>
      <c r="Y27" s="15"/>
      <c r="AA27" s="45" t="s">
        <v>27</v>
      </c>
      <c r="AB27" s="5"/>
      <c r="AC27" s="5"/>
      <c r="AD27" s="5"/>
      <c r="AH27" s="185">
        <v>28</v>
      </c>
      <c r="AI27" s="121">
        <v>20</v>
      </c>
      <c r="AJ27" s="209">
        <v>0</v>
      </c>
      <c r="AK27" s="121" t="str">
        <f t="shared" si="1"/>
        <v/>
      </c>
      <c r="AL27" s="121" t="str">
        <f t="shared" si="2"/>
        <v/>
      </c>
      <c r="AM27" s="121"/>
      <c r="AN27" s="121"/>
      <c r="AO27" s="121"/>
      <c r="AP27" s="121"/>
      <c r="AQ27" s="220"/>
      <c r="AR27" s="220"/>
    </row>
    <row r="28" spans="1:44">
      <c r="A28" s="1">
        <v>28</v>
      </c>
      <c r="B28" s="39"/>
      <c r="C28" s="40"/>
      <c r="D28" s="5"/>
      <c r="E28" s="41" t="s">
        <v>21</v>
      </c>
      <c r="F28" s="684" t="str">
        <f>IF(R29="","",R29)</f>
        <v/>
      </c>
      <c r="G28" s="684"/>
      <c r="H28" s="5"/>
      <c r="I28" s="47"/>
      <c r="J28" s="41" t="s">
        <v>35</v>
      </c>
      <c r="K28" s="684" t="str">
        <f>IF(V29="","",V29)</f>
        <v/>
      </c>
      <c r="L28" s="684"/>
      <c r="M28" s="42"/>
      <c r="N28" s="5"/>
      <c r="O28" s="13"/>
      <c r="P28" s="45" t="s">
        <v>33</v>
      </c>
      <c r="Q28" s="5"/>
      <c r="R28" s="5"/>
      <c r="S28" s="5"/>
      <c r="T28" s="5"/>
      <c r="U28" s="41" t="s">
        <v>34</v>
      </c>
      <c r="V28" s="25" t="str">
        <f>IF(W28&lt;&gt;"",W28,IF(AB36="","",AB36))</f>
        <v/>
      </c>
      <c r="W28" s="26"/>
      <c r="X28" s="5"/>
      <c r="Y28" s="15"/>
      <c r="AA28" s="41" t="s">
        <v>28</v>
      </c>
      <c r="AB28" s="353"/>
      <c r="AC28" s="349" t="str">
        <f t="shared" ref="AC28:AC44" si="4">IF(AB28&lt;&gt;AD28,"Change","")</f>
        <v/>
      </c>
      <c r="AD28" s="354" t="str">
        <f>IF(R22="","",R22)</f>
        <v/>
      </c>
      <c r="AH28" s="185">
        <v>28</v>
      </c>
      <c r="AI28" s="121">
        <v>50</v>
      </c>
      <c r="AJ28" s="209">
        <v>0</v>
      </c>
      <c r="AK28" s="121" t="str">
        <f t="shared" si="1"/>
        <v/>
      </c>
      <c r="AL28" s="121" t="str">
        <f t="shared" si="2"/>
        <v/>
      </c>
      <c r="AM28" s="121"/>
      <c r="AN28" s="121"/>
      <c r="AO28" s="121"/>
      <c r="AP28" s="121"/>
      <c r="AQ28" s="220"/>
      <c r="AR28" s="220"/>
    </row>
    <row r="29" spans="1:44">
      <c r="A29" s="1">
        <v>29</v>
      </c>
      <c r="B29" s="39"/>
      <c r="C29" s="40"/>
      <c r="D29" s="5"/>
      <c r="E29" s="41" t="s">
        <v>23</v>
      </c>
      <c r="F29" s="684" t="str">
        <f>IF(R30="","",R30)</f>
        <v/>
      </c>
      <c r="G29" s="684"/>
      <c r="H29" s="5"/>
      <c r="I29" s="45" t="s">
        <v>36</v>
      </c>
      <c r="J29" s="41" t="s">
        <v>37</v>
      </c>
      <c r="K29" s="684" t="str">
        <f>IF(V32="","",V32)</f>
        <v/>
      </c>
      <c r="L29" s="684"/>
      <c r="M29" s="42"/>
      <c r="N29" s="5"/>
      <c r="O29" s="13"/>
      <c r="P29" s="5"/>
      <c r="Q29" s="41" t="s">
        <v>21</v>
      </c>
      <c r="R29" s="25" t="str">
        <f>IF(S29&lt;&gt;"",S29,IF(AB33="","",AB33))</f>
        <v/>
      </c>
      <c r="S29" s="26"/>
      <c r="T29" s="5"/>
      <c r="U29" s="41" t="s">
        <v>35</v>
      </c>
      <c r="V29" s="25" t="str">
        <f>IF(W29&lt;&gt;"",W29,IF(AB37="","",AB37))</f>
        <v/>
      </c>
      <c r="W29" s="26"/>
      <c r="X29" s="5"/>
      <c r="Y29" s="15"/>
      <c r="AA29" s="41" t="s">
        <v>22</v>
      </c>
      <c r="AB29" s="356"/>
      <c r="AC29" s="349" t="str">
        <f t="shared" si="4"/>
        <v/>
      </c>
      <c r="AD29" s="357" t="str">
        <f>IF(R23="","",R23)</f>
        <v/>
      </c>
      <c r="AH29" s="185">
        <v>28</v>
      </c>
      <c r="AI29" s="121">
        <v>50</v>
      </c>
      <c r="AJ29" s="209">
        <v>0</v>
      </c>
      <c r="AK29" s="121" t="str">
        <f t="shared" si="1"/>
        <v/>
      </c>
      <c r="AL29" s="121" t="str">
        <f t="shared" si="2"/>
        <v/>
      </c>
      <c r="AM29" s="121"/>
      <c r="AN29" s="121"/>
      <c r="AO29" s="121"/>
      <c r="AP29" s="121"/>
      <c r="AQ29" s="220"/>
      <c r="AR29" s="220"/>
    </row>
    <row r="30" spans="1:44">
      <c r="A30" s="1">
        <v>30</v>
      </c>
      <c r="B30" s="39"/>
      <c r="C30" s="40"/>
      <c r="D30" s="5"/>
      <c r="E30" s="41" t="s">
        <v>24</v>
      </c>
      <c r="F30" s="684" t="str">
        <f>IF(R31="","",R31)</f>
        <v/>
      </c>
      <c r="G30" s="684"/>
      <c r="H30" s="5"/>
      <c r="I30" s="5"/>
      <c r="J30" s="41" t="s">
        <v>38</v>
      </c>
      <c r="K30" s="684" t="str">
        <f>IF(V33="","",V33)</f>
        <v/>
      </c>
      <c r="L30" s="684"/>
      <c r="M30" s="42"/>
      <c r="N30" s="5"/>
      <c r="O30" s="13"/>
      <c r="P30" s="5"/>
      <c r="Q30" s="41" t="s">
        <v>23</v>
      </c>
      <c r="R30" s="25" t="str">
        <f>IF(S30&lt;&gt;"",S30,IF(AB34="","",AB34))</f>
        <v/>
      </c>
      <c r="S30" s="26"/>
      <c r="T30" s="5"/>
      <c r="U30" s="5"/>
      <c r="V30" s="5"/>
      <c r="W30" s="5"/>
      <c r="X30" s="5"/>
      <c r="Y30" s="15"/>
      <c r="AA30" s="41" t="s">
        <v>21</v>
      </c>
      <c r="AB30" s="353"/>
      <c r="AC30" s="349" t="str">
        <f t="shared" si="4"/>
        <v/>
      </c>
      <c r="AD30" s="354" t="str">
        <f>IF(R25="","",R25)</f>
        <v/>
      </c>
      <c r="AH30" s="367">
        <v>28</v>
      </c>
      <c r="AI30" s="368">
        <v>50</v>
      </c>
      <c r="AJ30" s="369">
        <v>0</v>
      </c>
      <c r="AK30" s="368" t="str">
        <f t="shared" si="1"/>
        <v/>
      </c>
      <c r="AL30" s="368" t="str">
        <f t="shared" si="2"/>
        <v/>
      </c>
      <c r="AM30" s="368"/>
      <c r="AN30" s="368"/>
      <c r="AO30" s="368"/>
      <c r="AP30" s="368"/>
      <c r="AQ30" s="370"/>
      <c r="AR30" s="370"/>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3"/>
      <c r="AC31" s="349" t="str">
        <f t="shared" si="4"/>
        <v/>
      </c>
      <c r="AD31" s="354" t="str">
        <f>IF(R26="","",R26)</f>
        <v/>
      </c>
      <c r="AH31" s="367">
        <v>28</v>
      </c>
      <c r="AI31" s="368">
        <v>50</v>
      </c>
      <c r="AJ31" s="369">
        <v>0</v>
      </c>
      <c r="AK31" s="368" t="str">
        <f t="shared" si="1"/>
        <v/>
      </c>
      <c r="AL31" s="368" t="str">
        <f t="shared" si="2"/>
        <v/>
      </c>
      <c r="AM31" s="368"/>
      <c r="AN31" s="368"/>
      <c r="AO31" s="368"/>
      <c r="AP31" s="368"/>
      <c r="AQ31" s="370"/>
      <c r="AR31" s="370"/>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3"/>
      <c r="AC32" s="349" t="str">
        <f t="shared" si="4"/>
        <v/>
      </c>
      <c r="AD32" s="354" t="str">
        <f>IF(R27="","",R27)</f>
        <v/>
      </c>
      <c r="AH32" s="367">
        <v>28</v>
      </c>
      <c r="AI32" s="368">
        <v>50</v>
      </c>
      <c r="AJ32" s="369">
        <v>0.5</v>
      </c>
      <c r="AK32" s="368" t="str">
        <f t="shared" si="1"/>
        <v/>
      </c>
      <c r="AL32" s="368" t="str">
        <f t="shared" si="2"/>
        <v/>
      </c>
      <c r="AM32" s="368"/>
      <c r="AN32" s="368"/>
      <c r="AO32" s="368"/>
      <c r="AP32" s="368"/>
      <c r="AQ32" s="370"/>
      <c r="AR32" s="370"/>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3"/>
      <c r="AC33" s="349" t="str">
        <f t="shared" si="4"/>
        <v/>
      </c>
      <c r="AD33" s="354" t="str">
        <f>IF(R29="","",R29)</f>
        <v/>
      </c>
      <c r="AH33" s="367">
        <v>28</v>
      </c>
      <c r="AI33" s="368">
        <v>50</v>
      </c>
      <c r="AJ33" s="369">
        <v>0.5</v>
      </c>
      <c r="AK33" s="368" t="str">
        <f t="shared" si="1"/>
        <v/>
      </c>
      <c r="AL33" s="368" t="str">
        <f t="shared" si="2"/>
        <v/>
      </c>
      <c r="AM33" s="368"/>
      <c r="AN33" s="368"/>
      <c r="AO33" s="368"/>
      <c r="AP33" s="368"/>
      <c r="AQ33" s="370"/>
      <c r="AR33" s="370"/>
    </row>
    <row r="34" spans="1:44" ht="17.25" thickTop="1" thickBot="1">
      <c r="A34" s="1">
        <v>34</v>
      </c>
      <c r="B34" s="32"/>
      <c r="C34" s="33"/>
      <c r="D34" s="33"/>
      <c r="E34" s="33"/>
      <c r="F34" s="33"/>
      <c r="G34" s="33"/>
      <c r="H34" s="33"/>
      <c r="I34" s="33"/>
      <c r="J34" s="33"/>
      <c r="K34" s="33"/>
      <c r="L34" s="33"/>
      <c r="M34" s="35"/>
      <c r="N34" s="5"/>
      <c r="O34" s="51">
        <v>1</v>
      </c>
      <c r="P34" s="5" t="s">
        <v>40</v>
      </c>
      <c r="Q34" s="5"/>
      <c r="R34" s="5"/>
      <c r="S34" s="5"/>
      <c r="T34" s="5"/>
      <c r="U34" s="47"/>
      <c r="V34" s="47"/>
      <c r="W34" s="47"/>
      <c r="X34" s="5"/>
      <c r="Y34" s="15"/>
      <c r="AA34" s="41" t="s">
        <v>23</v>
      </c>
      <c r="AB34" s="353"/>
      <c r="AC34" s="349" t="str">
        <f t="shared" si="4"/>
        <v/>
      </c>
      <c r="AD34" s="354" t="str">
        <f>IF(R30="","",R30)</f>
        <v/>
      </c>
      <c r="AH34" s="367">
        <v>28</v>
      </c>
      <c r="AI34" s="368">
        <v>50</v>
      </c>
      <c r="AJ34" s="369">
        <v>0.6</v>
      </c>
      <c r="AK34" s="368" t="str">
        <f t="shared" si="1"/>
        <v/>
      </c>
      <c r="AL34" s="368" t="str">
        <f t="shared" si="2"/>
        <v/>
      </c>
      <c r="AM34" s="368"/>
      <c r="AN34" s="368"/>
      <c r="AO34" s="368"/>
      <c r="AP34" s="368"/>
      <c r="AQ34" s="370"/>
      <c r="AR34" s="370"/>
    </row>
    <row r="35" spans="1:44" ht="17.25" thickTop="1" thickBot="1">
      <c r="A35" s="1">
        <v>35</v>
      </c>
      <c r="B35" s="39"/>
      <c r="C35" s="52" t="s">
        <v>41</v>
      </c>
      <c r="D35" s="687" t="s">
        <v>42</v>
      </c>
      <c r="E35" s="687"/>
      <c r="F35" s="687"/>
      <c r="G35" s="688" t="s">
        <v>43</v>
      </c>
      <c r="H35" s="688"/>
      <c r="I35" s="688"/>
      <c r="J35" s="687" t="s">
        <v>44</v>
      </c>
      <c r="K35" s="687"/>
      <c r="L35" s="687"/>
      <c r="M35" s="42"/>
      <c r="N35" s="5"/>
      <c r="O35" s="53">
        <v>2</v>
      </c>
      <c r="P35" s="21" t="s">
        <v>45</v>
      </c>
      <c r="Q35" s="21"/>
      <c r="R35" s="21"/>
      <c r="S35" s="21"/>
      <c r="T35" s="21"/>
      <c r="U35" s="21"/>
      <c r="V35" s="21"/>
      <c r="W35" s="21"/>
      <c r="X35" s="21"/>
      <c r="Y35" s="22"/>
      <c r="AA35" s="41" t="s">
        <v>24</v>
      </c>
      <c r="AB35" s="353"/>
      <c r="AC35" s="349" t="str">
        <f t="shared" si="4"/>
        <v/>
      </c>
      <c r="AD35" s="354" t="str">
        <f>IF(R31="","",R31)</f>
        <v/>
      </c>
      <c r="AH35" s="367">
        <v>28</v>
      </c>
      <c r="AI35" s="368">
        <v>50</v>
      </c>
      <c r="AJ35" s="369">
        <v>0.6</v>
      </c>
      <c r="AK35" s="368" t="str">
        <f t="shared" si="1"/>
        <v/>
      </c>
      <c r="AL35" s="368" t="str">
        <f t="shared" si="2"/>
        <v/>
      </c>
      <c r="AM35" s="368"/>
      <c r="AN35" s="368"/>
      <c r="AO35" s="368"/>
      <c r="AP35" s="368"/>
      <c r="AQ35" s="370"/>
      <c r="AR35" s="370"/>
    </row>
    <row r="36" spans="1:44" ht="16.5" thickTop="1">
      <c r="A36" s="1">
        <v>36</v>
      </c>
      <c r="B36" s="39"/>
      <c r="C36" s="54" t="s">
        <v>46</v>
      </c>
      <c r="D36" s="687"/>
      <c r="E36" s="687"/>
      <c r="F36" s="687"/>
      <c r="G36" s="688"/>
      <c r="H36" s="688"/>
      <c r="I36" s="688"/>
      <c r="J36" s="687"/>
      <c r="K36" s="687"/>
      <c r="L36" s="687"/>
      <c r="M36" s="42"/>
      <c r="N36" s="5"/>
      <c r="O36" s="5"/>
      <c r="P36" s="5"/>
      <c r="Q36" s="5"/>
      <c r="R36" s="5"/>
      <c r="S36" s="5"/>
      <c r="T36" s="5"/>
      <c r="U36" s="5"/>
      <c r="V36" s="5"/>
      <c r="W36" s="5"/>
      <c r="X36" s="5"/>
      <c r="Y36" s="5"/>
      <c r="AA36" s="41" t="s">
        <v>34</v>
      </c>
      <c r="AB36" s="353"/>
      <c r="AC36" s="349" t="str">
        <f t="shared" si="4"/>
        <v/>
      </c>
      <c r="AD36" s="354" t="str">
        <f>IF(V28="","",V28)</f>
        <v/>
      </c>
      <c r="AH36" s="367">
        <v>28</v>
      </c>
      <c r="AI36" s="368">
        <v>50</v>
      </c>
      <c r="AJ36" s="369">
        <v>0.6</v>
      </c>
      <c r="AK36" s="368" t="str">
        <f t="shared" si="1"/>
        <v/>
      </c>
      <c r="AL36" s="368" t="str">
        <f t="shared" si="2"/>
        <v/>
      </c>
      <c r="AM36" s="368"/>
      <c r="AN36" s="368"/>
      <c r="AO36" s="368"/>
      <c r="AP36" s="368"/>
      <c r="AQ36" s="370"/>
      <c r="AR36" s="370"/>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3"/>
      <c r="AC37" s="349" t="str">
        <f t="shared" si="4"/>
        <v/>
      </c>
      <c r="AD37" s="354" t="str">
        <f>IF(V29="","",V29)</f>
        <v/>
      </c>
      <c r="AH37" s="367">
        <v>28</v>
      </c>
      <c r="AI37" s="368">
        <v>50</v>
      </c>
      <c r="AJ37" s="369">
        <v>0.6</v>
      </c>
      <c r="AK37" s="368" t="str">
        <f t="shared" si="1"/>
        <v/>
      </c>
      <c r="AL37" s="368" t="str">
        <f t="shared" si="2"/>
        <v/>
      </c>
      <c r="AM37" s="368"/>
      <c r="AN37" s="368"/>
      <c r="AO37" s="368"/>
      <c r="AP37" s="368"/>
      <c r="AQ37" s="370"/>
      <c r="AR37" s="370"/>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3"/>
      <c r="AC38" s="349" t="str">
        <f t="shared" si="4"/>
        <v/>
      </c>
      <c r="AD38" s="354" t="str">
        <f>IF(V21="","",V21)</f>
        <v/>
      </c>
      <c r="AH38" s="185">
        <v>28</v>
      </c>
      <c r="AI38" s="121">
        <v>100</v>
      </c>
      <c r="AJ38" s="209">
        <v>0</v>
      </c>
      <c r="AK38" s="121" t="str">
        <f t="shared" si="1"/>
        <v/>
      </c>
      <c r="AL38" s="121" t="str">
        <f t="shared" si="2"/>
        <v/>
      </c>
      <c r="AM38" s="121"/>
      <c r="AN38" s="121"/>
      <c r="AO38" s="121"/>
      <c r="AP38" s="121"/>
      <c r="AQ38" s="220"/>
      <c r="AR38" s="220"/>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3"/>
      <c r="AC39" s="349" t="str">
        <f t="shared" si="4"/>
        <v/>
      </c>
      <c r="AD39" s="354" t="str">
        <f>IF(V22="","",V22)</f>
        <v/>
      </c>
      <c r="AH39" s="185">
        <v>28</v>
      </c>
      <c r="AI39" s="121">
        <v>300</v>
      </c>
      <c r="AJ39" s="209">
        <v>0</v>
      </c>
      <c r="AK39" s="121" t="str">
        <f t="shared" si="1"/>
        <v/>
      </c>
      <c r="AL39" s="121" t="str">
        <f t="shared" si="2"/>
        <v/>
      </c>
      <c r="AM39" s="121"/>
      <c r="AN39" s="121"/>
      <c r="AO39" s="121"/>
      <c r="AP39" s="121"/>
      <c r="AQ39" s="220"/>
      <c r="AR39" s="220"/>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3"/>
      <c r="AC40" s="349" t="str">
        <f t="shared" si="4"/>
        <v/>
      </c>
      <c r="AD40" s="354" t="str">
        <f>IF(V24="","",V24)</f>
        <v/>
      </c>
      <c r="AH40" s="185">
        <v>28</v>
      </c>
      <c r="AI40" s="121">
        <v>400</v>
      </c>
      <c r="AJ40" s="209">
        <v>0</v>
      </c>
      <c r="AK40" s="121" t="str">
        <f t="shared" si="1"/>
        <v/>
      </c>
      <c r="AL40" s="121" t="str">
        <f t="shared" si="2"/>
        <v/>
      </c>
      <c r="AM40" s="121"/>
      <c r="AN40" s="121"/>
      <c r="AO40" s="121"/>
      <c r="AP40" s="121"/>
      <c r="AQ40" s="220"/>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3"/>
      <c r="AC41" s="349" t="str">
        <f t="shared" si="4"/>
        <v/>
      </c>
      <c r="AD41" s="354" t="str">
        <f>IF(V25="","",V25)</f>
        <v/>
      </c>
      <c r="AH41" s="185">
        <v>30</v>
      </c>
      <c r="AI41" s="121">
        <v>50</v>
      </c>
      <c r="AJ41" s="209">
        <v>0</v>
      </c>
      <c r="AK41" s="121" t="str">
        <f t="shared" si="1"/>
        <v/>
      </c>
      <c r="AL41" s="121" t="str">
        <f t="shared" si="2"/>
        <v/>
      </c>
      <c r="AM41" s="121"/>
      <c r="AN41" s="121"/>
      <c r="AO41" s="121"/>
      <c r="AP41" s="121"/>
      <c r="AQ41" s="220"/>
      <c r="AR41" s="220"/>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3"/>
      <c r="AC42" s="349" t="str">
        <f t="shared" si="4"/>
        <v/>
      </c>
      <c r="AD42" s="354" t="str">
        <f>IF(V26="","",V26)</f>
        <v/>
      </c>
      <c r="AH42" s="185">
        <v>32</v>
      </c>
      <c r="AI42" s="121">
        <v>50</v>
      </c>
      <c r="AJ42" s="209">
        <v>0</v>
      </c>
      <c r="AK42" s="121" t="str">
        <f t="shared" si="1"/>
        <v/>
      </c>
      <c r="AL42" s="121" t="str">
        <f t="shared" si="2"/>
        <v/>
      </c>
      <c r="AM42" s="121"/>
      <c r="AN42" s="121"/>
      <c r="AO42" s="121"/>
      <c r="AP42" s="121"/>
      <c r="AQ42" s="220"/>
      <c r="AR42" s="220"/>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3"/>
      <c r="AC43" s="349" t="str">
        <f t="shared" si="4"/>
        <v/>
      </c>
      <c r="AD43" s="354" t="str">
        <f>IF(V32="","",V32)</f>
        <v/>
      </c>
      <c r="AH43" s="367">
        <v>32</v>
      </c>
      <c r="AI43" s="368">
        <v>50</v>
      </c>
      <c r="AJ43" s="369">
        <v>0</v>
      </c>
      <c r="AK43" s="368" t="str">
        <f t="shared" si="1"/>
        <v/>
      </c>
      <c r="AL43" s="368" t="str">
        <f t="shared" si="2"/>
        <v/>
      </c>
      <c r="AM43" s="368"/>
      <c r="AN43" s="368"/>
      <c r="AO43" s="368"/>
      <c r="AP43" s="368"/>
      <c r="AQ43" s="370"/>
      <c r="AR43" s="370"/>
    </row>
    <row r="44" spans="1:44">
      <c r="A44" s="1">
        <v>44</v>
      </c>
      <c r="B44" s="39"/>
      <c r="C44" s="72" t="s">
        <v>62</v>
      </c>
      <c r="D44" s="5"/>
      <c r="E44" s="5"/>
      <c r="F44" s="5"/>
      <c r="G44" s="5"/>
      <c r="H44" s="5"/>
      <c r="I44" s="5"/>
      <c r="J44" s="5"/>
      <c r="K44" s="5"/>
      <c r="L44" s="689" t="s">
        <v>63</v>
      </c>
      <c r="M44" s="689"/>
      <c r="N44" s="5"/>
      <c r="O44" s="13"/>
      <c r="P44" s="5"/>
      <c r="Q44" s="5"/>
      <c r="R44" s="5"/>
      <c r="S44" s="5"/>
      <c r="T44" s="5"/>
      <c r="U44" s="5"/>
      <c r="V44" s="5"/>
      <c r="W44" s="5"/>
      <c r="X44" s="5"/>
      <c r="Y44" s="15"/>
      <c r="AA44" s="41" t="s">
        <v>383</v>
      </c>
      <c r="AB44" s="353"/>
      <c r="AC44" s="349" t="str">
        <f t="shared" si="4"/>
        <v/>
      </c>
      <c r="AD44" s="354" t="str">
        <f>IF(V33="","",V33)</f>
        <v/>
      </c>
      <c r="AH44" s="367">
        <v>32</v>
      </c>
      <c r="AI44" s="368">
        <v>50</v>
      </c>
      <c r="AJ44" s="369">
        <v>0.5</v>
      </c>
      <c r="AK44" s="368" t="str">
        <f t="shared" si="1"/>
        <v/>
      </c>
      <c r="AL44" s="368" t="str">
        <f t="shared" si="2"/>
        <v/>
      </c>
      <c r="AM44" s="368"/>
      <c r="AN44" s="368"/>
      <c r="AO44" s="368"/>
      <c r="AP44" s="368"/>
      <c r="AQ44" s="370"/>
      <c r="AR44" s="370"/>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67">
        <v>32</v>
      </c>
      <c r="AI45" s="368">
        <v>50</v>
      </c>
      <c r="AJ45" s="369">
        <v>0.5</v>
      </c>
      <c r="AK45" s="368" t="str">
        <f t="shared" si="1"/>
        <v/>
      </c>
      <c r="AL45" s="368" t="str">
        <f t="shared" si="2"/>
        <v/>
      </c>
      <c r="AM45" s="368"/>
      <c r="AN45" s="368"/>
      <c r="AO45" s="368"/>
      <c r="AP45" s="368"/>
      <c r="AQ45" s="370"/>
      <c r="AR45" s="370"/>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47" t="s">
        <v>42</v>
      </c>
      <c r="AB46" s="5"/>
      <c r="AC46" s="5"/>
      <c r="AD46" s="5"/>
      <c r="AH46" s="367">
        <v>32</v>
      </c>
      <c r="AI46" s="368">
        <v>50</v>
      </c>
      <c r="AJ46" s="369">
        <v>0.6</v>
      </c>
      <c r="AK46" s="368" t="str">
        <f t="shared" si="1"/>
        <v/>
      </c>
      <c r="AL46" s="368" t="str">
        <f t="shared" si="2"/>
        <v/>
      </c>
      <c r="AM46" s="368"/>
      <c r="AN46" s="368"/>
      <c r="AO46" s="368"/>
      <c r="AP46" s="368"/>
      <c r="AQ46" s="370"/>
      <c r="AR46" s="370"/>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3"/>
      <c r="AC47" s="5"/>
      <c r="AD47" s="354" t="str">
        <f>IF(P100="","",P100)</f>
        <v/>
      </c>
      <c r="AH47" s="367">
        <v>32</v>
      </c>
      <c r="AI47" s="368">
        <v>50</v>
      </c>
      <c r="AJ47" s="369">
        <v>0.6</v>
      </c>
      <c r="AK47" s="368" t="str">
        <f t="shared" si="1"/>
        <v/>
      </c>
      <c r="AL47" s="368" t="str">
        <f t="shared" si="2"/>
        <v/>
      </c>
      <c r="AM47" s="368"/>
      <c r="AN47" s="368"/>
      <c r="AO47" s="368"/>
      <c r="AP47" s="368"/>
      <c r="AQ47" s="370"/>
      <c r="AR47" s="370"/>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3"/>
      <c r="AC48" s="5"/>
      <c r="AD48" s="354" t="str">
        <f>IF(Q100="","",Q100)</f>
        <v/>
      </c>
      <c r="AH48" s="367">
        <v>32</v>
      </c>
      <c r="AI48" s="368">
        <v>50</v>
      </c>
      <c r="AJ48" s="369">
        <v>0.6</v>
      </c>
      <c r="AK48" s="368" t="str">
        <f t="shared" si="1"/>
        <v/>
      </c>
      <c r="AL48" s="368" t="str">
        <f t="shared" si="2"/>
        <v/>
      </c>
      <c r="AM48" s="368"/>
      <c r="AN48" s="368"/>
      <c r="AO48" s="368"/>
      <c r="AP48" s="368"/>
      <c r="AQ48" s="370"/>
      <c r="AR48" s="370"/>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3"/>
      <c r="AC49" s="5"/>
      <c r="AD49" s="354" t="str">
        <f>IF(R100="","",R100)</f>
        <v/>
      </c>
      <c r="AH49" s="367">
        <v>32</v>
      </c>
      <c r="AI49" s="368">
        <v>50</v>
      </c>
      <c r="AJ49" s="369">
        <v>0.6</v>
      </c>
      <c r="AK49" s="368" t="str">
        <f t="shared" si="1"/>
        <v/>
      </c>
      <c r="AL49" s="368" t="str">
        <f t="shared" si="2"/>
        <v/>
      </c>
      <c r="AM49" s="368"/>
      <c r="AN49" s="368"/>
      <c r="AO49" s="368"/>
      <c r="AP49" s="368"/>
      <c r="AQ49" s="370"/>
      <c r="AR49" s="370"/>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3"/>
      <c r="AC50" s="5"/>
      <c r="AD50" s="354" t="str">
        <f>IF(P101="","",P101)</f>
        <v/>
      </c>
      <c r="AH50" s="185">
        <v>34</v>
      </c>
      <c r="AI50" s="121">
        <v>50</v>
      </c>
      <c r="AJ50" s="209">
        <v>0</v>
      </c>
      <c r="AK50" s="121" t="str">
        <f t="shared" si="1"/>
        <v/>
      </c>
      <c r="AL50" s="121" t="str">
        <f t="shared" si="2"/>
        <v/>
      </c>
      <c r="AM50" s="121"/>
      <c r="AN50" s="121"/>
      <c r="AO50" s="121"/>
      <c r="AP50" s="121"/>
      <c r="AQ50" s="220"/>
      <c r="AR50" s="220"/>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3"/>
      <c r="AC51" s="5"/>
      <c r="AD51" s="354" t="str">
        <f>IF(Q101="","",Q101)</f>
        <v/>
      </c>
      <c r="AH51" s="367">
        <v>34</v>
      </c>
      <c r="AI51" s="368">
        <v>50</v>
      </c>
      <c r="AJ51" s="369">
        <v>0</v>
      </c>
      <c r="AK51" s="368" t="str">
        <f t="shared" si="1"/>
        <v/>
      </c>
      <c r="AL51" s="368" t="str">
        <f t="shared" si="2"/>
        <v/>
      </c>
      <c r="AM51" s="368"/>
      <c r="AN51" s="368"/>
      <c r="AO51" s="368"/>
      <c r="AP51" s="368"/>
      <c r="AQ51" s="370"/>
      <c r="AR51" s="370"/>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3"/>
      <c r="AC52" s="5"/>
      <c r="AD52" s="354" t="str">
        <f>IF(R101="","",R101)</f>
        <v/>
      </c>
      <c r="AH52" s="367">
        <v>34</v>
      </c>
      <c r="AI52" s="368">
        <v>50</v>
      </c>
      <c r="AJ52" s="369">
        <v>0.4</v>
      </c>
      <c r="AK52" s="368" t="str">
        <f t="shared" si="1"/>
        <v/>
      </c>
      <c r="AL52" s="368" t="str">
        <f t="shared" si="2"/>
        <v/>
      </c>
      <c r="AM52" s="368"/>
      <c r="AN52" s="368"/>
      <c r="AO52" s="368"/>
      <c r="AP52" s="368"/>
      <c r="AQ52" s="370"/>
      <c r="AR52" s="370"/>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3"/>
      <c r="AC53" s="5"/>
      <c r="AD53" s="354" t="str">
        <f>IF(P102="","",P102)</f>
        <v/>
      </c>
      <c r="AH53" s="367">
        <v>34</v>
      </c>
      <c r="AI53" s="368">
        <v>50</v>
      </c>
      <c r="AJ53" s="369">
        <v>0.4</v>
      </c>
      <c r="AK53" s="368" t="str">
        <f t="shared" si="1"/>
        <v/>
      </c>
      <c r="AL53" s="368" t="str">
        <f t="shared" si="2"/>
        <v/>
      </c>
      <c r="AM53" s="368"/>
      <c r="AN53" s="368"/>
      <c r="AO53" s="368"/>
      <c r="AP53" s="368"/>
      <c r="AQ53" s="370"/>
      <c r="AR53" s="370"/>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3"/>
      <c r="AC54" s="5"/>
      <c r="AD54" s="354" t="str">
        <f>IF(Q102="","",Q102)</f>
        <v/>
      </c>
      <c r="AH54" s="367">
        <v>34</v>
      </c>
      <c r="AI54" s="368">
        <v>50</v>
      </c>
      <c r="AJ54" s="369">
        <v>0.5</v>
      </c>
      <c r="AK54" s="368" t="str">
        <f t="shared" si="1"/>
        <v/>
      </c>
      <c r="AL54" s="368" t="str">
        <f t="shared" si="2"/>
        <v/>
      </c>
      <c r="AM54" s="368"/>
      <c r="AN54" s="368"/>
      <c r="AO54" s="368"/>
      <c r="AP54" s="368"/>
      <c r="AQ54" s="370"/>
      <c r="AR54" s="370"/>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3"/>
      <c r="AC55" s="5"/>
      <c r="AD55" s="354" t="str">
        <f>IF(R102="","",R102)</f>
        <v/>
      </c>
      <c r="AH55" s="367">
        <v>34</v>
      </c>
      <c r="AI55" s="368">
        <v>50</v>
      </c>
      <c r="AJ55" s="369">
        <v>0.5</v>
      </c>
      <c r="AK55" s="368" t="str">
        <f t="shared" si="1"/>
        <v/>
      </c>
      <c r="AL55" s="368" t="str">
        <f t="shared" si="2"/>
        <v/>
      </c>
      <c r="AM55" s="368"/>
      <c r="AN55" s="368"/>
      <c r="AO55" s="368"/>
      <c r="AP55" s="368"/>
      <c r="AQ55" s="370"/>
      <c r="AR55" s="370"/>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3"/>
      <c r="AC56" s="5"/>
      <c r="AD56" s="354" t="str">
        <f>IF(P103="","",P103)</f>
        <v/>
      </c>
      <c r="AH56" s="367">
        <v>34</v>
      </c>
      <c r="AI56" s="368">
        <v>50</v>
      </c>
      <c r="AJ56" s="369">
        <v>0.6</v>
      </c>
      <c r="AK56" s="368" t="str">
        <f t="shared" si="1"/>
        <v/>
      </c>
      <c r="AL56" s="368" t="str">
        <f t="shared" si="2"/>
        <v/>
      </c>
      <c r="AM56" s="368"/>
      <c r="AN56" s="368"/>
      <c r="AO56" s="368"/>
      <c r="AP56" s="368"/>
      <c r="AQ56" s="370"/>
      <c r="AR56" s="370"/>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3"/>
      <c r="AC57" s="5"/>
      <c r="AD57" s="354" t="str">
        <f>IF(Q103="","",Q103)</f>
        <v/>
      </c>
      <c r="AH57" s="371">
        <v>34</v>
      </c>
      <c r="AI57" s="372">
        <v>50</v>
      </c>
      <c r="AJ57" s="373">
        <v>0.6</v>
      </c>
      <c r="AK57" s="372" t="str">
        <f t="shared" si="1"/>
        <v/>
      </c>
      <c r="AL57" s="372" t="str">
        <f t="shared" si="2"/>
        <v/>
      </c>
      <c r="AM57" s="372"/>
      <c r="AN57" s="372"/>
      <c r="AO57" s="372"/>
      <c r="AP57" s="372"/>
      <c r="AQ57" s="374"/>
      <c r="AR57" s="374"/>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3"/>
      <c r="AC58" s="5"/>
      <c r="AD58" s="354" t="str">
        <f>IF(R103="","",R103)</f>
        <v/>
      </c>
      <c r="AH58" s="185">
        <v>28</v>
      </c>
      <c r="AI58" s="121">
        <v>50</v>
      </c>
      <c r="AJ58" s="375">
        <v>0</v>
      </c>
      <c r="AK58" s="121" t="str">
        <f t="shared" si="1"/>
        <v/>
      </c>
      <c r="AL58" s="121" t="str">
        <f t="shared" ref="AL58:AL91" si="8">IF($V$25="","",$V$25)</f>
        <v/>
      </c>
      <c r="AM58" s="121"/>
      <c r="AN58" s="121"/>
      <c r="AO58" s="121"/>
      <c r="AP58" s="121"/>
      <c r="AQ58" s="220"/>
      <c r="AR58" s="2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47" t="s">
        <v>386</v>
      </c>
      <c r="AB59" s="5"/>
      <c r="AC59" s="5"/>
      <c r="AD59" s="5"/>
      <c r="AH59" s="376">
        <v>28</v>
      </c>
      <c r="AI59" s="377">
        <v>50</v>
      </c>
      <c r="AJ59" s="378">
        <v>0</v>
      </c>
      <c r="AK59" s="377" t="str">
        <f t="shared" si="1"/>
        <v/>
      </c>
      <c r="AL59" s="377" t="str">
        <f t="shared" si="8"/>
        <v/>
      </c>
      <c r="AM59" s="377"/>
      <c r="AN59" s="377"/>
      <c r="AO59" s="377"/>
      <c r="AP59" s="377"/>
      <c r="AQ59" s="379"/>
      <c r="AR59" s="379"/>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3"/>
      <c r="AC60" s="5"/>
      <c r="AD60" s="354" t="str">
        <f>IF(S100="","",S100)</f>
        <v/>
      </c>
      <c r="AH60" s="376">
        <v>28</v>
      </c>
      <c r="AI60" s="377">
        <v>50</v>
      </c>
      <c r="AJ60" s="378">
        <v>0.5</v>
      </c>
      <c r="AK60" s="377" t="str">
        <f t="shared" si="1"/>
        <v/>
      </c>
      <c r="AL60" s="377" t="str">
        <f t="shared" si="8"/>
        <v/>
      </c>
      <c r="AM60" s="377"/>
      <c r="AN60" s="377"/>
      <c r="AO60" s="377"/>
      <c r="AP60" s="377"/>
      <c r="AQ60" s="379"/>
      <c r="AR60" s="379"/>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3"/>
      <c r="AC61" s="5"/>
      <c r="AD61" s="354" t="str">
        <f>IF(T100="","",T100)</f>
        <v/>
      </c>
      <c r="AH61" s="376">
        <v>28</v>
      </c>
      <c r="AI61" s="377">
        <v>50</v>
      </c>
      <c r="AJ61" s="378">
        <v>0.5</v>
      </c>
      <c r="AK61" s="377" t="str">
        <f t="shared" si="1"/>
        <v/>
      </c>
      <c r="AL61" s="377" t="str">
        <f t="shared" si="8"/>
        <v/>
      </c>
      <c r="AM61" s="377"/>
      <c r="AN61" s="377"/>
      <c r="AO61" s="377"/>
      <c r="AP61" s="377"/>
      <c r="AQ61" s="379"/>
      <c r="AR61" s="379"/>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3"/>
      <c r="AC62" s="5"/>
      <c r="AD62" s="354" t="str">
        <f>IF(U100="","",U100)</f>
        <v/>
      </c>
      <c r="AH62" s="376">
        <v>28</v>
      </c>
      <c r="AI62" s="377">
        <v>50</v>
      </c>
      <c r="AJ62" s="378">
        <v>0.6</v>
      </c>
      <c r="AK62" s="377" t="str">
        <f t="shared" si="1"/>
        <v/>
      </c>
      <c r="AL62" s="377" t="str">
        <f t="shared" si="8"/>
        <v/>
      </c>
      <c r="AM62" s="377"/>
      <c r="AN62" s="377"/>
      <c r="AO62" s="377"/>
      <c r="AP62" s="377"/>
      <c r="AQ62" s="379"/>
      <c r="AR62" s="379"/>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3"/>
      <c r="AC63" s="5"/>
      <c r="AD63" s="354" t="str">
        <f>IF(S101="","",S101)</f>
        <v/>
      </c>
      <c r="AH63" s="376">
        <v>28</v>
      </c>
      <c r="AI63" s="377">
        <v>50</v>
      </c>
      <c r="AJ63" s="378">
        <v>0.6</v>
      </c>
      <c r="AK63" s="377" t="str">
        <f t="shared" si="1"/>
        <v/>
      </c>
      <c r="AL63" s="377" t="str">
        <f t="shared" si="8"/>
        <v/>
      </c>
      <c r="AM63" s="377"/>
      <c r="AN63" s="377"/>
      <c r="AO63" s="377"/>
      <c r="AP63" s="377"/>
      <c r="AQ63" s="379"/>
      <c r="AR63" s="379"/>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3"/>
      <c r="AC64" s="5"/>
      <c r="AD64" s="354" t="str">
        <f>IF(T101="","",T101)</f>
        <v/>
      </c>
      <c r="AH64" s="376">
        <v>28</v>
      </c>
      <c r="AI64" s="377">
        <v>50</v>
      </c>
      <c r="AJ64" s="378">
        <v>0.6</v>
      </c>
      <c r="AK64" s="377" t="str">
        <f t="shared" si="1"/>
        <v/>
      </c>
      <c r="AL64" s="377" t="str">
        <f t="shared" si="8"/>
        <v/>
      </c>
      <c r="AM64" s="377"/>
      <c r="AN64" s="377"/>
      <c r="AO64" s="377"/>
      <c r="AP64" s="377"/>
      <c r="AQ64" s="379"/>
      <c r="AR64" s="379"/>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3"/>
      <c r="AC65" s="5"/>
      <c r="AD65" s="354" t="str">
        <f>IF(U101="","",U101)</f>
        <v/>
      </c>
      <c r="AH65" s="376">
        <v>28</v>
      </c>
      <c r="AI65" s="377">
        <v>50</v>
      </c>
      <c r="AJ65" s="378">
        <v>0.6</v>
      </c>
      <c r="AK65" s="377" t="str">
        <f t="shared" si="1"/>
        <v/>
      </c>
      <c r="AL65" s="377" t="str">
        <f t="shared" si="8"/>
        <v/>
      </c>
      <c r="AM65" s="377"/>
      <c r="AN65" s="377"/>
      <c r="AO65" s="377"/>
      <c r="AP65" s="377"/>
      <c r="AQ65" s="379"/>
      <c r="AR65" s="379"/>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3"/>
      <c r="AC66" s="5"/>
      <c r="AD66" s="354" t="str">
        <f>IF(S102="","",S102)</f>
        <v/>
      </c>
      <c r="AH66" s="185">
        <v>30</v>
      </c>
      <c r="AI66" s="121">
        <v>50</v>
      </c>
      <c r="AJ66" s="375">
        <v>0</v>
      </c>
      <c r="AK66" s="121" t="str">
        <f t="shared" si="1"/>
        <v/>
      </c>
      <c r="AL66" s="121" t="str">
        <f t="shared" si="8"/>
        <v/>
      </c>
      <c r="AM66" s="121"/>
      <c r="AN66" s="121"/>
      <c r="AO66" s="121"/>
      <c r="AP66" s="121"/>
      <c r="AQ66" s="220"/>
      <c r="AR66" s="2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IF(OR(R166=2,R166=3),3,IF(U169="TBD","",IF(U169&gt;=160,1,2)))</f>
        <v>1</v>
      </c>
      <c r="P67" s="5" t="s">
        <v>90</v>
      </c>
      <c r="Q67" s="5"/>
      <c r="R67" s="5"/>
      <c r="S67" s="5"/>
      <c r="T67" s="5"/>
      <c r="U67" s="5"/>
      <c r="V67" s="5"/>
      <c r="W67" s="5"/>
      <c r="X67" s="5"/>
      <c r="Y67" s="15"/>
      <c r="AA67" s="41" t="s">
        <v>384</v>
      </c>
      <c r="AB67" s="353"/>
      <c r="AC67" s="5"/>
      <c r="AD67" s="354" t="str">
        <f>IF(T102="","",T102)</f>
        <v/>
      </c>
      <c r="AH67" s="376">
        <v>30</v>
      </c>
      <c r="AI67" s="377">
        <v>50</v>
      </c>
      <c r="AJ67" s="378">
        <v>0</v>
      </c>
      <c r="AK67" s="377" t="str">
        <f t="shared" si="1"/>
        <v/>
      </c>
      <c r="AL67" s="377" t="str">
        <f t="shared" si="8"/>
        <v/>
      </c>
      <c r="AM67" s="377"/>
      <c r="AN67" s="377"/>
      <c r="AO67" s="377"/>
      <c r="AP67" s="377"/>
      <c r="AQ67" s="379"/>
      <c r="AR67" s="379"/>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3"/>
      <c r="AC68" s="5"/>
      <c r="AD68" s="354" t="str">
        <f>IF(U102="","",U102)</f>
        <v/>
      </c>
      <c r="AH68" s="376">
        <v>30</v>
      </c>
      <c r="AI68" s="377">
        <v>50</v>
      </c>
      <c r="AJ68" s="378">
        <v>0.5</v>
      </c>
      <c r="AK68" s="377" t="str">
        <f t="shared" si="1"/>
        <v/>
      </c>
      <c r="AL68" s="377" t="str">
        <f t="shared" si="8"/>
        <v/>
      </c>
      <c r="AM68" s="377"/>
      <c r="AN68" s="377"/>
      <c r="AO68" s="377"/>
      <c r="AP68" s="377"/>
      <c r="AQ68" s="379"/>
      <c r="AR68" s="379"/>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3"/>
      <c r="AC69" s="5"/>
      <c r="AD69" s="354" t="str">
        <f>IF(S103="","",S103)</f>
        <v/>
      </c>
      <c r="AH69" s="376">
        <v>30</v>
      </c>
      <c r="AI69" s="377">
        <v>50</v>
      </c>
      <c r="AJ69" s="378">
        <v>0.5</v>
      </c>
      <c r="AK69" s="377" t="str">
        <f t="shared" si="1"/>
        <v/>
      </c>
      <c r="AL69" s="377" t="str">
        <f t="shared" si="8"/>
        <v/>
      </c>
      <c r="AM69" s="377"/>
      <c r="AN69" s="377"/>
      <c r="AO69" s="377"/>
      <c r="AP69" s="377"/>
      <c r="AQ69" s="379"/>
      <c r="AR69" s="379"/>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3"/>
      <c r="AC70" s="5"/>
      <c r="AD70" s="354" t="str">
        <f>IF(T103="","",T103)</f>
        <v/>
      </c>
      <c r="AH70" s="376">
        <v>30</v>
      </c>
      <c r="AI70" s="377">
        <v>50</v>
      </c>
      <c r="AJ70" s="378">
        <v>0.6</v>
      </c>
      <c r="AK70" s="377" t="str">
        <f t="shared" si="1"/>
        <v/>
      </c>
      <c r="AL70" s="377" t="str">
        <f t="shared" si="8"/>
        <v/>
      </c>
      <c r="AM70" s="377"/>
      <c r="AN70" s="377"/>
      <c r="AO70" s="377"/>
      <c r="AP70" s="377"/>
      <c r="AQ70" s="379"/>
      <c r="AR70" s="379"/>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3"/>
      <c r="AC71" s="5"/>
      <c r="AD71" s="354" t="str">
        <f>IF(U103="","",U103)</f>
        <v/>
      </c>
      <c r="AH71" s="376">
        <v>30</v>
      </c>
      <c r="AI71" s="377">
        <v>50</v>
      </c>
      <c r="AJ71" s="378">
        <v>0.6</v>
      </c>
      <c r="AK71" s="377" t="str">
        <f t="shared" si="1"/>
        <v/>
      </c>
      <c r="AL71" s="377" t="str">
        <f t="shared" si="8"/>
        <v/>
      </c>
      <c r="AM71" s="377"/>
      <c r="AN71" s="377"/>
      <c r="AO71" s="377"/>
      <c r="AP71" s="377"/>
      <c r="AQ71" s="379"/>
      <c r="AR71" s="379"/>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47" t="s">
        <v>44</v>
      </c>
      <c r="AB72" s="5"/>
      <c r="AC72" s="5"/>
      <c r="AD72" s="5"/>
      <c r="AH72" s="376">
        <v>30</v>
      </c>
      <c r="AI72" s="377">
        <v>50</v>
      </c>
      <c r="AJ72" s="378">
        <v>0.7</v>
      </c>
      <c r="AK72" s="377" t="str">
        <f t="shared" si="1"/>
        <v/>
      </c>
      <c r="AL72" s="377" t="str">
        <f t="shared" si="8"/>
        <v/>
      </c>
      <c r="AM72" s="377"/>
      <c r="AN72" s="377"/>
      <c r="AO72" s="377"/>
      <c r="AP72" s="377"/>
      <c r="AQ72" s="379"/>
      <c r="AR72" s="379"/>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3"/>
      <c r="AC73" s="5"/>
      <c r="AD73" s="354" t="str">
        <f>IF(V100="","",V100)</f>
        <v/>
      </c>
      <c r="AH73" s="376">
        <v>30</v>
      </c>
      <c r="AI73" s="377">
        <v>50</v>
      </c>
      <c r="AJ73" s="378">
        <v>0.7</v>
      </c>
      <c r="AK73" s="377" t="str">
        <f t="shared" si="1"/>
        <v/>
      </c>
      <c r="AL73" s="377" t="str">
        <f t="shared" si="8"/>
        <v/>
      </c>
      <c r="AM73" s="377"/>
      <c r="AN73" s="377"/>
      <c r="AO73" s="377"/>
      <c r="AP73" s="377"/>
      <c r="AQ73" s="379"/>
      <c r="AR73" s="379"/>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3"/>
      <c r="AC74" s="5"/>
      <c r="AD74" s="354" t="str">
        <f>IF(W100="","",W100)</f>
        <v/>
      </c>
      <c r="AH74" s="185">
        <v>32</v>
      </c>
      <c r="AI74" s="121">
        <v>50</v>
      </c>
      <c r="AJ74" s="375">
        <v>0</v>
      </c>
      <c r="AK74" s="121" t="str">
        <f t="shared" si="1"/>
        <v/>
      </c>
      <c r="AL74" s="121" t="str">
        <f t="shared" si="8"/>
        <v/>
      </c>
      <c r="AM74" s="121"/>
      <c r="AN74" s="121"/>
      <c r="AO74" s="121"/>
      <c r="AP74" s="121"/>
      <c r="AQ74" s="220"/>
      <c r="AR74" s="2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3"/>
      <c r="AC75" s="5"/>
      <c r="AD75" s="354" t="str">
        <f>IF(X100="","",X100)</f>
        <v/>
      </c>
      <c r="AH75" s="376">
        <v>32</v>
      </c>
      <c r="AI75" s="377">
        <v>50</v>
      </c>
      <c r="AJ75" s="378">
        <v>0</v>
      </c>
      <c r="AK75" s="377" t="str">
        <f t="shared" ref="AK75:AK131" si="11">IF($V$21="","",$V$21)</f>
        <v/>
      </c>
      <c r="AL75" s="377" t="str">
        <f t="shared" si="8"/>
        <v/>
      </c>
      <c r="AM75" s="377"/>
      <c r="AN75" s="377"/>
      <c r="AO75" s="377"/>
      <c r="AP75" s="377"/>
      <c r="AQ75" s="379"/>
      <c r="AR75" s="379"/>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3"/>
      <c r="AC76" s="5"/>
      <c r="AD76" s="354" t="str">
        <f>IF(V101="","",V101)</f>
        <v/>
      </c>
      <c r="AH76" s="376">
        <v>32</v>
      </c>
      <c r="AI76" s="377">
        <v>50</v>
      </c>
      <c r="AJ76" s="378">
        <v>0.6</v>
      </c>
      <c r="AK76" s="377" t="str">
        <f t="shared" si="11"/>
        <v/>
      </c>
      <c r="AL76" s="377" t="str">
        <f t="shared" si="8"/>
        <v/>
      </c>
      <c r="AM76" s="377"/>
      <c r="AN76" s="377"/>
      <c r="AO76" s="377"/>
      <c r="AP76" s="377"/>
      <c r="AQ76" s="379"/>
      <c r="AR76" s="379"/>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3"/>
      <c r="AC77" s="5"/>
      <c r="AD77" s="354" t="str">
        <f>IF(W101="","",W101)</f>
        <v/>
      </c>
      <c r="AH77" s="376">
        <v>32</v>
      </c>
      <c r="AI77" s="377">
        <v>50</v>
      </c>
      <c r="AJ77" s="378">
        <v>0.6</v>
      </c>
      <c r="AK77" s="377" t="str">
        <f t="shared" si="11"/>
        <v/>
      </c>
      <c r="AL77" s="377" t="str">
        <f t="shared" si="8"/>
        <v/>
      </c>
      <c r="AM77" s="377"/>
      <c r="AN77" s="377"/>
      <c r="AO77" s="377"/>
      <c r="AP77" s="377"/>
      <c r="AQ77" s="379"/>
      <c r="AR77" s="379"/>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3"/>
      <c r="AC78" s="5"/>
      <c r="AD78" s="354" t="str">
        <f>IF(X101="","",X101)</f>
        <v/>
      </c>
      <c r="AH78" s="376">
        <v>32</v>
      </c>
      <c r="AI78" s="377">
        <v>50</v>
      </c>
      <c r="AJ78" s="378">
        <v>0.7</v>
      </c>
      <c r="AK78" s="377" t="str">
        <f t="shared" si="11"/>
        <v/>
      </c>
      <c r="AL78" s="377" t="str">
        <f t="shared" si="8"/>
        <v/>
      </c>
      <c r="AM78" s="377"/>
      <c r="AN78" s="377"/>
      <c r="AO78" s="377"/>
      <c r="AP78" s="377"/>
      <c r="AQ78" s="379"/>
      <c r="AR78" s="379"/>
    </row>
    <row r="79" spans="1:44">
      <c r="A79" s="1">
        <v>11</v>
      </c>
      <c r="B79" s="39"/>
      <c r="C79" s="5" t="s">
        <v>114</v>
      </c>
      <c r="D79" s="5"/>
      <c r="E79" s="5" t="s">
        <v>115</v>
      </c>
      <c r="F79" s="5"/>
      <c r="G79" s="5"/>
      <c r="H79" s="5"/>
      <c r="I79" s="5"/>
      <c r="J79" s="5"/>
      <c r="K79" s="5"/>
      <c r="L79" s="74" t="str">
        <f t="shared" si="9"/>
        <v>TBD</v>
      </c>
      <c r="M79" s="75" t="str">
        <f t="shared" si="10"/>
        <v/>
      </c>
      <c r="N79" s="5"/>
      <c r="O79" s="76" t="str">
        <f>IF(O213="","",O213)</f>
        <v/>
      </c>
      <c r="P79" s="5" t="s">
        <v>116</v>
      </c>
      <c r="Q79" s="5"/>
      <c r="R79" s="5"/>
      <c r="S79" s="5"/>
      <c r="T79" s="5"/>
      <c r="U79" s="5"/>
      <c r="V79" s="5"/>
      <c r="W79" s="5"/>
      <c r="X79" s="5"/>
      <c r="Y79" s="15"/>
      <c r="AA79" s="41" t="s">
        <v>272</v>
      </c>
      <c r="AB79" s="353"/>
      <c r="AC79" s="5"/>
      <c r="AD79" s="354" t="str">
        <f>IF(V102="","",V102)</f>
        <v/>
      </c>
      <c r="AH79" s="376">
        <v>32</v>
      </c>
      <c r="AI79" s="377">
        <v>50</v>
      </c>
      <c r="AJ79" s="378">
        <v>0.7</v>
      </c>
      <c r="AK79" s="377" t="str">
        <f t="shared" si="11"/>
        <v/>
      </c>
      <c r="AL79" s="377" t="str">
        <f t="shared" si="8"/>
        <v/>
      </c>
      <c r="AM79" s="377"/>
      <c r="AN79" s="377"/>
      <c r="AO79" s="377"/>
      <c r="AP79" s="377"/>
      <c r="AQ79" s="379"/>
      <c r="AR79" s="379"/>
    </row>
    <row r="80" spans="1:44">
      <c r="A80" s="1">
        <v>12</v>
      </c>
      <c r="B80" s="39"/>
      <c r="C80" s="5" t="s">
        <v>117</v>
      </c>
      <c r="D80" s="5"/>
      <c r="E80" s="5" t="s">
        <v>93</v>
      </c>
      <c r="F80" s="5"/>
      <c r="G80" s="5"/>
      <c r="H80" s="5"/>
      <c r="I80" s="5"/>
      <c r="J80" s="5"/>
      <c r="K80" s="5"/>
      <c r="L80" s="74" t="str">
        <f t="shared" si="9"/>
        <v>TBD</v>
      </c>
      <c r="M80" s="75" t="str">
        <f t="shared" si="10"/>
        <v/>
      </c>
      <c r="N80" s="5"/>
      <c r="O80" s="76" t="str">
        <f>IF(O212="","",O212)</f>
        <v/>
      </c>
      <c r="P80" s="5" t="s">
        <v>118</v>
      </c>
      <c r="Q80" s="5"/>
      <c r="R80" s="5"/>
      <c r="S80" s="5"/>
      <c r="T80" s="5"/>
      <c r="U80" s="5"/>
      <c r="V80" s="5"/>
      <c r="W80" s="5"/>
      <c r="X80" s="5"/>
      <c r="Y80" s="15"/>
      <c r="AA80" s="41" t="s">
        <v>384</v>
      </c>
      <c r="AB80" s="353"/>
      <c r="AC80" s="5"/>
      <c r="AD80" s="354" t="str">
        <f>IF(W102="","",W102)</f>
        <v/>
      </c>
      <c r="AH80" s="376">
        <v>32</v>
      </c>
      <c r="AI80" s="377">
        <v>50</v>
      </c>
      <c r="AJ80" s="378">
        <v>0.7</v>
      </c>
      <c r="AK80" s="377" t="str">
        <f t="shared" si="11"/>
        <v/>
      </c>
      <c r="AL80" s="377" t="str">
        <f t="shared" si="8"/>
        <v/>
      </c>
      <c r="AM80" s="377"/>
      <c r="AN80" s="377"/>
      <c r="AO80" s="377"/>
      <c r="AP80" s="377"/>
      <c r="AQ80" s="379"/>
      <c r="AR80" s="379"/>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3"/>
      <c r="AC81" s="5"/>
      <c r="AD81" s="354" t="str">
        <f>IF(X102="","",X102)</f>
        <v/>
      </c>
      <c r="AH81" s="376">
        <v>32</v>
      </c>
      <c r="AI81" s="377">
        <v>50</v>
      </c>
      <c r="AJ81" s="378">
        <v>0.7</v>
      </c>
      <c r="AK81" s="377" t="str">
        <f t="shared" si="11"/>
        <v/>
      </c>
      <c r="AL81" s="377" t="str">
        <f t="shared" si="8"/>
        <v/>
      </c>
      <c r="AM81" s="377"/>
      <c r="AN81" s="377"/>
      <c r="AO81" s="377"/>
      <c r="AP81" s="377"/>
      <c r="AQ81" s="379"/>
      <c r="AR81" s="379"/>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3"/>
      <c r="AC82" s="5"/>
      <c r="AD82" s="354" t="str">
        <f>IF(V103="","",V103)</f>
        <v/>
      </c>
      <c r="AH82" s="185">
        <v>34</v>
      </c>
      <c r="AI82" s="121">
        <v>50</v>
      </c>
      <c r="AJ82" s="375">
        <v>0</v>
      </c>
      <c r="AK82" s="121" t="str">
        <f t="shared" si="11"/>
        <v/>
      </c>
      <c r="AL82" s="121" t="str">
        <f t="shared" si="8"/>
        <v/>
      </c>
      <c r="AM82" s="121"/>
      <c r="AN82" s="121"/>
      <c r="AO82" s="121"/>
      <c r="AP82" s="121"/>
      <c r="AQ82" s="220"/>
      <c r="AR82" s="2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3"/>
      <c r="AC83" s="5"/>
      <c r="AD83" s="354" t="str">
        <f>IF(W103="","",W103)</f>
        <v/>
      </c>
      <c r="AH83" s="376">
        <v>34</v>
      </c>
      <c r="AI83" s="377">
        <v>50</v>
      </c>
      <c r="AJ83" s="378">
        <v>0</v>
      </c>
      <c r="AK83" s="377" t="str">
        <f t="shared" si="11"/>
        <v/>
      </c>
      <c r="AL83" s="377" t="str">
        <f t="shared" si="8"/>
        <v/>
      </c>
      <c r="AM83" s="377"/>
      <c r="AN83" s="377"/>
      <c r="AO83" s="377"/>
      <c r="AP83" s="377"/>
      <c r="AQ83" s="379"/>
      <c r="AR83" s="379"/>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3"/>
      <c r="AC84" s="5"/>
      <c r="AD84" s="354" t="str">
        <f>IF(X103="","",X103)</f>
        <v/>
      </c>
      <c r="AH84" s="376">
        <v>34</v>
      </c>
      <c r="AI84" s="377">
        <v>50</v>
      </c>
      <c r="AJ84" s="378">
        <v>0.6</v>
      </c>
      <c r="AK84" s="377" t="str">
        <f t="shared" si="11"/>
        <v/>
      </c>
      <c r="AL84" s="377" t="str">
        <f t="shared" si="8"/>
        <v/>
      </c>
      <c r="AM84" s="377"/>
      <c r="AN84" s="377"/>
      <c r="AO84" s="377"/>
      <c r="AP84" s="377"/>
      <c r="AQ84" s="379"/>
      <c r="AR84" s="379"/>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6">
        <v>34</v>
      </c>
      <c r="AI85" s="377">
        <v>50</v>
      </c>
      <c r="AJ85" s="378">
        <v>0.6</v>
      </c>
      <c r="AK85" s="377" t="str">
        <f t="shared" si="11"/>
        <v/>
      </c>
      <c r="AL85" s="377" t="str">
        <f t="shared" si="8"/>
        <v/>
      </c>
      <c r="AM85" s="377"/>
      <c r="AN85" s="377"/>
      <c r="AO85" s="377"/>
      <c r="AP85" s="377"/>
      <c r="AQ85" s="379"/>
      <c r="AR85" s="379"/>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3"/>
      <c r="AC86" s="5"/>
      <c r="AD86" s="358" t="str">
        <f>IF(X283="","",X283)</f>
        <v/>
      </c>
      <c r="AH86" s="376">
        <v>34</v>
      </c>
      <c r="AI86" s="377">
        <v>50</v>
      </c>
      <c r="AJ86" s="378">
        <v>0.7</v>
      </c>
      <c r="AK86" s="377" t="str">
        <f t="shared" si="11"/>
        <v/>
      </c>
      <c r="AL86" s="377" t="str">
        <f t="shared" si="8"/>
        <v/>
      </c>
      <c r="AM86" s="377"/>
      <c r="AN86" s="377"/>
      <c r="AO86" s="377"/>
      <c r="AP86" s="377"/>
      <c r="AQ86" s="379"/>
      <c r="AR86" s="379"/>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3"/>
      <c r="AC87" s="5"/>
      <c r="AD87" s="359" t="str">
        <f>IF(W379="","",W379)</f>
        <v/>
      </c>
      <c r="AH87" s="376">
        <v>34</v>
      </c>
      <c r="AI87" s="377">
        <v>50</v>
      </c>
      <c r="AJ87" s="378">
        <v>0.7</v>
      </c>
      <c r="AK87" s="377" t="str">
        <f t="shared" si="11"/>
        <v/>
      </c>
      <c r="AL87" s="377" t="str">
        <f t="shared" si="8"/>
        <v/>
      </c>
      <c r="AM87" s="377"/>
      <c r="AN87" s="377"/>
      <c r="AO87" s="377"/>
      <c r="AP87" s="377"/>
      <c r="AQ87" s="379"/>
      <c r="AR87" s="379"/>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3"/>
      <c r="AC88" s="5"/>
      <c r="AD88" s="358" t="str">
        <f>IF(X379="","",X379)</f>
        <v/>
      </c>
      <c r="AH88" s="376">
        <v>34</v>
      </c>
      <c r="AI88" s="377">
        <v>50</v>
      </c>
      <c r="AJ88" s="378">
        <v>0.7</v>
      </c>
      <c r="AK88" s="377" t="str">
        <f t="shared" si="11"/>
        <v/>
      </c>
      <c r="AL88" s="377" t="str">
        <f t="shared" si="8"/>
        <v/>
      </c>
      <c r="AM88" s="377"/>
      <c r="AN88" s="377"/>
      <c r="AO88" s="377"/>
      <c r="AP88" s="377"/>
      <c r="AQ88" s="379"/>
      <c r="AR88" s="379"/>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3"/>
      <c r="AC89" s="5"/>
      <c r="AD89" s="358" t="str">
        <f>IF(X298="","",X298)</f>
        <v/>
      </c>
      <c r="AH89" s="376">
        <v>34</v>
      </c>
      <c r="AI89" s="377">
        <v>50</v>
      </c>
      <c r="AJ89" s="378">
        <v>0.7</v>
      </c>
      <c r="AK89" s="377" t="str">
        <f t="shared" si="11"/>
        <v/>
      </c>
      <c r="AL89" s="377" t="str">
        <f t="shared" si="8"/>
        <v/>
      </c>
      <c r="AM89" s="377"/>
      <c r="AN89" s="377"/>
      <c r="AO89" s="377"/>
      <c r="AP89" s="377"/>
      <c r="AQ89" s="379"/>
      <c r="AR89" s="379"/>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3"/>
      <c r="AC90" s="77"/>
      <c r="AD90" s="358" t="str">
        <f>IF(X318="","",X318)</f>
        <v/>
      </c>
      <c r="AH90" s="185">
        <v>36</v>
      </c>
      <c r="AI90" s="121">
        <v>50</v>
      </c>
      <c r="AJ90" s="375">
        <v>0</v>
      </c>
      <c r="AK90" s="121" t="str">
        <f t="shared" si="11"/>
        <v/>
      </c>
      <c r="AL90" s="121" t="str">
        <f t="shared" si="8"/>
        <v/>
      </c>
      <c r="AM90" s="121"/>
      <c r="AN90" s="121"/>
      <c r="AO90" s="121"/>
      <c r="AP90" s="121"/>
      <c r="AQ90" s="220"/>
      <c r="AR90" s="220"/>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3"/>
      <c r="AC91" s="77"/>
      <c r="AD91" s="358" t="str">
        <f>IF(X330="","",X330)</f>
        <v/>
      </c>
      <c r="AH91" s="188">
        <v>38</v>
      </c>
      <c r="AI91" s="189">
        <v>50</v>
      </c>
      <c r="AJ91" s="380">
        <v>0</v>
      </c>
      <c r="AK91" s="189" t="str">
        <f t="shared" si="11"/>
        <v/>
      </c>
      <c r="AL91" s="189" t="str">
        <f t="shared" si="8"/>
        <v/>
      </c>
      <c r="AM91" s="189"/>
      <c r="AN91" s="189"/>
      <c r="AO91" s="189"/>
      <c r="AP91" s="189"/>
      <c r="AQ91" s="223"/>
      <c r="AR91" s="223"/>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3"/>
      <c r="AC92" s="77"/>
      <c r="AD92" s="358" t="str">
        <f>IF(X335="","",X335)</f>
        <v/>
      </c>
      <c r="AH92" s="182">
        <v>28</v>
      </c>
      <c r="AI92" s="183">
        <v>50</v>
      </c>
      <c r="AJ92" s="366">
        <v>0</v>
      </c>
      <c r="AK92" s="183" t="str">
        <f t="shared" si="11"/>
        <v/>
      </c>
      <c r="AL92" s="183" t="str">
        <f t="shared" ref="AL92:AL131" si="12">IF($V$26="","",$V$26)</f>
        <v/>
      </c>
      <c r="AM92" s="183"/>
      <c r="AN92" s="183"/>
      <c r="AO92" s="183"/>
      <c r="AP92" s="183"/>
      <c r="AQ92" s="217"/>
      <c r="AR92" s="217"/>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58" t="s">
        <v>232</v>
      </c>
      <c r="AB93" s="77"/>
      <c r="AC93" s="77"/>
      <c r="AD93" s="77"/>
      <c r="AH93" s="381">
        <v>28</v>
      </c>
      <c r="AI93" s="382">
        <v>50</v>
      </c>
      <c r="AJ93" s="383">
        <v>0</v>
      </c>
      <c r="AK93" s="382" t="str">
        <f t="shared" si="11"/>
        <v/>
      </c>
      <c r="AL93" s="382" t="str">
        <f t="shared" si="12"/>
        <v/>
      </c>
      <c r="AM93" s="382"/>
      <c r="AN93" s="382"/>
      <c r="AO93" s="382"/>
      <c r="AP93" s="382"/>
      <c r="AQ93" s="384"/>
      <c r="AR93" s="384"/>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5">
        <f>Q223</f>
        <v>0</v>
      </c>
      <c r="AB94" s="353"/>
      <c r="AC94" s="175"/>
      <c r="AD94" s="358" t="str">
        <f>IF(Q226="","",Q226)</f>
        <v/>
      </c>
      <c r="AH94" s="381">
        <v>28</v>
      </c>
      <c r="AI94" s="382">
        <v>50</v>
      </c>
      <c r="AJ94" s="383">
        <v>0.4</v>
      </c>
      <c r="AK94" s="382" t="str">
        <f t="shared" si="11"/>
        <v/>
      </c>
      <c r="AL94" s="382" t="str">
        <f t="shared" si="12"/>
        <v/>
      </c>
      <c r="AM94" s="382"/>
      <c r="AN94" s="382"/>
      <c r="AO94" s="382"/>
      <c r="AP94" s="382"/>
      <c r="AQ94" s="384"/>
      <c r="AR94" s="384"/>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5">
        <f>R223</f>
        <v>0</v>
      </c>
      <c r="AB95" s="353"/>
      <c r="AC95" s="175"/>
      <c r="AD95" s="358" t="str">
        <f>IF(R226="","",R226)</f>
        <v/>
      </c>
      <c r="AH95" s="381">
        <v>28</v>
      </c>
      <c r="AI95" s="382">
        <v>50</v>
      </c>
      <c r="AJ95" s="383">
        <v>0.4</v>
      </c>
      <c r="AK95" s="382" t="str">
        <f t="shared" si="11"/>
        <v/>
      </c>
      <c r="AL95" s="382" t="str">
        <f t="shared" si="12"/>
        <v/>
      </c>
      <c r="AM95" s="382"/>
      <c r="AN95" s="382"/>
      <c r="AO95" s="382"/>
      <c r="AP95" s="382"/>
      <c r="AQ95" s="384"/>
      <c r="AR95" s="384"/>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5">
        <f>S223</f>
        <v>0</v>
      </c>
      <c r="AB96" s="353"/>
      <c r="AC96" s="175"/>
      <c r="AD96" s="358" t="str">
        <f>IF(S226="","",S226)</f>
        <v/>
      </c>
      <c r="AH96" s="381">
        <v>28</v>
      </c>
      <c r="AI96" s="382">
        <v>50</v>
      </c>
      <c r="AJ96" s="383">
        <v>0.5</v>
      </c>
      <c r="AK96" s="382" t="str">
        <f t="shared" si="11"/>
        <v/>
      </c>
      <c r="AL96" s="382" t="str">
        <f t="shared" si="12"/>
        <v/>
      </c>
      <c r="AM96" s="382"/>
      <c r="AN96" s="382"/>
      <c r="AO96" s="382"/>
      <c r="AP96" s="382"/>
      <c r="AQ96" s="384"/>
      <c r="AR96" s="384"/>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87" t="s">
        <v>42</v>
      </c>
      <c r="Q97" s="687"/>
      <c r="R97" s="687"/>
      <c r="S97" s="688" t="s">
        <v>43</v>
      </c>
      <c r="T97" s="688"/>
      <c r="U97" s="688"/>
      <c r="V97" s="687" t="s">
        <v>44</v>
      </c>
      <c r="W97" s="687"/>
      <c r="X97" s="687"/>
      <c r="Y97" s="15"/>
      <c r="AA97" s="175"/>
      <c r="AB97" s="175"/>
      <c r="AC97" s="175"/>
      <c r="AD97" s="175"/>
      <c r="AH97" s="381">
        <v>28</v>
      </c>
      <c r="AI97" s="382">
        <v>50</v>
      </c>
      <c r="AJ97" s="383">
        <v>0.5</v>
      </c>
      <c r="AK97" s="382" t="str">
        <f t="shared" si="11"/>
        <v/>
      </c>
      <c r="AL97" s="382" t="str">
        <f t="shared" si="12"/>
        <v/>
      </c>
      <c r="AM97" s="382"/>
      <c r="AN97" s="382"/>
      <c r="AO97" s="382"/>
      <c r="AP97" s="382"/>
      <c r="AQ97" s="384"/>
      <c r="AR97" s="384"/>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87"/>
      <c r="Q98" s="687"/>
      <c r="R98" s="687"/>
      <c r="S98" s="688"/>
      <c r="T98" s="688"/>
      <c r="U98" s="688"/>
      <c r="V98" s="687"/>
      <c r="W98" s="687"/>
      <c r="X98" s="687"/>
      <c r="Y98" s="15"/>
      <c r="AA98" s="45" t="s">
        <v>394</v>
      </c>
      <c r="AB98" s="5"/>
      <c r="AC98" s="5"/>
      <c r="AD98" s="5"/>
      <c r="AH98" s="381">
        <v>28</v>
      </c>
      <c r="AI98" s="382">
        <v>50</v>
      </c>
      <c r="AJ98" s="383">
        <v>0.6</v>
      </c>
      <c r="AK98" s="382" t="str">
        <f t="shared" si="11"/>
        <v/>
      </c>
      <c r="AL98" s="382" t="str">
        <f t="shared" si="12"/>
        <v/>
      </c>
      <c r="AM98" s="382"/>
      <c r="AN98" s="382"/>
      <c r="AO98" s="382"/>
      <c r="AP98" s="382"/>
      <c r="AQ98" s="384"/>
      <c r="AR98" s="384"/>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3"/>
      <c r="AC99" s="5"/>
      <c r="AD99" s="354">
        <f t="shared" ref="AD99:AD104" si="13">IF(Q427="","",Q427)</f>
        <v>0</v>
      </c>
      <c r="AH99" s="381">
        <v>28</v>
      </c>
      <c r="AI99" s="382">
        <v>50</v>
      </c>
      <c r="AJ99" s="383">
        <v>0.6</v>
      </c>
      <c r="AK99" s="382" t="str">
        <f t="shared" si="11"/>
        <v/>
      </c>
      <c r="AL99" s="382" t="str">
        <f t="shared" si="12"/>
        <v/>
      </c>
      <c r="AM99" s="382"/>
      <c r="AN99" s="382"/>
      <c r="AO99" s="382"/>
      <c r="AP99" s="382"/>
      <c r="AQ99" s="384"/>
      <c r="AR99" s="384"/>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3"/>
      <c r="AC100" s="5"/>
      <c r="AD100" s="354">
        <f t="shared" si="13"/>
        <v>0</v>
      </c>
      <c r="AH100" s="185">
        <v>30</v>
      </c>
      <c r="AI100" s="121">
        <v>50</v>
      </c>
      <c r="AJ100" s="209">
        <v>0</v>
      </c>
      <c r="AK100" s="121" t="str">
        <f t="shared" si="11"/>
        <v/>
      </c>
      <c r="AL100" s="121" t="str">
        <f t="shared" si="12"/>
        <v/>
      </c>
      <c r="AM100" s="121"/>
      <c r="AN100" s="121"/>
      <c r="AO100" s="121"/>
      <c r="AP100" s="121"/>
      <c r="AQ100" s="220"/>
      <c r="AR100" s="220"/>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3"/>
      <c r="AC101" s="5"/>
      <c r="AD101" s="354" t="str">
        <f t="shared" si="13"/>
        <v/>
      </c>
      <c r="AH101" s="381">
        <v>30</v>
      </c>
      <c r="AI101" s="382">
        <v>50</v>
      </c>
      <c r="AJ101" s="383">
        <v>0</v>
      </c>
      <c r="AK101" s="382" t="str">
        <f t="shared" si="11"/>
        <v/>
      </c>
      <c r="AL101" s="382" t="str">
        <f t="shared" si="12"/>
        <v/>
      </c>
      <c r="AM101" s="382"/>
      <c r="AN101" s="382"/>
      <c r="AO101" s="382"/>
      <c r="AP101" s="382"/>
      <c r="AQ101" s="384"/>
      <c r="AR101" s="384"/>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3"/>
      <c r="AC102" s="5"/>
      <c r="AD102" s="354" t="str">
        <f t="shared" si="13"/>
        <v/>
      </c>
      <c r="AH102" s="381">
        <v>30</v>
      </c>
      <c r="AI102" s="382">
        <v>50</v>
      </c>
      <c r="AJ102" s="383">
        <v>0.4</v>
      </c>
      <c r="AK102" s="382" t="str">
        <f t="shared" si="11"/>
        <v/>
      </c>
      <c r="AL102" s="382" t="str">
        <f t="shared" si="12"/>
        <v/>
      </c>
      <c r="AM102" s="382"/>
      <c r="AN102" s="382"/>
      <c r="AO102" s="382"/>
      <c r="AP102" s="382"/>
      <c r="AQ102" s="384"/>
      <c r="AR102" s="384"/>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3"/>
      <c r="AC103" s="5"/>
      <c r="AD103" s="354" t="str">
        <f t="shared" si="13"/>
        <v/>
      </c>
      <c r="AH103" s="381">
        <v>30</v>
      </c>
      <c r="AI103" s="382">
        <v>50</v>
      </c>
      <c r="AJ103" s="383">
        <v>0.4</v>
      </c>
      <c r="AK103" s="382" t="str">
        <f t="shared" si="11"/>
        <v/>
      </c>
      <c r="AL103" s="382" t="str">
        <f t="shared" si="12"/>
        <v/>
      </c>
      <c r="AM103" s="382"/>
      <c r="AN103" s="382"/>
      <c r="AO103" s="382"/>
      <c r="AP103" s="382"/>
      <c r="AQ103" s="384"/>
      <c r="AR103" s="384"/>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3"/>
      <c r="AC104" s="5"/>
      <c r="AD104" s="354" t="str">
        <f t="shared" si="13"/>
        <v/>
      </c>
      <c r="AH104" s="381">
        <v>30</v>
      </c>
      <c r="AI104" s="382">
        <v>50</v>
      </c>
      <c r="AJ104" s="383">
        <v>0.5</v>
      </c>
      <c r="AK104" s="382" t="str">
        <f t="shared" si="11"/>
        <v/>
      </c>
      <c r="AL104" s="382" t="str">
        <f t="shared" si="12"/>
        <v/>
      </c>
      <c r="AM104" s="382"/>
      <c r="AN104" s="382"/>
      <c r="AO104" s="382"/>
      <c r="AP104" s="382"/>
      <c r="AQ104" s="384"/>
      <c r="AR104" s="384"/>
    </row>
    <row r="105" spans="1:44" ht="17.25" thickTop="1" thickBot="1">
      <c r="A105" s="1">
        <v>37</v>
      </c>
      <c r="B105" s="39"/>
      <c r="C105" s="5"/>
      <c r="D105" s="5"/>
      <c r="E105" s="5"/>
      <c r="F105" s="5"/>
      <c r="G105" s="5"/>
      <c r="H105" s="30" t="s">
        <v>155</v>
      </c>
      <c r="I105" s="5"/>
      <c r="J105" s="5"/>
      <c r="K105" s="5"/>
      <c r="L105" s="5"/>
      <c r="M105" s="42"/>
      <c r="N105" s="5"/>
      <c r="O105" s="52" t="s">
        <v>41</v>
      </c>
      <c r="P105" s="687" t="s">
        <v>42</v>
      </c>
      <c r="Q105" s="687"/>
      <c r="R105" s="687"/>
      <c r="S105" s="688" t="s">
        <v>43</v>
      </c>
      <c r="T105" s="688"/>
      <c r="U105" s="688"/>
      <c r="V105" s="687" t="s">
        <v>44</v>
      </c>
      <c r="W105" s="687"/>
      <c r="X105" s="687"/>
      <c r="Y105" s="15"/>
      <c r="AA105" s="41" t="s">
        <v>274</v>
      </c>
      <c r="AB105" s="353"/>
      <c r="AC105" s="5"/>
      <c r="AD105" s="354" t="str">
        <f>IF(U427="","",U427)</f>
        <v/>
      </c>
      <c r="AH105" s="381">
        <v>30</v>
      </c>
      <c r="AI105" s="382">
        <v>50</v>
      </c>
      <c r="AJ105" s="383">
        <v>0.5</v>
      </c>
      <c r="AK105" s="382" t="str">
        <f t="shared" si="11"/>
        <v/>
      </c>
      <c r="AL105" s="382" t="str">
        <f t="shared" si="12"/>
        <v/>
      </c>
      <c r="AM105" s="382"/>
      <c r="AN105" s="382"/>
      <c r="AO105" s="382"/>
      <c r="AP105" s="382"/>
      <c r="AQ105" s="384"/>
      <c r="AR105" s="384"/>
    </row>
    <row r="106" spans="1:44" ht="16.5" thickTop="1">
      <c r="A106" s="1">
        <v>38</v>
      </c>
      <c r="B106" s="39"/>
      <c r="C106" s="96" t="str">
        <f>IF(Q464="","",IF(LEN(Q464)&lt;=135,Q464,IF(LEN(Q464)&lt;=260,LEFT(Q464,SEARCH(" ",Q464,125)),LEFT(Q464,SEARCH(" ",Q464,130)))))</f>
        <v/>
      </c>
      <c r="D106" s="97"/>
      <c r="E106" s="97"/>
      <c r="F106" s="97"/>
      <c r="G106" s="97"/>
      <c r="H106" s="97"/>
      <c r="I106" s="97"/>
      <c r="J106" s="97"/>
      <c r="K106" s="97"/>
      <c r="L106" s="97"/>
      <c r="M106" s="42"/>
      <c r="N106" s="5"/>
      <c r="O106" s="54" t="s">
        <v>46</v>
      </c>
      <c r="P106" s="687"/>
      <c r="Q106" s="687"/>
      <c r="R106" s="687"/>
      <c r="S106" s="688"/>
      <c r="T106" s="688"/>
      <c r="U106" s="688"/>
      <c r="V106" s="687"/>
      <c r="W106" s="687"/>
      <c r="X106" s="687"/>
      <c r="Y106" s="15"/>
      <c r="AA106" s="41" t="s">
        <v>277</v>
      </c>
      <c r="AB106" s="353"/>
      <c r="AC106" s="5"/>
      <c r="AD106" s="354" t="str">
        <f>IF(U428="","",U428)</f>
        <v/>
      </c>
      <c r="AH106" s="381">
        <v>30</v>
      </c>
      <c r="AI106" s="382">
        <v>50</v>
      </c>
      <c r="AJ106" s="383">
        <v>0.6</v>
      </c>
      <c r="AK106" s="382" t="str">
        <f t="shared" si="11"/>
        <v/>
      </c>
      <c r="AL106" s="382" t="str">
        <f t="shared" si="12"/>
        <v/>
      </c>
      <c r="AM106" s="382"/>
      <c r="AN106" s="382"/>
      <c r="AO106" s="382"/>
      <c r="AP106" s="382"/>
      <c r="AQ106" s="384"/>
      <c r="AR106" s="384"/>
    </row>
    <row r="107" spans="1:44" ht="16.5" thickBot="1">
      <c r="A107" s="1">
        <v>39</v>
      </c>
      <c r="B107" s="39"/>
      <c r="C107" s="98" t="str">
        <f>IF(LEN(Q464)&lt;=135,"",IF(LEN(Q464)&lt;=260,RIGHT(Q464,LEN(Q464)-SEARCH(" ",Q464,125)),MID(Q464,SEARCH(" ",Q464,130),IF(LEN(Q464)&lt;=265,LEN(Q464),SEARCH(" ",Q464,255)-SEARCH(" ",Q464,130)))))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3"/>
      <c r="AC107" s="5"/>
      <c r="AD107" s="354" t="str">
        <f>IF(U429="","",U429)</f>
        <v/>
      </c>
      <c r="AH107" s="381">
        <v>30</v>
      </c>
      <c r="AI107" s="382">
        <v>50</v>
      </c>
      <c r="AJ107" s="383">
        <v>0.6</v>
      </c>
      <c r="AK107" s="382" t="str">
        <f t="shared" si="11"/>
        <v/>
      </c>
      <c r="AL107" s="382" t="str">
        <f t="shared" si="12"/>
        <v/>
      </c>
      <c r="AM107" s="382"/>
      <c r="AN107" s="382"/>
      <c r="AO107" s="382"/>
      <c r="AP107" s="382"/>
      <c r="AQ107" s="384"/>
      <c r="AR107" s="384"/>
    </row>
    <row r="108" spans="1:44" ht="16.5" thickTop="1">
      <c r="A108" s="1">
        <v>40</v>
      </c>
      <c r="B108" s="39"/>
      <c r="C108" s="98" t="str">
        <f>IF(LEN(Q464)&lt;=265,"",RIGHT(Q464,LEN(Q464)-SEARCH(" ",Q464,255)))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5">
        <v>32</v>
      </c>
      <c r="AI108" s="121">
        <v>50</v>
      </c>
      <c r="AJ108" s="209">
        <v>0</v>
      </c>
      <c r="AK108" s="121" t="str">
        <f t="shared" si="11"/>
        <v/>
      </c>
      <c r="AL108" s="121" t="str">
        <f t="shared" si="12"/>
        <v/>
      </c>
      <c r="AM108" s="121"/>
      <c r="AN108" s="121"/>
      <c r="AO108" s="121"/>
      <c r="AP108" s="121"/>
      <c r="AQ108" s="220"/>
      <c r="AR108" s="220"/>
    </row>
    <row r="109" spans="1:44">
      <c r="A109" s="1">
        <v>41</v>
      </c>
      <c r="B109" s="39"/>
      <c r="C109" s="98" t="str">
        <f>IF(Q466="","",IF(LEN(Q466)&lt;=135,Q466,IF(LEN(Q466)&lt;=260,LEFT(Q466,SEARCH(" ",Q466,125)),LEFT(Q466,SEARCH(" ",Q466,130)))))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3"/>
      <c r="AC109" s="5"/>
      <c r="AD109" s="354">
        <f t="shared" ref="AD109:AD114" si="14">IF(P443="","",P443)</f>
        <v>0</v>
      </c>
      <c r="AH109" s="381">
        <v>32</v>
      </c>
      <c r="AI109" s="382">
        <v>50</v>
      </c>
      <c r="AJ109" s="383">
        <v>0</v>
      </c>
      <c r="AK109" s="382" t="str">
        <f t="shared" si="11"/>
        <v/>
      </c>
      <c r="AL109" s="382" t="str">
        <f t="shared" si="12"/>
        <v/>
      </c>
      <c r="AM109" s="382"/>
      <c r="AN109" s="382"/>
      <c r="AO109" s="382"/>
      <c r="AP109" s="382"/>
      <c r="AQ109" s="384"/>
      <c r="AR109" s="384"/>
    </row>
    <row r="110" spans="1:44">
      <c r="A110" s="1">
        <v>42</v>
      </c>
      <c r="B110" s="39"/>
      <c r="C110" s="98" t="str">
        <f>IF(LEN(Q466)&lt;=135,"",IF(LEN(Q466)&lt;=260,RIGHT(Q466,LEN(Q466)-SEARCH(" ",Q466,125)),MID(Q466,SEARCH(" ",Q466,130),IF(LEN(Q466)&lt;=265,LEN(Q466),SEARCH(" ",Q466,255)-SEARCH(" ",Q466,130)))))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3"/>
      <c r="AC110" s="5"/>
      <c r="AD110" s="354">
        <f t="shared" si="14"/>
        <v>0</v>
      </c>
      <c r="AH110" s="381">
        <v>32</v>
      </c>
      <c r="AI110" s="382">
        <v>50</v>
      </c>
      <c r="AJ110" s="383">
        <v>0.5</v>
      </c>
      <c r="AK110" s="382" t="str">
        <f t="shared" si="11"/>
        <v/>
      </c>
      <c r="AL110" s="382" t="str">
        <f t="shared" si="12"/>
        <v/>
      </c>
      <c r="AM110" s="382"/>
      <c r="AN110" s="382"/>
      <c r="AO110" s="382"/>
      <c r="AP110" s="382"/>
      <c r="AQ110" s="384"/>
      <c r="AR110" s="384"/>
    </row>
    <row r="111" spans="1:44" ht="16.5" thickBot="1">
      <c r="A111" s="1">
        <v>43</v>
      </c>
      <c r="B111" s="39"/>
      <c r="C111" s="98" t="str">
        <f>IF(LEN(Q466)&lt;=265,"",RIGHT(Q466,LEN(Q466)-SEARCH(" ",Q466,255)))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3"/>
      <c r="AC111" s="5"/>
      <c r="AD111" s="354">
        <f t="shared" si="14"/>
        <v>0</v>
      </c>
      <c r="AH111" s="381">
        <v>32</v>
      </c>
      <c r="AI111" s="382">
        <v>50</v>
      </c>
      <c r="AJ111" s="383">
        <v>0.5</v>
      </c>
      <c r="AK111" s="382" t="str">
        <f t="shared" si="11"/>
        <v/>
      </c>
      <c r="AL111" s="382" t="str">
        <f t="shared" si="12"/>
        <v/>
      </c>
      <c r="AM111" s="382"/>
      <c r="AN111" s="382"/>
      <c r="AO111" s="382"/>
      <c r="AP111" s="382"/>
      <c r="AQ111" s="384"/>
      <c r="AR111" s="384"/>
    </row>
    <row r="112" spans="1:44">
      <c r="A112" s="1">
        <v>44</v>
      </c>
      <c r="B112" s="39"/>
      <c r="C112" s="98" t="str">
        <f>IF(Q468="","",IF(LEN(Q468)&lt;=135,Q468,IF(LEN(Q468)&lt;=260,LEFT(Q468,SEARCH(" ",Q468,125)),LEFT(Q468,SEARCH(" ",Q468,130)))))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3"/>
      <c r="AC112" s="5"/>
      <c r="AD112" s="354" t="str">
        <f t="shared" si="14"/>
        <v/>
      </c>
      <c r="AH112" s="381">
        <v>32</v>
      </c>
      <c r="AI112" s="382">
        <v>50</v>
      </c>
      <c r="AJ112" s="383">
        <v>0.6</v>
      </c>
      <c r="AK112" s="382" t="str">
        <f t="shared" si="11"/>
        <v/>
      </c>
      <c r="AL112" s="382" t="str">
        <f t="shared" si="12"/>
        <v/>
      </c>
      <c r="AM112" s="382"/>
      <c r="AN112" s="382"/>
      <c r="AO112" s="382"/>
      <c r="AP112" s="382"/>
      <c r="AQ112" s="384"/>
      <c r="AR112" s="384"/>
    </row>
    <row r="113" spans="1:44" ht="16.5" thickBot="1">
      <c r="A113" s="1">
        <v>45</v>
      </c>
      <c r="B113" s="39"/>
      <c r="C113" s="98" t="str">
        <f>IF(LEN(Q468)&lt;=135,"",IF(LEN(Q468)&lt;=260,RIGHT(Q468,LEN(Q468)-SEARCH(" ",Q468,125)),MID(Q468,SEARCH(" ",Q468,130),IF(LEN(Q468)&lt;=265,LEN(Q468),SEARCH(" ",Q468,255)-SEARCH(" ",Q468,130)))))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3"/>
      <c r="AC113" s="5"/>
      <c r="AD113" s="354" t="str">
        <f t="shared" si="14"/>
        <v/>
      </c>
      <c r="AH113" s="381">
        <v>32</v>
      </c>
      <c r="AI113" s="382">
        <v>50</v>
      </c>
      <c r="AJ113" s="383">
        <v>0.6</v>
      </c>
      <c r="AK113" s="382" t="str">
        <f t="shared" si="11"/>
        <v/>
      </c>
      <c r="AL113" s="382" t="str">
        <f t="shared" si="12"/>
        <v/>
      </c>
      <c r="AM113" s="382"/>
      <c r="AN113" s="382"/>
      <c r="AO113" s="382"/>
      <c r="AP113" s="382"/>
      <c r="AQ113" s="384"/>
      <c r="AR113" s="384"/>
    </row>
    <row r="114" spans="1:44">
      <c r="A114" s="1">
        <v>46</v>
      </c>
      <c r="B114" s="39"/>
      <c r="C114" s="98" t="str">
        <f>IF(LEN(Q468)&lt;=265,"",RIGHT(Q468,LEN(Q468)-SEARCH(" ",Q468,255)))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3"/>
      <c r="AC114" s="5"/>
      <c r="AD114" s="354" t="str">
        <f t="shared" si="14"/>
        <v/>
      </c>
      <c r="AH114" s="381">
        <v>32</v>
      </c>
      <c r="AI114" s="382">
        <v>50</v>
      </c>
      <c r="AJ114" s="383">
        <v>0.7</v>
      </c>
      <c r="AK114" s="382" t="str">
        <f t="shared" si="11"/>
        <v/>
      </c>
      <c r="AL114" s="382" t="str">
        <f t="shared" si="12"/>
        <v/>
      </c>
      <c r="AM114" s="382"/>
      <c r="AN114" s="382"/>
      <c r="AO114" s="382"/>
      <c r="AP114" s="382"/>
      <c r="AQ114" s="384"/>
      <c r="AR114" s="384"/>
    </row>
    <row r="115" spans="1:44">
      <c r="A115" s="1">
        <v>47</v>
      </c>
      <c r="B115" s="39"/>
      <c r="C115" s="98" t="str">
        <f>IF(Q470="","",IF(LEN(Q470)&lt;=135,Q470,IF(LEN(Q470)&lt;=260,LEFT(Q470,SEARCH(" ",Q470,125)),LEFT(Q470,SEARCH(" ",Q470,130)))))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3"/>
      <c r="AC115" s="5"/>
      <c r="AD115" s="354" t="str">
        <f t="shared" ref="AD115:AD120" si="15">IF(R443="","",R443)</f>
        <v/>
      </c>
      <c r="AH115" s="381">
        <v>32</v>
      </c>
      <c r="AI115" s="382">
        <v>50</v>
      </c>
      <c r="AJ115" s="383">
        <v>0.7</v>
      </c>
      <c r="AK115" s="382" t="str">
        <f t="shared" si="11"/>
        <v/>
      </c>
      <c r="AL115" s="382" t="str">
        <f t="shared" si="12"/>
        <v/>
      </c>
      <c r="AM115" s="382"/>
      <c r="AN115" s="382"/>
      <c r="AO115" s="382"/>
      <c r="AP115" s="382"/>
      <c r="AQ115" s="384"/>
      <c r="AR115" s="384"/>
    </row>
    <row r="116" spans="1:44">
      <c r="A116" s="1">
        <v>48</v>
      </c>
      <c r="B116" s="39"/>
      <c r="C116" s="98" t="str">
        <f>IF(LEN(Q470)&lt;=135,"",IF(LEN(Q470)&lt;=260,RIGHT(Q470,LEN(Q470)-SEARCH(" ",Q470,125)),MID(Q470,SEARCH(" ",Q470,130),IF(LEN(Q470)&lt;=265,LEN(Q470),SEARCH(" ",Q470,255)-SEARCH(" ",Q470,130)))))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3"/>
      <c r="AC116" s="5"/>
      <c r="AD116" s="354" t="str">
        <f t="shared" si="15"/>
        <v/>
      </c>
      <c r="AH116" s="185">
        <v>34</v>
      </c>
      <c r="AI116" s="121">
        <v>50</v>
      </c>
      <c r="AJ116" s="209">
        <v>0</v>
      </c>
      <c r="AK116" s="121" t="str">
        <f t="shared" si="11"/>
        <v/>
      </c>
      <c r="AL116" s="121" t="str">
        <f t="shared" si="12"/>
        <v/>
      </c>
      <c r="AM116" s="121"/>
      <c r="AN116" s="121"/>
      <c r="AO116" s="121"/>
      <c r="AP116" s="121"/>
      <c r="AQ116" s="220"/>
      <c r="AR116" s="220"/>
    </row>
    <row r="117" spans="1:44">
      <c r="A117" s="1">
        <v>49</v>
      </c>
      <c r="B117" s="39"/>
      <c r="C117" s="98" t="str">
        <f>IF(LEN(Q470)&lt;=265,"",RIGHT(Q470,LEN(Q470)-SEARCH(" ",Q470,255)))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3"/>
      <c r="AC117" s="5"/>
      <c r="AD117" s="354" t="str">
        <f t="shared" si="15"/>
        <v/>
      </c>
      <c r="AH117" s="381">
        <v>34</v>
      </c>
      <c r="AI117" s="382">
        <v>50</v>
      </c>
      <c r="AJ117" s="383">
        <v>0</v>
      </c>
      <c r="AK117" s="382" t="str">
        <f t="shared" si="11"/>
        <v/>
      </c>
      <c r="AL117" s="382" t="str">
        <f t="shared" si="12"/>
        <v/>
      </c>
      <c r="AM117" s="382"/>
      <c r="AN117" s="382"/>
      <c r="AO117" s="382"/>
      <c r="AP117" s="382"/>
      <c r="AQ117" s="384"/>
      <c r="AR117" s="384"/>
    </row>
    <row r="118" spans="1:44">
      <c r="A118" s="1">
        <v>50</v>
      </c>
      <c r="B118" s="39"/>
      <c r="C118" s="98" t="str">
        <f>IF(Q472="","",IF(LEN(Q472)&lt;=135,Q472,IF(LEN(Q472)&lt;=260,LEFT(Q472,SEARCH(" ",Q472,125)),LEFT(Q472,SEARCH(" ",Q472,130)))))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3"/>
      <c r="AC118" s="5"/>
      <c r="AD118" s="354" t="str">
        <f t="shared" si="15"/>
        <v/>
      </c>
      <c r="AH118" s="381">
        <v>34</v>
      </c>
      <c r="AI118" s="382">
        <v>50</v>
      </c>
      <c r="AJ118" s="383">
        <v>0.5</v>
      </c>
      <c r="AK118" s="382" t="str">
        <f t="shared" si="11"/>
        <v/>
      </c>
      <c r="AL118" s="382" t="str">
        <f t="shared" si="12"/>
        <v/>
      </c>
      <c r="AM118" s="382"/>
      <c r="AN118" s="382"/>
      <c r="AO118" s="382"/>
      <c r="AP118" s="382"/>
      <c r="AQ118" s="384"/>
      <c r="AR118" s="384"/>
    </row>
    <row r="119" spans="1:44">
      <c r="A119" s="1">
        <v>51</v>
      </c>
      <c r="B119" s="39"/>
      <c r="C119" s="98" t="str">
        <f>IF(LEN(Q472)&lt;=135,"",IF(LEN(Q472)&lt;=260,RIGHT(Q472,LEN(Q472)-SEARCH(" ",Q472,125)),MID(Q472,SEARCH(" ",Q472,130),IF(LEN(Q472)&lt;=265,LEN(Q472),SEARCH(" ",Q472,255)-SEARCH(" ",Q472,130)))))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3"/>
      <c r="AC119" s="5"/>
      <c r="AD119" s="354" t="str">
        <f t="shared" si="15"/>
        <v/>
      </c>
      <c r="AH119" s="381">
        <v>34</v>
      </c>
      <c r="AI119" s="382">
        <v>50</v>
      </c>
      <c r="AJ119" s="383">
        <v>0.5</v>
      </c>
      <c r="AK119" s="382" t="str">
        <f t="shared" si="11"/>
        <v/>
      </c>
      <c r="AL119" s="382" t="str">
        <f t="shared" si="12"/>
        <v/>
      </c>
      <c r="AM119" s="382"/>
      <c r="AN119" s="382"/>
      <c r="AO119" s="382"/>
      <c r="AP119" s="382"/>
      <c r="AQ119" s="384"/>
      <c r="AR119" s="384"/>
    </row>
    <row r="120" spans="1:44">
      <c r="A120" s="1">
        <v>52</v>
      </c>
      <c r="B120" s="39"/>
      <c r="C120" s="98" t="str">
        <f>IF(LEN(Q472)&lt;=265,"",RIGHT(Q472,LEN(Q472)-SEARCH(" ",Q472,255)))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3"/>
      <c r="AC120" s="5"/>
      <c r="AD120" s="354" t="str">
        <f t="shared" si="15"/>
        <v/>
      </c>
      <c r="AH120" s="381">
        <v>34</v>
      </c>
      <c r="AI120" s="382">
        <v>50</v>
      </c>
      <c r="AJ120" s="383">
        <v>0.6</v>
      </c>
      <c r="AK120" s="382" t="str">
        <f t="shared" si="11"/>
        <v/>
      </c>
      <c r="AL120" s="382" t="str">
        <f t="shared" si="12"/>
        <v/>
      </c>
      <c r="AM120" s="382"/>
      <c r="AN120" s="382"/>
      <c r="AO120" s="382"/>
      <c r="AP120" s="382"/>
      <c r="AQ120" s="384"/>
      <c r="AR120" s="384"/>
    </row>
    <row r="121" spans="1:44">
      <c r="A121" s="1">
        <v>53</v>
      </c>
      <c r="B121" s="39"/>
      <c r="C121" s="98" t="str">
        <f>IF(Q474="","",IF(LEN(Q474)&lt;=135,Q474,IF(LEN(Q474)&lt;=260,LEFT(Q474,SEARCH(" ",Q474,125)),LEFT(Q474,SEARCH(" ",Q474,130)))))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3"/>
      <c r="AC121" s="5"/>
      <c r="AD121" s="354" t="str">
        <f t="shared" ref="AD121:AD126" si="16">IF(T443="","",T443)</f>
        <v/>
      </c>
      <c r="AH121" s="381">
        <v>34</v>
      </c>
      <c r="AI121" s="382">
        <v>50</v>
      </c>
      <c r="AJ121" s="383">
        <v>0.6</v>
      </c>
      <c r="AK121" s="382" t="str">
        <f t="shared" si="11"/>
        <v/>
      </c>
      <c r="AL121" s="382" t="str">
        <f t="shared" si="12"/>
        <v/>
      </c>
      <c r="AM121" s="382"/>
      <c r="AN121" s="382"/>
      <c r="AO121" s="382"/>
      <c r="AP121" s="382"/>
      <c r="AQ121" s="384"/>
      <c r="AR121" s="384"/>
    </row>
    <row r="122" spans="1:44">
      <c r="A122" s="1">
        <v>54</v>
      </c>
      <c r="B122" s="39"/>
      <c r="C122" s="98" t="str">
        <f>IF(LEN(Q474)&lt;=135,"",IF(LEN(Q474)&lt;=260,RIGHT(Q474,LEN(Q474)-SEARCH(" ",Q474,125)),MID(Q474,SEARCH(" ",Q474,130),IF(LEN(Q474)&lt;=265,LEN(Q474),SEARCH(" ",Q474,255)-SEARCH(" ",Q474,130)))))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3"/>
      <c r="AC122" s="5"/>
      <c r="AD122" s="354" t="str">
        <f t="shared" si="16"/>
        <v/>
      </c>
      <c r="AH122" s="381">
        <v>34</v>
      </c>
      <c r="AI122" s="382">
        <v>50</v>
      </c>
      <c r="AJ122" s="383">
        <v>0.7</v>
      </c>
      <c r="AK122" s="382" t="str">
        <f t="shared" si="11"/>
        <v/>
      </c>
      <c r="AL122" s="382" t="str">
        <f t="shared" si="12"/>
        <v/>
      </c>
      <c r="AM122" s="382"/>
      <c r="AN122" s="382"/>
      <c r="AO122" s="382"/>
      <c r="AP122" s="382"/>
      <c r="AQ122" s="384"/>
      <c r="AR122" s="384"/>
    </row>
    <row r="123" spans="1:44">
      <c r="A123" s="1">
        <v>55</v>
      </c>
      <c r="B123" s="39"/>
      <c r="C123" s="98" t="str">
        <f>IF(LEN(Q474)&lt;=265,"",RIGHT(Q474,LEN(Q474)-SEARCH(" ",Q474,255)))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3"/>
      <c r="AC123" s="5"/>
      <c r="AD123" s="354" t="str">
        <f t="shared" si="16"/>
        <v/>
      </c>
      <c r="AH123" s="381">
        <v>34</v>
      </c>
      <c r="AI123" s="382">
        <v>50</v>
      </c>
      <c r="AJ123" s="383">
        <v>0.7</v>
      </c>
      <c r="AK123" s="382" t="str">
        <f t="shared" si="11"/>
        <v/>
      </c>
      <c r="AL123" s="382" t="str">
        <f t="shared" si="12"/>
        <v/>
      </c>
      <c r="AM123" s="382"/>
      <c r="AN123" s="382"/>
      <c r="AO123" s="382"/>
      <c r="AP123" s="382"/>
      <c r="AQ123" s="384"/>
      <c r="AR123" s="384"/>
    </row>
    <row r="124" spans="1:44">
      <c r="A124" s="1">
        <v>56</v>
      </c>
      <c r="B124" s="39"/>
      <c r="C124" s="98" t="str">
        <f>IF(Q476="","",IF(LEN(Q476)&lt;=135,Q476,IF(LEN(Q476)&lt;=260,LEFT(Q476,SEARCH(" ",Q476,125)),LEFT(Q476,SEARCH(" ",Q476,130)))))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3"/>
      <c r="AC124" s="5"/>
      <c r="AD124" s="354" t="str">
        <f t="shared" si="16"/>
        <v/>
      </c>
      <c r="AH124" s="185">
        <v>38</v>
      </c>
      <c r="AI124" s="121">
        <v>50</v>
      </c>
      <c r="AJ124" s="209">
        <v>0</v>
      </c>
      <c r="AK124" s="121" t="str">
        <f t="shared" si="11"/>
        <v/>
      </c>
      <c r="AL124" s="121" t="str">
        <f t="shared" si="12"/>
        <v/>
      </c>
      <c r="AM124" s="121"/>
      <c r="AN124" s="121"/>
      <c r="AO124" s="121"/>
      <c r="AP124" s="121"/>
      <c r="AQ124" s="220"/>
      <c r="AR124" s="220"/>
    </row>
    <row r="125" spans="1:44">
      <c r="A125" s="1">
        <v>57</v>
      </c>
      <c r="B125" s="39"/>
      <c r="C125" s="98" t="str">
        <f>IF(LEN(Q476)&lt;=135,"",IF(LEN(Q476)&lt;=260,RIGHT(Q476,LEN(Q476)-SEARCH(" ",Q476,125)),MID(Q476,SEARCH(" ",Q476,130),IF(LEN(Q476)&lt;=265,LEN(Q476),SEARCH(" ",Q476,255)-SEARCH(" ",Q476,130)))))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3"/>
      <c r="AC125" s="5"/>
      <c r="AD125" s="354" t="str">
        <f t="shared" si="16"/>
        <v/>
      </c>
      <c r="AH125" s="381">
        <v>38</v>
      </c>
      <c r="AI125" s="382">
        <v>50</v>
      </c>
      <c r="AJ125" s="383">
        <v>0</v>
      </c>
      <c r="AK125" s="382" t="str">
        <f t="shared" si="11"/>
        <v/>
      </c>
      <c r="AL125" s="382" t="str">
        <f t="shared" si="12"/>
        <v/>
      </c>
      <c r="AM125" s="382"/>
      <c r="AN125" s="382"/>
      <c r="AO125" s="382"/>
      <c r="AP125" s="382"/>
      <c r="AQ125" s="384"/>
      <c r="AR125" s="384"/>
    </row>
    <row r="126" spans="1:44">
      <c r="A126" s="1">
        <v>58</v>
      </c>
      <c r="B126" s="39"/>
      <c r="C126" s="98" t="str">
        <f>IF(LEN(Q476)&lt;=265,"",RIGHT(Q476,LEN(Q476)-SEARCH(" ",Q476,255)))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3"/>
      <c r="AC126" s="5"/>
      <c r="AD126" s="354" t="str">
        <f t="shared" si="16"/>
        <v/>
      </c>
      <c r="AH126" s="381">
        <v>38</v>
      </c>
      <c r="AI126" s="382">
        <v>50</v>
      </c>
      <c r="AJ126" s="383">
        <v>0.6</v>
      </c>
      <c r="AK126" s="382" t="str">
        <f t="shared" si="11"/>
        <v/>
      </c>
      <c r="AL126" s="382" t="str">
        <f t="shared" si="12"/>
        <v/>
      </c>
      <c r="AM126" s="382"/>
      <c r="AN126" s="382"/>
      <c r="AO126" s="382"/>
      <c r="AP126" s="382"/>
      <c r="AQ126" s="384"/>
      <c r="AR126" s="384"/>
    </row>
    <row r="127" spans="1:44">
      <c r="A127" s="1">
        <v>59</v>
      </c>
      <c r="B127" s="39"/>
      <c r="C127" s="98" t="str">
        <f>IF(Q478="","",IF(LEN(Q478)&lt;=135,Q478,IF(LEN(Q478)&lt;=260,LEFT(Q478,SEARCH(" ",Q478,125)),LEFT(Q478,SEARCH(" ",Q478,130)))))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1">
        <v>38</v>
      </c>
      <c r="AI127" s="382">
        <v>50</v>
      </c>
      <c r="AJ127" s="383">
        <v>0.6</v>
      </c>
      <c r="AK127" s="382" t="str">
        <f t="shared" si="11"/>
        <v/>
      </c>
      <c r="AL127" s="382" t="str">
        <f t="shared" si="12"/>
        <v/>
      </c>
      <c r="AM127" s="382"/>
      <c r="AN127" s="382"/>
      <c r="AO127" s="382"/>
      <c r="AP127" s="382"/>
      <c r="AQ127" s="384"/>
      <c r="AR127" s="384"/>
    </row>
    <row r="128" spans="1:44">
      <c r="A128" s="1">
        <v>60</v>
      </c>
      <c r="B128" s="39"/>
      <c r="C128" s="98" t="str">
        <f>IF(LEN(Q478)&lt;=135,"",IF(LEN(Q478)&lt;=260,RIGHT(Q478,LEN(Q478)-SEARCH(" ",Q478,125)),MID(Q478,SEARCH(" ",Q478,130),IF(LEN(Q478)&lt;=265,LEN(Q478),SEARCH(" ",Q478,255)-SEARCH(" ",Q478,130)))))</f>
        <v/>
      </c>
      <c r="D128" s="99"/>
      <c r="E128" s="99"/>
      <c r="F128" s="99"/>
      <c r="G128" s="99"/>
      <c r="H128" s="99"/>
      <c r="I128" s="99"/>
      <c r="J128" s="99"/>
      <c r="K128" s="99"/>
      <c r="L128" s="99"/>
      <c r="M128" s="42"/>
      <c r="N128" s="5"/>
      <c r="O128" s="13"/>
      <c r="P128" s="16">
        <v>4</v>
      </c>
      <c r="Q128" s="113"/>
      <c r="R128" s="114" t="str">
        <f t="shared" si="17"/>
        <v/>
      </c>
      <c r="S128" s="5"/>
      <c r="T128" s="84" t="s">
        <v>163</v>
      </c>
      <c r="U128" s="10" t="s">
        <v>171</v>
      </c>
      <c r="V128" s="5"/>
      <c r="W128" s="5"/>
      <c r="X128" s="5"/>
      <c r="Y128" s="15"/>
      <c r="AA128" s="41" t="s">
        <v>317</v>
      </c>
      <c r="AB128" s="353"/>
      <c r="AC128" s="5"/>
      <c r="AD128" s="360" t="str">
        <f>IF(T458="","",T458)</f>
        <v/>
      </c>
      <c r="AH128" s="381">
        <v>38</v>
      </c>
      <c r="AI128" s="382">
        <v>50</v>
      </c>
      <c r="AJ128" s="383">
        <v>0.7</v>
      </c>
      <c r="AK128" s="382" t="str">
        <f t="shared" si="11"/>
        <v/>
      </c>
      <c r="AL128" s="382" t="str">
        <f t="shared" si="12"/>
        <v/>
      </c>
      <c r="AM128" s="382"/>
      <c r="AN128" s="382"/>
      <c r="AO128" s="382"/>
      <c r="AP128" s="382"/>
      <c r="AQ128" s="384"/>
      <c r="AR128" s="384"/>
    </row>
    <row r="129" spans="1:44">
      <c r="A129" s="1">
        <v>61</v>
      </c>
      <c r="B129" s="39"/>
      <c r="C129" s="98" t="str">
        <f>IF(LEN(Q478)&lt;=265,"",RIGHT(Q478,LEN(Q478)-SEARCH(" ",Q478,255)))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3"/>
      <c r="AC129" s="5"/>
      <c r="AD129" s="354" t="str">
        <f>IF(T459="","",T459)</f>
        <v/>
      </c>
      <c r="AH129" s="381">
        <v>38</v>
      </c>
      <c r="AI129" s="382">
        <v>50</v>
      </c>
      <c r="AJ129" s="383">
        <v>0.7</v>
      </c>
      <c r="AK129" s="382" t="str">
        <f t="shared" si="11"/>
        <v/>
      </c>
      <c r="AL129" s="382" t="str">
        <f t="shared" si="12"/>
        <v/>
      </c>
      <c r="AM129" s="382"/>
      <c r="AN129" s="382"/>
      <c r="AO129" s="382"/>
      <c r="AP129" s="382"/>
      <c r="AQ129" s="384"/>
      <c r="AR129" s="384"/>
    </row>
    <row r="130" spans="1:44">
      <c r="A130" s="1">
        <v>62</v>
      </c>
      <c r="B130" s="39"/>
      <c r="C130" s="98" t="str">
        <f>IF(Q480="","",IF(LEN(Q480)&lt;=135,Q480,IF(LEN(Q480)&lt;=260,LEFT(Q480,SEARCH(" ",Q480,125)),LEFT(Q480,SEARCH(" ",Q480,130)))))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1">
        <v>38</v>
      </c>
      <c r="AI130" s="382">
        <v>50</v>
      </c>
      <c r="AJ130" s="383">
        <v>0.8</v>
      </c>
      <c r="AK130" s="382" t="str">
        <f t="shared" si="11"/>
        <v/>
      </c>
      <c r="AL130" s="382" t="str">
        <f t="shared" si="12"/>
        <v/>
      </c>
      <c r="AM130" s="382"/>
      <c r="AN130" s="382"/>
      <c r="AO130" s="382"/>
      <c r="AP130" s="382"/>
      <c r="AQ130" s="384"/>
      <c r="AR130" s="384"/>
    </row>
    <row r="131" spans="1:44" ht="16.5" thickBot="1">
      <c r="A131" s="1">
        <v>63</v>
      </c>
      <c r="B131" s="39"/>
      <c r="C131" s="98" t="str">
        <f>IF(LEN(Q480)&lt;=135,"",IF(LEN(Q480)&lt;=260,RIGHT(Q480,LEN(Q480)-SEARCH(" ",Q480,125)),MID(Q480,SEARCH(" ",Q480,130),IF(LEN(Q480)&lt;=265,LEN(Q480),SEARCH(" ",Q480,255)-SEARCH(" ",Q480,130)))))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1"/>
      <c r="AC131" s="362" t="str">
        <f>IF(AB131&lt;&gt;AD131,"Change","")</f>
        <v/>
      </c>
      <c r="AD131" s="363" t="str">
        <f>IF(Q464="","",Q464)</f>
        <v/>
      </c>
      <c r="AH131" s="385">
        <v>38</v>
      </c>
      <c r="AI131" s="386">
        <v>50</v>
      </c>
      <c r="AJ131" s="387">
        <v>0.8</v>
      </c>
      <c r="AK131" s="386" t="str">
        <f t="shared" si="11"/>
        <v/>
      </c>
      <c r="AL131" s="386" t="str">
        <f t="shared" si="12"/>
        <v/>
      </c>
      <c r="AM131" s="386"/>
      <c r="AN131" s="386"/>
      <c r="AO131" s="386"/>
      <c r="AP131" s="386"/>
      <c r="AQ131" s="388"/>
      <c r="AR131" s="388"/>
    </row>
    <row r="132" spans="1:44">
      <c r="A132" s="1">
        <v>64</v>
      </c>
      <c r="B132" s="39"/>
      <c r="C132" s="117" t="str">
        <f>IF(LEN(Q480)&lt;=265,"",RIGHT(Q480,LEN(Q480)-SEARCH(" ",Q480,255)))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4"/>
      <c r="AC132" s="47"/>
      <c r="AD132" s="364"/>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1"/>
      <c r="AC133" s="362" t="str">
        <f>IF(AB133&lt;&gt;AD133,"Change","")</f>
        <v/>
      </c>
      <c r="AD133" s="363" t="str">
        <f>IF(Q466="","",Q466)</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4"/>
      <c r="AC134" s="47"/>
      <c r="AD134" s="364"/>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1"/>
      <c r="AC135" s="362" t="str">
        <f>IF(AB135&lt;&gt;AD135,"Change","")</f>
        <v/>
      </c>
      <c r="AD135" s="363" t="str">
        <f>IF(Q468="","",Q468)</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4"/>
      <c r="AC136" s="10"/>
      <c r="AD136" s="364"/>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1"/>
      <c r="AC137" s="362" t="str">
        <f>IF(AB137&lt;&gt;AD137,"Change","")</f>
        <v/>
      </c>
      <c r="AD137" s="363" t="str">
        <f>IF(Q470="","",Q470)</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4"/>
      <c r="AC138" s="10"/>
      <c r="AD138" s="364"/>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1"/>
      <c r="AC139" s="362" t="str">
        <f>IF(AB139&lt;&gt;AD139,"Change","")</f>
        <v/>
      </c>
      <c r="AD139" s="363" t="str">
        <f>IF(Q472="","",Q472)</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4"/>
      <c r="AC140" s="10"/>
      <c r="AD140" s="364"/>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1"/>
      <c r="AC141" s="362" t="str">
        <f>IF(AB141&lt;&gt;AD141,"Change","")</f>
        <v/>
      </c>
      <c r="AD141" s="363" t="str">
        <f>IF(Q474="","",Q474)</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4"/>
      <c r="AC142" s="10"/>
      <c r="AD142" s="364"/>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1"/>
      <c r="AC143" s="362" t="str">
        <f>IF(AB143&lt;&gt;AD143,"Change","")</f>
        <v/>
      </c>
      <c r="AD143" s="363" t="str">
        <f>IF(Q476="","",Q476)</f>
        <v/>
      </c>
    </row>
    <row r="144" spans="1:44">
      <c r="A144" s="1">
        <v>8</v>
      </c>
      <c r="B144" s="39"/>
      <c r="C144" s="5"/>
      <c r="D144" s="10"/>
      <c r="E144" s="10" t="s">
        <v>165</v>
      </c>
      <c r="F144" s="5"/>
      <c r="G144" s="5"/>
      <c r="H144" s="5"/>
      <c r="I144" s="5"/>
      <c r="J144" s="5"/>
      <c r="K144" s="5"/>
      <c r="L144" s="5"/>
      <c r="M144" s="42"/>
      <c r="N144" s="5"/>
      <c r="O144" s="112" t="s">
        <v>704</v>
      </c>
      <c r="P144" s="5"/>
      <c r="Q144" s="5"/>
      <c r="R144" s="5"/>
      <c r="S144" s="5"/>
      <c r="T144" s="5"/>
      <c r="U144" s="5"/>
      <c r="V144" s="5"/>
      <c r="W144" s="5"/>
      <c r="X144" s="5"/>
      <c r="Y144" s="15"/>
      <c r="AA144" s="79"/>
      <c r="AB144" s="364"/>
      <c r="AC144" s="10"/>
      <c r="AD144" s="364"/>
    </row>
    <row r="145" spans="1:32">
      <c r="A145" s="1">
        <v>9</v>
      </c>
      <c r="B145" s="39"/>
      <c r="C145" s="5"/>
      <c r="D145" s="5"/>
      <c r="E145" s="5"/>
      <c r="F145" s="5"/>
      <c r="G145" s="5"/>
      <c r="H145" s="5"/>
      <c r="I145" s="5"/>
      <c r="J145" s="5"/>
      <c r="K145" s="5"/>
      <c r="L145" s="5"/>
      <c r="M145" s="42"/>
      <c r="N145" s="5"/>
      <c r="O145" s="609"/>
      <c r="P145" s="604" t="s">
        <v>272</v>
      </c>
      <c r="Q145" s="607" t="str">
        <f>Q136&amp;"/"&amp;Q137</f>
        <v>/</v>
      </c>
      <c r="R145" s="607" t="str">
        <f t="shared" ref="R145:V145" si="19">R136&amp;"/"&amp;R137</f>
        <v>/</v>
      </c>
      <c r="S145" s="607" t="str">
        <f t="shared" si="19"/>
        <v>/</v>
      </c>
      <c r="T145" s="607" t="str">
        <f t="shared" si="19"/>
        <v>/</v>
      </c>
      <c r="U145" s="607" t="str">
        <f t="shared" si="19"/>
        <v>/</v>
      </c>
      <c r="V145" s="607" t="str">
        <f t="shared" si="19"/>
        <v>/</v>
      </c>
      <c r="Y145" s="15"/>
      <c r="AA145" s="79"/>
      <c r="AB145" s="361"/>
      <c r="AC145" s="362" t="str">
        <f>IF(AB145&lt;&gt;AD145,"Change","")</f>
        <v/>
      </c>
      <c r="AD145" s="363" t="str">
        <f>IF(Q478="","",Q478)</f>
        <v/>
      </c>
    </row>
    <row r="146" spans="1:32">
      <c r="A146" s="1">
        <v>10</v>
      </c>
      <c r="B146" s="39"/>
      <c r="C146" s="125" t="s">
        <v>166</v>
      </c>
      <c r="D146" s="5"/>
      <c r="E146" s="5"/>
      <c r="F146" s="5"/>
      <c r="G146" s="5"/>
      <c r="H146" s="5"/>
      <c r="I146" s="5"/>
      <c r="J146" s="5"/>
      <c r="K146" s="5"/>
      <c r="L146" s="5"/>
      <c r="M146" s="42"/>
      <c r="N146" s="5"/>
      <c r="O146" s="609"/>
      <c r="P146" s="604" t="s">
        <v>177</v>
      </c>
      <c r="Q146" s="425" t="str">
        <f>IF(Q139="","",Q139)</f>
        <v/>
      </c>
      <c r="R146" s="425" t="str">
        <f t="shared" ref="R146:V146" si="20">IF(R139="","",R139)</f>
        <v/>
      </c>
      <c r="S146" s="425" t="str">
        <f t="shared" si="20"/>
        <v/>
      </c>
      <c r="T146" s="425" t="str">
        <f t="shared" si="20"/>
        <v/>
      </c>
      <c r="U146" s="425" t="str">
        <f t="shared" si="20"/>
        <v/>
      </c>
      <c r="V146" s="425" t="str">
        <f t="shared" si="20"/>
        <v/>
      </c>
      <c r="Y146" s="15"/>
      <c r="AA146" s="79"/>
      <c r="AB146" s="364"/>
      <c r="AC146" s="10"/>
      <c r="AD146" s="365"/>
    </row>
    <row r="147" spans="1:32">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609"/>
      <c r="P147" s="604" t="s">
        <v>178</v>
      </c>
      <c r="Q147" s="425" t="str">
        <f>IF(Q140="","",Q140)</f>
        <v/>
      </c>
      <c r="R147" s="425" t="str">
        <f t="shared" ref="R147:V147" si="21">IF(R140="","",R140)</f>
        <v/>
      </c>
      <c r="S147" s="425" t="str">
        <f t="shared" si="21"/>
        <v/>
      </c>
      <c r="T147" s="425" t="str">
        <f t="shared" si="21"/>
        <v/>
      </c>
      <c r="U147" s="425" t="str">
        <f t="shared" si="21"/>
        <v/>
      </c>
      <c r="V147" s="425" t="str">
        <f t="shared" si="21"/>
        <v/>
      </c>
      <c r="Y147" s="15"/>
      <c r="AA147" s="79"/>
      <c r="AB147" s="361"/>
      <c r="AC147" s="362" t="str">
        <f>IF(AB147&lt;&gt;AD147,"Change","")</f>
        <v/>
      </c>
      <c r="AD147" s="363" t="str">
        <f>IF(Q480="","",Q480)</f>
        <v/>
      </c>
    </row>
    <row r="148" spans="1:32">
      <c r="A148" s="1">
        <v>12</v>
      </c>
      <c r="B148" s="39"/>
      <c r="C148" s="5"/>
      <c r="D148" s="16">
        <v>1</v>
      </c>
      <c r="E148" s="121" t="str">
        <f t="shared" ref="E148:F155" si="22">IF(Q123="","",Q123)</f>
        <v/>
      </c>
      <c r="F148" s="121" t="str">
        <f t="shared" si="22"/>
        <v/>
      </c>
      <c r="G148" s="5"/>
      <c r="H148" s="5"/>
      <c r="I148" s="47"/>
      <c r="J148" s="41" t="s">
        <v>185</v>
      </c>
      <c r="K148" s="129" t="str">
        <f>IF(O133="","",IF(O133=1,"YES",IF(O133=3,"NA","")))</f>
        <v/>
      </c>
      <c r="L148" s="130" t="str">
        <f>IF(O133=2,"NO","")</f>
        <v/>
      </c>
      <c r="M148" s="42"/>
      <c r="N148" s="5"/>
      <c r="O148" s="609"/>
      <c r="P148" s="604" t="s">
        <v>707</v>
      </c>
      <c r="Q148" s="111"/>
      <c r="R148" s="111"/>
      <c r="S148" s="111"/>
      <c r="T148" s="111"/>
      <c r="U148" s="111"/>
      <c r="V148" s="111"/>
      <c r="Y148" s="15"/>
    </row>
    <row r="149" spans="1:32">
      <c r="A149" s="1">
        <v>13</v>
      </c>
      <c r="B149" s="39"/>
      <c r="C149" s="5"/>
      <c r="D149" s="16">
        <v>2</v>
      </c>
      <c r="E149" s="121" t="str">
        <f t="shared" si="22"/>
        <v/>
      </c>
      <c r="F149" s="121" t="str">
        <f t="shared" si="22"/>
        <v/>
      </c>
      <c r="G149" s="5"/>
      <c r="H149" s="5"/>
      <c r="I149" s="5"/>
      <c r="J149" s="41" t="s">
        <v>173</v>
      </c>
      <c r="K149" s="129" t="str">
        <f>IF(S132="","",S132)</f>
        <v/>
      </c>
      <c r="L149" s="5"/>
      <c r="M149" s="42"/>
      <c r="N149" s="5"/>
      <c r="O149" s="609"/>
      <c r="P149" s="604" t="s">
        <v>708</v>
      </c>
      <c r="Q149" s="111"/>
      <c r="R149" s="111"/>
      <c r="S149" s="111"/>
      <c r="T149" s="111"/>
      <c r="U149" s="111"/>
      <c r="V149" s="111"/>
      <c r="Y149" s="15"/>
    </row>
    <row r="150" spans="1:32">
      <c r="A150" s="1">
        <v>14</v>
      </c>
      <c r="B150" s="39"/>
      <c r="C150" s="5"/>
      <c r="D150" s="16">
        <v>4</v>
      </c>
      <c r="E150" s="121" t="str">
        <f t="shared" si="22"/>
        <v/>
      </c>
      <c r="F150" s="121" t="str">
        <f t="shared" si="22"/>
        <v/>
      </c>
      <c r="G150" s="41" t="s">
        <v>169</v>
      </c>
      <c r="H150" s="115" t="str">
        <f>IF(T125="","",T125)</f>
        <v/>
      </c>
      <c r="I150" s="5"/>
      <c r="J150" s="5"/>
      <c r="K150" s="5"/>
      <c r="L150" s="5"/>
      <c r="M150" s="42"/>
      <c r="N150" s="5"/>
      <c r="O150" s="609"/>
      <c r="P150" s="604" t="s">
        <v>709</v>
      </c>
      <c r="Q150" s="111"/>
      <c r="R150" s="111"/>
      <c r="S150" s="111"/>
      <c r="T150" s="111"/>
      <c r="U150" s="111"/>
      <c r="V150" s="111"/>
      <c r="Y150" s="15"/>
      <c r="AA150" t="s">
        <v>712</v>
      </c>
    </row>
    <row r="151" spans="1:32">
      <c r="A151" s="1">
        <v>15</v>
      </c>
      <c r="B151" s="39"/>
      <c r="C151" s="5"/>
      <c r="D151" s="16">
        <v>4</v>
      </c>
      <c r="E151" s="121" t="str">
        <f t="shared" si="22"/>
        <v/>
      </c>
      <c r="F151" s="121" t="str">
        <f t="shared" si="22"/>
        <v/>
      </c>
      <c r="G151" s="41" t="s">
        <v>170</v>
      </c>
      <c r="H151" s="116" t="str">
        <f>IF(T126="","",T126)</f>
        <v/>
      </c>
      <c r="I151" s="5"/>
      <c r="J151" s="5"/>
      <c r="K151" s="5"/>
      <c r="L151" s="5"/>
      <c r="M151" s="42"/>
      <c r="N151" s="5"/>
      <c r="O151" s="609"/>
      <c r="P151" s="604" t="s">
        <v>710</v>
      </c>
      <c r="Q151" s="111"/>
      <c r="R151" s="111"/>
      <c r="S151" s="111"/>
      <c r="T151" s="111"/>
      <c r="U151" s="111"/>
      <c r="V151" s="111"/>
      <c r="Y151" s="15"/>
      <c r="AA151" s="607" t="str">
        <f>Q145</f>
        <v>/</v>
      </c>
      <c r="AB151" s="607" t="str">
        <f t="shared" ref="AB151:AF151" si="23">R145</f>
        <v>/</v>
      </c>
      <c r="AC151" s="607" t="str">
        <f t="shared" si="23"/>
        <v>/</v>
      </c>
      <c r="AD151" s="607" t="str">
        <f t="shared" si="23"/>
        <v>/</v>
      </c>
      <c r="AE151" s="607" t="str">
        <f t="shared" si="23"/>
        <v>/</v>
      </c>
      <c r="AF151" s="607" t="str">
        <f t="shared" si="23"/>
        <v>/</v>
      </c>
    </row>
    <row r="152" spans="1:32">
      <c r="A152" s="1">
        <v>16</v>
      </c>
      <c r="B152" s="39"/>
      <c r="C152" s="5"/>
      <c r="D152" s="16">
        <v>4</v>
      </c>
      <c r="E152" s="121" t="str">
        <f t="shared" si="22"/>
        <v/>
      </c>
      <c r="F152" s="121" t="str">
        <f t="shared" si="22"/>
        <v/>
      </c>
      <c r="G152" s="79" t="s">
        <v>163</v>
      </c>
      <c r="H152" s="10" t="s">
        <v>171</v>
      </c>
      <c r="I152" s="5"/>
      <c r="J152" s="5"/>
      <c r="K152" s="5"/>
      <c r="L152" s="5"/>
      <c r="M152" s="42"/>
      <c r="N152" s="5"/>
      <c r="O152" s="609"/>
      <c r="P152" s="604" t="s">
        <v>711</v>
      </c>
      <c r="Q152" s="111"/>
      <c r="R152" s="111"/>
      <c r="S152" s="111"/>
      <c r="T152" s="111"/>
      <c r="U152" s="111"/>
      <c r="V152" s="111"/>
      <c r="Y152" s="15"/>
      <c r="Z152" s="604" t="s">
        <v>707</v>
      </c>
      <c r="AA152" s="425" t="str">
        <f>IF(OR(Q148="",$Q$153=""),"",ABS(Q148-$Q$153)/$Q$153)</f>
        <v/>
      </c>
      <c r="AB152" s="425" t="str">
        <f t="shared" ref="AB152:AF152" si="24">IF(OR(R148="",$Q$153=""),"",ABS(R148-$Q$153)/$Q$153)</f>
        <v/>
      </c>
      <c r="AC152" s="425" t="str">
        <f t="shared" si="24"/>
        <v/>
      </c>
      <c r="AD152" s="425" t="str">
        <f t="shared" si="24"/>
        <v/>
      </c>
      <c r="AE152" s="425" t="str">
        <f t="shared" si="24"/>
        <v/>
      </c>
      <c r="AF152" s="425" t="str">
        <f t="shared" si="24"/>
        <v/>
      </c>
    </row>
    <row r="153" spans="1:32">
      <c r="A153" s="1">
        <v>17</v>
      </c>
      <c r="B153" s="39"/>
      <c r="C153" s="5"/>
      <c r="D153" s="16">
        <v>4</v>
      </c>
      <c r="E153" s="121" t="str">
        <f t="shared" si="22"/>
        <v/>
      </c>
      <c r="F153" s="121" t="str">
        <f t="shared" si="22"/>
        <v/>
      </c>
      <c r="G153" s="5"/>
      <c r="H153" s="5"/>
      <c r="I153" s="5"/>
      <c r="J153" s="5"/>
      <c r="K153" s="5"/>
      <c r="L153" s="5"/>
      <c r="M153" s="42"/>
      <c r="N153" s="5"/>
      <c r="O153" s="609"/>
      <c r="P153" s="604" t="s">
        <v>251</v>
      </c>
      <c r="Q153" s="425" t="str">
        <f>IF(Q148="","",AVERAGE(Q148:Q152))</f>
        <v/>
      </c>
      <c r="R153" s="425" t="str">
        <f t="shared" ref="R153:V153" si="25">IF(R148="","",AVERAGE(R148:R152))</f>
        <v/>
      </c>
      <c r="S153" s="425" t="str">
        <f t="shared" si="25"/>
        <v/>
      </c>
      <c r="T153" s="425" t="str">
        <f t="shared" si="25"/>
        <v/>
      </c>
      <c r="U153" s="425" t="str">
        <f t="shared" si="25"/>
        <v/>
      </c>
      <c r="V153" s="425" t="str">
        <f t="shared" si="25"/>
        <v/>
      </c>
      <c r="Y153" s="15"/>
      <c r="Z153" s="604" t="s">
        <v>708</v>
      </c>
      <c r="AA153" s="425" t="str">
        <f t="shared" ref="AA153:AA156" si="26">IF(OR(Q149="",$Q$153=""),"",ABS(Q149-$Q$153)/$Q$153)</f>
        <v/>
      </c>
      <c r="AB153" s="425" t="str">
        <f t="shared" ref="AB153:AF153" si="27">IF(OR(R149="",$Q$153=""),"",ABS(R149-$Q$153)/$Q$153)</f>
        <v/>
      </c>
      <c r="AC153" s="425" t="str">
        <f t="shared" si="27"/>
        <v/>
      </c>
      <c r="AD153" s="425" t="str">
        <f t="shared" si="27"/>
        <v/>
      </c>
      <c r="AE153" s="425" t="str">
        <f t="shared" si="27"/>
        <v/>
      </c>
      <c r="AF153" s="425" t="str">
        <f t="shared" si="27"/>
        <v/>
      </c>
    </row>
    <row r="154" spans="1:32">
      <c r="A154" s="1">
        <v>18</v>
      </c>
      <c r="B154" s="39"/>
      <c r="C154" s="5"/>
      <c r="D154" s="16">
        <v>6</v>
      </c>
      <c r="E154" s="121" t="str">
        <f t="shared" si="22"/>
        <v/>
      </c>
      <c r="F154" s="121" t="str">
        <f t="shared" si="22"/>
        <v/>
      </c>
      <c r="G154" s="5"/>
      <c r="H154" s="5"/>
      <c r="I154" s="5"/>
      <c r="J154" s="5"/>
      <c r="K154" s="5"/>
      <c r="L154" s="5"/>
      <c r="M154" s="42"/>
      <c r="N154" s="5"/>
      <c r="O154" s="609"/>
      <c r="P154" s="604" t="s">
        <v>705</v>
      </c>
      <c r="Q154" s="611" t="str">
        <f>IF(AA152="","",MAX(AA152:AA156))</f>
        <v/>
      </c>
      <c r="R154" s="611" t="str">
        <f t="shared" ref="R154:V154" si="28">IF(AB152="","",MAX(AB152:AB156))</f>
        <v/>
      </c>
      <c r="S154" s="611" t="str">
        <f t="shared" si="28"/>
        <v/>
      </c>
      <c r="T154" s="611" t="str">
        <f t="shared" si="28"/>
        <v/>
      </c>
      <c r="U154" s="611" t="str">
        <f t="shared" si="28"/>
        <v/>
      </c>
      <c r="V154" s="611" t="str">
        <f t="shared" si="28"/>
        <v/>
      </c>
      <c r="Y154" s="15"/>
      <c r="Z154" s="604" t="s">
        <v>709</v>
      </c>
      <c r="AA154" s="425" t="str">
        <f t="shared" si="26"/>
        <v/>
      </c>
      <c r="AB154" s="425" t="str">
        <f t="shared" ref="AB154:AF154" si="29">IF(OR(R150="",$Q$153=""),"",ABS(R150-$Q$153)/$Q$153)</f>
        <v/>
      </c>
      <c r="AC154" s="425" t="str">
        <f t="shared" si="29"/>
        <v/>
      </c>
      <c r="AD154" s="425" t="str">
        <f t="shared" si="29"/>
        <v/>
      </c>
      <c r="AE154" s="425" t="str">
        <f t="shared" si="29"/>
        <v/>
      </c>
      <c r="AF154" s="425" t="str">
        <f t="shared" si="29"/>
        <v/>
      </c>
    </row>
    <row r="155" spans="1:32">
      <c r="A155" s="1">
        <v>19</v>
      </c>
      <c r="B155" s="39"/>
      <c r="C155" s="5"/>
      <c r="D155" s="16">
        <v>8</v>
      </c>
      <c r="E155" s="121" t="str">
        <f t="shared" si="22"/>
        <v/>
      </c>
      <c r="F155" s="121" t="str">
        <f t="shared" si="22"/>
        <v/>
      </c>
      <c r="G155" s="5"/>
      <c r="H155" s="5"/>
      <c r="I155" s="5"/>
      <c r="J155" s="5"/>
      <c r="K155" s="5"/>
      <c r="L155" s="5"/>
      <c r="M155" s="42"/>
      <c r="N155" s="5"/>
      <c r="O155" s="609"/>
      <c r="P155" s="604" t="s">
        <v>180</v>
      </c>
      <c r="Q155" s="607" t="str">
        <f>IF(Q154="","",IF(Q154&lt;0.07,"YES","NO"))</f>
        <v/>
      </c>
      <c r="R155" s="607" t="str">
        <f t="shared" ref="R155:V155" si="30">IF(R154="","",IF(R154&lt;0.07,"YES","NO"))</f>
        <v/>
      </c>
      <c r="S155" s="607" t="str">
        <f t="shared" si="30"/>
        <v/>
      </c>
      <c r="T155" s="607" t="str">
        <f t="shared" si="30"/>
        <v/>
      </c>
      <c r="U155" s="607" t="str">
        <f t="shared" si="30"/>
        <v/>
      </c>
      <c r="V155" s="607" t="str">
        <f t="shared" si="30"/>
        <v/>
      </c>
      <c r="Y155" s="15"/>
      <c r="Z155" s="604" t="s">
        <v>710</v>
      </c>
      <c r="AA155" s="425" t="str">
        <f t="shared" si="26"/>
        <v/>
      </c>
      <c r="AB155" s="425" t="str">
        <f t="shared" ref="AB155:AF155" si="31">IF(OR(R151="",$Q$153=""),"",ABS(R151-$Q$153)/$Q$153)</f>
        <v/>
      </c>
      <c r="AC155" s="425" t="str">
        <f t="shared" si="31"/>
        <v/>
      </c>
      <c r="AD155" s="425" t="str">
        <f t="shared" si="31"/>
        <v/>
      </c>
      <c r="AE155" s="425" t="str">
        <f t="shared" si="31"/>
        <v/>
      </c>
      <c r="AF155" s="425" t="str">
        <f t="shared" si="31"/>
        <v/>
      </c>
    </row>
    <row r="156" spans="1:32" ht="16.5" thickBot="1">
      <c r="A156" s="1">
        <v>20</v>
      </c>
      <c r="B156" s="140"/>
      <c r="C156" s="21"/>
      <c r="D156" s="21"/>
      <c r="E156" s="21"/>
      <c r="F156" s="21"/>
      <c r="G156" s="21"/>
      <c r="H156" s="21"/>
      <c r="I156" s="21"/>
      <c r="J156" s="21"/>
      <c r="K156" s="21"/>
      <c r="L156" s="21"/>
      <c r="M156" s="141"/>
      <c r="N156" s="5"/>
      <c r="O156" s="609"/>
      <c r="Y156" s="15"/>
      <c r="Z156" s="604" t="s">
        <v>711</v>
      </c>
      <c r="AA156" s="425" t="str">
        <f t="shared" si="26"/>
        <v/>
      </c>
      <c r="AB156" s="425" t="str">
        <f t="shared" ref="AB156:AF156" si="32">IF(OR(R152="",$Q$153=""),"",ABS(R152-$Q$153)/$Q$153)</f>
        <v/>
      </c>
      <c r="AC156" s="425" t="str">
        <f t="shared" si="32"/>
        <v/>
      </c>
      <c r="AD156" s="425" t="str">
        <f t="shared" si="32"/>
        <v/>
      </c>
      <c r="AE156" s="425" t="str">
        <f t="shared" si="32"/>
        <v/>
      </c>
      <c r="AF156" s="425" t="str">
        <f t="shared" si="32"/>
        <v/>
      </c>
    </row>
    <row r="157" spans="1:32">
      <c r="A157" s="1">
        <v>21</v>
      </c>
      <c r="B157" s="39"/>
      <c r="C157" s="125" t="s">
        <v>175</v>
      </c>
      <c r="D157" s="5"/>
      <c r="E157" s="5"/>
      <c r="F157" s="5"/>
      <c r="G157" s="5"/>
      <c r="H157" s="5"/>
      <c r="I157" s="5"/>
      <c r="J157" s="5"/>
      <c r="K157" s="5"/>
      <c r="L157" s="5"/>
      <c r="M157" s="42"/>
      <c r="N157" s="5"/>
      <c r="O157" s="609"/>
      <c r="P157" s="605" t="s">
        <v>163</v>
      </c>
      <c r="Q157" s="606" t="s">
        <v>706</v>
      </c>
      <c r="Y157" s="15"/>
    </row>
    <row r="158" spans="1:32">
      <c r="A158" s="1">
        <v>22</v>
      </c>
      <c r="B158" s="39"/>
      <c r="C158" s="5"/>
      <c r="D158" s="41" t="s">
        <v>203</v>
      </c>
      <c r="E158" s="121" t="str">
        <f t="shared" ref="E158:J158" si="33">IF(Q136="","",Q136)</f>
        <v/>
      </c>
      <c r="F158" s="121" t="str">
        <f t="shared" si="33"/>
        <v/>
      </c>
      <c r="G158" s="121" t="str">
        <f t="shared" si="33"/>
        <v/>
      </c>
      <c r="H158" s="121" t="str">
        <f t="shared" si="33"/>
        <v/>
      </c>
      <c r="I158" s="121" t="str">
        <f t="shared" si="33"/>
        <v/>
      </c>
      <c r="J158" s="121" t="str">
        <f t="shared" si="33"/>
        <v/>
      </c>
      <c r="K158" s="5"/>
      <c r="L158" s="5"/>
      <c r="M158" s="42"/>
      <c r="N158" s="5"/>
      <c r="O158" s="609"/>
      <c r="Y158" s="15"/>
    </row>
    <row r="159" spans="1:32">
      <c r="A159" s="1">
        <v>23</v>
      </c>
      <c r="B159" s="39"/>
      <c r="C159" s="5"/>
      <c r="D159" s="41" t="s">
        <v>29</v>
      </c>
      <c r="E159" s="121" t="str">
        <f t="shared" ref="E159:J165" si="34">IF(Q136="","",Q136)</f>
        <v/>
      </c>
      <c r="F159" s="121" t="str">
        <f t="shared" si="34"/>
        <v/>
      </c>
      <c r="G159" s="121" t="str">
        <f t="shared" si="34"/>
        <v/>
      </c>
      <c r="H159" s="121" t="str">
        <f t="shared" si="34"/>
        <v/>
      </c>
      <c r="I159" s="121" t="str">
        <f t="shared" si="34"/>
        <v/>
      </c>
      <c r="J159" s="121" t="str">
        <f t="shared" si="34"/>
        <v/>
      </c>
      <c r="K159" s="5"/>
      <c r="L159" s="5"/>
      <c r="M159" s="42"/>
      <c r="N159" s="5"/>
      <c r="O159" s="609"/>
      <c r="Y159" s="15"/>
    </row>
    <row r="160" spans="1:32">
      <c r="A160" s="1">
        <v>24</v>
      </c>
      <c r="B160" s="39"/>
      <c r="C160" s="5"/>
      <c r="D160" s="41" t="s">
        <v>31</v>
      </c>
      <c r="E160" s="121" t="str">
        <f t="shared" si="34"/>
        <v/>
      </c>
      <c r="F160" s="121" t="str">
        <f t="shared" si="34"/>
        <v/>
      </c>
      <c r="G160" s="121" t="str">
        <f t="shared" si="34"/>
        <v/>
      </c>
      <c r="H160" s="121" t="str">
        <f t="shared" si="34"/>
        <v/>
      </c>
      <c r="I160" s="121" t="str">
        <f t="shared" si="34"/>
        <v/>
      </c>
      <c r="J160" s="121" t="str">
        <f t="shared" si="34"/>
        <v/>
      </c>
      <c r="K160" s="5"/>
      <c r="L160" s="5"/>
      <c r="M160" s="42"/>
      <c r="N160" s="5"/>
      <c r="O160" s="609"/>
      <c r="Y160" s="15"/>
    </row>
    <row r="161" spans="1:25">
      <c r="A161" s="1">
        <v>25</v>
      </c>
      <c r="B161" s="39"/>
      <c r="C161" s="5"/>
      <c r="D161" s="41" t="s">
        <v>176</v>
      </c>
      <c r="E161" s="121" t="str">
        <f t="shared" si="34"/>
        <v/>
      </c>
      <c r="F161" s="121" t="str">
        <f t="shared" si="34"/>
        <v/>
      </c>
      <c r="G161" s="121" t="str">
        <f t="shared" si="34"/>
        <v/>
      </c>
      <c r="H161" s="121" t="str">
        <f t="shared" si="34"/>
        <v/>
      </c>
      <c r="I161" s="121" t="str">
        <f t="shared" si="34"/>
        <v/>
      </c>
      <c r="J161" s="121" t="str">
        <f t="shared" si="34"/>
        <v/>
      </c>
      <c r="K161" s="5"/>
      <c r="L161" s="5"/>
      <c r="M161" s="42"/>
      <c r="N161" s="5"/>
      <c r="O161" s="609"/>
      <c r="Y161" s="15"/>
    </row>
    <row r="162" spans="1:25">
      <c r="A162" s="1">
        <v>26</v>
      </c>
      <c r="B162" s="39"/>
      <c r="C162" s="5"/>
      <c r="D162" s="41" t="s">
        <v>177</v>
      </c>
      <c r="E162" s="121" t="str">
        <f t="shared" si="34"/>
        <v/>
      </c>
      <c r="F162" s="121" t="str">
        <f t="shared" si="34"/>
        <v/>
      </c>
      <c r="G162" s="121" t="str">
        <f t="shared" si="34"/>
        <v/>
      </c>
      <c r="H162" s="121" t="str">
        <f t="shared" si="34"/>
        <v/>
      </c>
      <c r="I162" s="121" t="str">
        <f t="shared" si="34"/>
        <v/>
      </c>
      <c r="J162" s="121" t="str">
        <f t="shared" si="34"/>
        <v/>
      </c>
      <c r="K162" s="5"/>
      <c r="L162" s="5"/>
      <c r="M162" s="42"/>
      <c r="N162" s="5"/>
      <c r="O162" s="13"/>
      <c r="P162" s="79" t="s">
        <v>181</v>
      </c>
      <c r="Q162" s="123" t="str">
        <f>IF(Q164&lt;&gt;"",Q164,IF(AB190="","",AB190))</f>
        <v/>
      </c>
      <c r="R162" s="124"/>
      <c r="S162" s="124"/>
      <c r="T162" s="124"/>
      <c r="U162" s="124"/>
      <c r="V162" s="124"/>
      <c r="W162" s="124"/>
      <c r="X162" s="124"/>
      <c r="Y162" s="15"/>
    </row>
    <row r="163" spans="1:25">
      <c r="A163" s="1">
        <v>27</v>
      </c>
      <c r="B163" s="39"/>
      <c r="C163" s="5"/>
      <c r="D163" s="41" t="s">
        <v>178</v>
      </c>
      <c r="E163" s="121" t="str">
        <f t="shared" si="34"/>
        <v/>
      </c>
      <c r="F163" s="121" t="str">
        <f t="shared" si="34"/>
        <v/>
      </c>
      <c r="G163" s="121" t="str">
        <f t="shared" si="34"/>
        <v/>
      </c>
      <c r="H163" s="121" t="str">
        <f t="shared" si="34"/>
        <v/>
      </c>
      <c r="I163" s="121" t="str">
        <f t="shared" si="34"/>
        <v/>
      </c>
      <c r="J163" s="121" t="str">
        <f t="shared" si="34"/>
        <v/>
      </c>
      <c r="K163" s="5"/>
      <c r="L163" s="5"/>
      <c r="M163" s="42"/>
      <c r="N163" s="5"/>
      <c r="O163" s="13"/>
      <c r="P163" s="126" t="s">
        <v>182</v>
      </c>
      <c r="Q163" s="127"/>
      <c r="R163" s="128"/>
      <c r="S163" s="128"/>
      <c r="T163" s="128"/>
      <c r="U163" s="128"/>
      <c r="V163" s="128"/>
      <c r="W163" s="128"/>
      <c r="X163" s="128"/>
      <c r="Y163" s="15"/>
    </row>
    <row r="164" spans="1:25">
      <c r="A164" s="1">
        <v>28</v>
      </c>
      <c r="B164" s="39"/>
      <c r="C164" s="5"/>
      <c r="D164" s="41" t="s">
        <v>179</v>
      </c>
      <c r="E164" s="121" t="str">
        <f t="shared" si="34"/>
        <v/>
      </c>
      <c r="F164" s="121" t="str">
        <f t="shared" si="34"/>
        <v/>
      </c>
      <c r="G164" s="121" t="str">
        <f t="shared" si="34"/>
        <v/>
      </c>
      <c r="H164" s="121" t="str">
        <f t="shared" si="34"/>
        <v/>
      </c>
      <c r="I164" s="121" t="str">
        <f t="shared" si="34"/>
        <v/>
      </c>
      <c r="J164" s="121" t="str">
        <f t="shared" si="34"/>
        <v/>
      </c>
      <c r="K164" s="5"/>
      <c r="L164" s="5"/>
      <c r="M164" s="42"/>
      <c r="N164" s="5"/>
      <c r="O164" s="13"/>
      <c r="P164" s="79" t="s">
        <v>184</v>
      </c>
      <c r="Q164" s="131"/>
      <c r="R164" s="128"/>
      <c r="S164" s="128"/>
      <c r="T164" s="128"/>
      <c r="U164" s="128"/>
      <c r="V164" s="128"/>
      <c r="W164" s="128"/>
      <c r="X164" s="128"/>
      <c r="Y164" s="15"/>
    </row>
    <row r="165" spans="1:25" ht="15.75" customHeight="1" thickBot="1">
      <c r="A165" s="1">
        <v>29</v>
      </c>
      <c r="B165" s="39"/>
      <c r="C165" s="5"/>
      <c r="D165" s="41" t="s">
        <v>180</v>
      </c>
      <c r="E165" s="121" t="str">
        <f t="shared" si="34"/>
        <v/>
      </c>
      <c r="F165" s="121" t="str">
        <f t="shared" si="34"/>
        <v/>
      </c>
      <c r="G165" s="121" t="str">
        <f t="shared" si="34"/>
        <v/>
      </c>
      <c r="H165" s="121" t="str">
        <f t="shared" si="34"/>
        <v/>
      </c>
      <c r="I165" s="121" t="str">
        <f t="shared" si="34"/>
        <v/>
      </c>
      <c r="J165" s="121" t="str">
        <f t="shared" si="34"/>
        <v/>
      </c>
      <c r="K165" s="5"/>
      <c r="L165" s="5"/>
      <c r="M165" s="42"/>
      <c r="N165" s="5"/>
      <c r="O165" s="20"/>
      <c r="P165" s="21"/>
      <c r="Q165" s="21"/>
      <c r="R165" s="21"/>
      <c r="S165" s="21"/>
      <c r="T165" s="21"/>
      <c r="U165" s="21"/>
      <c r="V165" s="21"/>
      <c r="W165" s="21"/>
      <c r="X165" s="21"/>
      <c r="Y165" s="22"/>
    </row>
    <row r="166" spans="1:25">
      <c r="A166" s="1">
        <v>30</v>
      </c>
      <c r="B166" s="39"/>
      <c r="C166" s="5"/>
      <c r="D166" s="41" t="s">
        <v>713</v>
      </c>
      <c r="E166" s="610" t="str">
        <f>Q154</f>
        <v/>
      </c>
      <c r="F166" s="610" t="str">
        <f t="shared" ref="F166:J166" si="35">IF(R154="","",R154)</f>
        <v/>
      </c>
      <c r="G166" s="610" t="str">
        <f t="shared" si="35"/>
        <v/>
      </c>
      <c r="H166" s="610" t="str">
        <f t="shared" si="35"/>
        <v/>
      </c>
      <c r="I166" s="610" t="str">
        <f t="shared" si="35"/>
        <v/>
      </c>
      <c r="J166" s="610" t="str">
        <f t="shared" si="35"/>
        <v/>
      </c>
      <c r="K166" s="5"/>
      <c r="L166" s="5"/>
      <c r="M166" s="42"/>
      <c r="N166" s="5"/>
      <c r="O166" s="110" t="s">
        <v>186</v>
      </c>
      <c r="P166" s="7"/>
      <c r="Q166" s="7"/>
      <c r="R166" s="132"/>
      <c r="S166" s="37" t="s">
        <v>53</v>
      </c>
      <c r="T166" s="7"/>
      <c r="U166" s="7"/>
      <c r="V166" s="7"/>
      <c r="W166" s="7"/>
      <c r="X166" s="7"/>
      <c r="Y166" s="8"/>
    </row>
    <row r="167" spans="1:25">
      <c r="A167" s="1">
        <v>31</v>
      </c>
      <c r="B167" s="39"/>
      <c r="C167" s="5"/>
      <c r="D167" s="226" t="s">
        <v>180</v>
      </c>
      <c r="E167" s="612" t="str">
        <f t="shared" ref="E167:J167" si="36">Q155</f>
        <v/>
      </c>
      <c r="F167" s="612" t="str">
        <f t="shared" si="36"/>
        <v/>
      </c>
      <c r="G167" s="612" t="str">
        <f t="shared" si="36"/>
        <v/>
      </c>
      <c r="H167" s="612" t="str">
        <f t="shared" si="36"/>
        <v/>
      </c>
      <c r="I167" s="612" t="str">
        <f t="shared" si="36"/>
        <v/>
      </c>
      <c r="J167" s="612" t="str">
        <f t="shared" si="36"/>
        <v/>
      </c>
      <c r="K167" s="176"/>
      <c r="L167" s="176"/>
      <c r="M167" s="12"/>
      <c r="N167" s="5"/>
      <c r="O167" s="13"/>
      <c r="P167" s="690" t="s">
        <v>187</v>
      </c>
      <c r="Q167" s="690"/>
      <c r="R167" s="690"/>
      <c r="S167" s="690"/>
      <c r="T167" s="133"/>
      <c r="U167" s="690" t="s">
        <v>188</v>
      </c>
      <c r="V167" s="690"/>
      <c r="W167" s="5"/>
      <c r="X167" s="5"/>
      <c r="Y167" s="15"/>
    </row>
    <row r="168" spans="1:25" ht="16.5" thickBot="1">
      <c r="A168" s="1">
        <v>32</v>
      </c>
      <c r="B168" s="39"/>
      <c r="C168" s="5"/>
      <c r="D168" s="84" t="s">
        <v>163</v>
      </c>
      <c r="E168" s="10" t="s">
        <v>210</v>
      </c>
      <c r="F168" s="176"/>
      <c r="G168" s="176"/>
      <c r="H168" s="176"/>
      <c r="I168" s="176"/>
      <c r="J168" s="176"/>
      <c r="K168" s="176"/>
      <c r="L168" s="176"/>
      <c r="M168" s="12"/>
      <c r="N168" s="5"/>
      <c r="O168" s="13"/>
      <c r="P168" s="134" t="s">
        <v>189</v>
      </c>
      <c r="Q168" s="134" t="s">
        <v>190</v>
      </c>
      <c r="R168" s="134" t="s">
        <v>191</v>
      </c>
      <c r="S168" s="135" t="s">
        <v>192</v>
      </c>
      <c r="T168" s="133"/>
      <c r="U168" s="691" t="s">
        <v>193</v>
      </c>
      <c r="V168" s="691"/>
      <c r="W168" s="5"/>
      <c r="X168" s="5"/>
      <c r="Y168" s="15"/>
    </row>
    <row r="169" spans="1:25" ht="16.5" thickBot="1">
      <c r="A169" s="1">
        <v>33</v>
      </c>
      <c r="B169" s="39"/>
      <c r="C169" s="5"/>
      <c r="E169" s="606" t="s">
        <v>714</v>
      </c>
      <c r="F169" s="176"/>
      <c r="G169" s="176"/>
      <c r="H169" s="176"/>
      <c r="I169" s="176"/>
      <c r="J169" s="176"/>
      <c r="K169" s="176"/>
      <c r="L169" s="176"/>
      <c r="M169" s="12"/>
      <c r="N169" s="5"/>
      <c r="O169" s="13"/>
      <c r="P169" s="136"/>
      <c r="Q169" s="136"/>
      <c r="R169" s="136"/>
      <c r="S169" s="137"/>
      <c r="T169" s="133"/>
      <c r="U169" s="692" t="str">
        <f>IF(OR(R166=2,R166=3),"NA",IF(OR(P169="",Q169="",R169="",S169=""),"",AVERAGE(P169:S169)))</f>
        <v/>
      </c>
      <c r="V169" s="692"/>
      <c r="W169" s="5"/>
      <c r="X169" s="41" t="s">
        <v>180</v>
      </c>
      <c r="Y169" s="431" t="str">
        <f>IF(U169="","",IF(U169&gt;=160,"Pass","Fail"))</f>
        <v/>
      </c>
    </row>
    <row r="170" spans="1:25" ht="16.5" thickBot="1">
      <c r="A170" s="1">
        <v>34</v>
      </c>
      <c r="B170" s="140"/>
      <c r="C170" s="21"/>
      <c r="D170" s="21"/>
      <c r="E170" s="21"/>
      <c r="F170" s="21"/>
      <c r="G170" s="21"/>
      <c r="H170" s="21"/>
      <c r="I170" s="21"/>
      <c r="J170" s="21"/>
      <c r="K170" s="21"/>
      <c r="L170" s="21"/>
      <c r="M170" s="141"/>
      <c r="N170" s="5"/>
      <c r="O170" s="13"/>
      <c r="P170" s="5"/>
      <c r="Q170" s="5"/>
      <c r="R170" s="5"/>
      <c r="S170" s="5"/>
      <c r="T170" s="5"/>
      <c r="U170" s="5"/>
      <c r="V170" s="5"/>
      <c r="W170" s="5"/>
      <c r="X170" s="5"/>
      <c r="Y170" s="15"/>
    </row>
    <row r="171" spans="1:25">
      <c r="A171" s="1">
        <v>35</v>
      </c>
      <c r="B171" s="39"/>
      <c r="C171" s="125" t="s">
        <v>186</v>
      </c>
      <c r="D171" s="5"/>
      <c r="E171" s="5"/>
      <c r="F171" s="5"/>
      <c r="G171" s="5"/>
      <c r="H171" s="5"/>
      <c r="I171" s="5"/>
      <c r="J171" s="5"/>
      <c r="K171" s="5"/>
      <c r="L171" s="5"/>
      <c r="M171" s="42"/>
      <c r="N171" s="5"/>
      <c r="O171" s="112" t="s">
        <v>194</v>
      </c>
      <c r="P171" s="5"/>
      <c r="Q171" s="5"/>
      <c r="R171" s="5"/>
      <c r="S171" s="5"/>
      <c r="T171" s="5"/>
      <c r="U171" s="5"/>
      <c r="V171" s="5"/>
      <c r="W171" s="5"/>
      <c r="X171" s="5"/>
      <c r="Y171" s="15"/>
    </row>
    <row r="172" spans="1:25">
      <c r="A172" s="1">
        <v>36</v>
      </c>
      <c r="B172" s="39"/>
      <c r="C172" s="5"/>
      <c r="D172" s="690" t="s">
        <v>187</v>
      </c>
      <c r="E172" s="690"/>
      <c r="F172" s="690"/>
      <c r="G172" s="690"/>
      <c r="H172" s="133"/>
      <c r="I172" s="690" t="s">
        <v>188</v>
      </c>
      <c r="J172" s="690"/>
      <c r="K172" s="5"/>
      <c r="L172" s="5"/>
      <c r="M172" s="42"/>
      <c r="N172" s="5"/>
      <c r="O172" s="138" t="s">
        <v>195</v>
      </c>
      <c r="P172" s="114">
        <f>IF($O$34=1,70,65)</f>
        <v>70</v>
      </c>
      <c r="Q172" s="5"/>
      <c r="R172" s="5"/>
      <c r="S172" s="5"/>
      <c r="T172" s="5"/>
      <c r="U172" s="77"/>
      <c r="V172" s="77"/>
      <c r="W172" s="77"/>
      <c r="X172" s="77"/>
      <c r="Y172" s="139"/>
    </row>
    <row r="173" spans="1:25" ht="16.5" thickBot="1">
      <c r="A173" s="1">
        <v>37</v>
      </c>
      <c r="B173" s="39"/>
      <c r="C173" s="5"/>
      <c r="D173" s="134" t="s">
        <v>189</v>
      </c>
      <c r="E173" s="134" t="s">
        <v>190</v>
      </c>
      <c r="F173" s="134" t="s">
        <v>191</v>
      </c>
      <c r="G173" s="135" t="s">
        <v>192</v>
      </c>
      <c r="H173" s="133"/>
      <c r="I173" s="691" t="s">
        <v>193</v>
      </c>
      <c r="J173" s="691"/>
      <c r="K173" s="5"/>
      <c r="L173" s="5"/>
      <c r="M173" s="42"/>
      <c r="N173" s="5"/>
      <c r="O173" s="13"/>
      <c r="P173" s="693" t="s">
        <v>196</v>
      </c>
      <c r="Q173" s="681" t="s">
        <v>197</v>
      </c>
      <c r="R173" s="681"/>
      <c r="S173" s="681"/>
      <c r="T173" s="142" t="s">
        <v>197</v>
      </c>
      <c r="U173" s="694" t="s">
        <v>198</v>
      </c>
      <c r="V173" s="77"/>
      <c r="W173" s="77"/>
      <c r="X173" s="77"/>
      <c r="Y173" s="139"/>
    </row>
    <row r="174" spans="1:25" ht="16.5" thickBot="1">
      <c r="A174" s="1">
        <v>38</v>
      </c>
      <c r="B174" s="39"/>
      <c r="C174" s="5"/>
      <c r="D174" s="160" t="str">
        <f>IF(P169="","",P169)</f>
        <v/>
      </c>
      <c r="E174" s="160" t="str">
        <f>IF(Q169="","",Q169)</f>
        <v/>
      </c>
      <c r="F174" s="160" t="str">
        <f>IF(R169="","",R169)</f>
        <v/>
      </c>
      <c r="G174" s="161" t="str">
        <f>IF(S169="","",S169)</f>
        <v/>
      </c>
      <c r="H174" s="133"/>
      <c r="I174" s="695" t="str">
        <f>IF(U169="","",U169)</f>
        <v/>
      </c>
      <c r="J174" s="695"/>
      <c r="K174" s="5"/>
      <c r="L174" s="41" t="s">
        <v>180</v>
      </c>
      <c r="M174" s="433" t="str">
        <f>IF(Y169="","",Y169)</f>
        <v/>
      </c>
      <c r="N174" s="5"/>
      <c r="O174" s="13"/>
      <c r="P174" s="693" t="s">
        <v>196</v>
      </c>
      <c r="Q174" s="142" t="s">
        <v>199</v>
      </c>
      <c r="R174" s="143" t="s">
        <v>200</v>
      </c>
      <c r="S174" s="143" t="s">
        <v>201</v>
      </c>
      <c r="T174" s="142" t="s">
        <v>202</v>
      </c>
      <c r="U174" s="694" t="s">
        <v>196</v>
      </c>
      <c r="V174" s="77"/>
      <c r="W174" s="77"/>
      <c r="X174" s="77"/>
      <c r="Y174" s="139"/>
    </row>
    <row r="175" spans="1:25">
      <c r="A175" s="1">
        <v>39</v>
      </c>
      <c r="B175" s="39"/>
      <c r="C175" s="5"/>
      <c r="D175" s="84" t="s">
        <v>163</v>
      </c>
      <c r="E175" s="10" t="s">
        <v>215</v>
      </c>
      <c r="F175" s="5"/>
      <c r="G175" s="5"/>
      <c r="H175" s="5"/>
      <c r="I175" s="5"/>
      <c r="J175" s="5"/>
      <c r="K175" s="5"/>
      <c r="L175" s="5"/>
      <c r="M175" s="42"/>
      <c r="N175" s="5"/>
      <c r="O175" s="138" t="s">
        <v>204</v>
      </c>
      <c r="P175" s="144"/>
      <c r="Q175" s="145"/>
      <c r="R175" s="145"/>
      <c r="S175" s="146"/>
      <c r="T175" s="146"/>
      <c r="U175" s="147"/>
      <c r="V175" s="77"/>
      <c r="W175" s="77"/>
      <c r="X175" s="77"/>
      <c r="Y175" s="139"/>
    </row>
    <row r="176" spans="1:25" ht="16.5" thickBot="1">
      <c r="A176" s="1">
        <v>40</v>
      </c>
      <c r="B176" s="140"/>
      <c r="C176" s="21"/>
      <c r="D176" s="21"/>
      <c r="E176" s="21"/>
      <c r="F176" s="21"/>
      <c r="G176" s="21"/>
      <c r="H176" s="21"/>
      <c r="I176" s="21"/>
      <c r="J176" s="21"/>
      <c r="K176" s="21"/>
      <c r="L176" s="21"/>
      <c r="M176" s="141"/>
      <c r="N176" s="5"/>
      <c r="O176" s="138" t="s">
        <v>205</v>
      </c>
      <c r="P176" s="148"/>
      <c r="Q176" s="149"/>
      <c r="R176" s="149"/>
      <c r="S176" s="434"/>
      <c r="T176" s="434"/>
      <c r="U176" s="150"/>
      <c r="V176" s="77"/>
      <c r="W176" s="77"/>
      <c r="X176" s="77"/>
      <c r="Y176" s="139"/>
    </row>
    <row r="177" spans="1:25">
      <c r="A177" s="1">
        <v>41</v>
      </c>
      <c r="B177" s="39"/>
      <c r="C177" s="125" t="s">
        <v>218</v>
      </c>
      <c r="D177" s="5"/>
      <c r="E177" s="5"/>
      <c r="F177" s="5"/>
      <c r="G177" s="45" t="s">
        <v>217</v>
      </c>
      <c r="H177" s="5"/>
      <c r="I177" s="5"/>
      <c r="J177" s="5"/>
      <c r="K177" s="5"/>
      <c r="L177" s="5"/>
      <c r="M177" s="42"/>
      <c r="N177" s="5"/>
      <c r="O177" s="138" t="s">
        <v>206</v>
      </c>
      <c r="P177" s="148"/>
      <c r="Q177" s="149"/>
      <c r="R177" s="149"/>
      <c r="S177" s="151"/>
      <c r="T177" s="151"/>
      <c r="U177" s="150"/>
      <c r="V177" s="77"/>
      <c r="W177" s="77"/>
      <c r="X177" s="77"/>
      <c r="Y177" s="139"/>
    </row>
    <row r="178" spans="1:25" ht="16.5" customHeight="1" thickBot="1">
      <c r="A178" s="1">
        <v>42</v>
      </c>
      <c r="B178" s="39"/>
      <c r="C178" s="162" t="s">
        <v>195</v>
      </c>
      <c r="D178" s="47"/>
      <c r="E178" s="5"/>
      <c r="F178" s="5"/>
      <c r="G178" s="5"/>
      <c r="H178" s="5"/>
      <c r="I178" s="5"/>
      <c r="J178" s="5"/>
      <c r="K178" s="5"/>
      <c r="L178" s="5"/>
      <c r="M178" s="42"/>
      <c r="N178" s="5"/>
      <c r="O178" s="138" t="s">
        <v>207</v>
      </c>
      <c r="P178" s="152"/>
      <c r="Q178" s="153"/>
      <c r="R178" s="153"/>
      <c r="S178" s="154"/>
      <c r="T178" s="154"/>
      <c r="U178" s="155"/>
      <c r="V178" s="77"/>
      <c r="W178" s="77"/>
      <c r="X178" s="77"/>
      <c r="Y178" s="139"/>
    </row>
    <row r="179" spans="1:25" ht="16.5" thickBot="1">
      <c r="A179" s="1">
        <v>43</v>
      </c>
      <c r="B179" s="39"/>
      <c r="C179" s="119">
        <f>IF(P172="","",P172)</f>
        <v>70</v>
      </c>
      <c r="D179" s="696" t="s">
        <v>219</v>
      </c>
      <c r="E179" s="696"/>
      <c r="F179" s="696"/>
      <c r="G179" s="696"/>
      <c r="H179" s="696"/>
      <c r="I179" s="696"/>
      <c r="J179" s="77"/>
      <c r="K179" s="77"/>
      <c r="L179" s="77"/>
      <c r="M179" s="42"/>
      <c r="N179" s="5"/>
      <c r="O179" s="13"/>
      <c r="P179" s="5"/>
      <c r="Q179" s="10" t="s">
        <v>208</v>
      </c>
      <c r="R179" s="5"/>
      <c r="S179" s="5"/>
      <c r="T179" s="77"/>
      <c r="U179" s="77"/>
      <c r="V179" s="77"/>
      <c r="W179" s="77"/>
      <c r="X179" s="77"/>
      <c r="Y179" s="139"/>
    </row>
    <row r="180" spans="1:25">
      <c r="A180" s="1">
        <v>44</v>
      </c>
      <c r="B180" s="39"/>
      <c r="C180" s="47"/>
      <c r="D180" s="693" t="s">
        <v>196</v>
      </c>
      <c r="E180" s="681" t="s">
        <v>197</v>
      </c>
      <c r="F180" s="681"/>
      <c r="G180" s="681"/>
      <c r="H180" s="142" t="s">
        <v>196</v>
      </c>
      <c r="I180" s="697" t="s">
        <v>198</v>
      </c>
      <c r="J180" s="77"/>
      <c r="K180" s="77"/>
      <c r="L180" s="77"/>
      <c r="M180" s="42"/>
      <c r="N180" s="5"/>
      <c r="O180" s="13"/>
      <c r="P180" s="5"/>
      <c r="Q180" s="5"/>
      <c r="R180" s="5"/>
      <c r="S180" s="5"/>
      <c r="T180" s="77"/>
      <c r="U180" s="77"/>
      <c r="V180" s="77"/>
      <c r="W180" s="77"/>
      <c r="X180" s="77"/>
      <c r="Y180" s="139"/>
    </row>
    <row r="181" spans="1:25">
      <c r="A181" s="1">
        <v>45</v>
      </c>
      <c r="B181" s="39"/>
      <c r="C181" s="47"/>
      <c r="D181" s="693" t="s">
        <v>196</v>
      </c>
      <c r="E181" s="142" t="s">
        <v>199</v>
      </c>
      <c r="F181" s="143" t="s">
        <v>200</v>
      </c>
      <c r="G181" s="143" t="s">
        <v>201</v>
      </c>
      <c r="H181" s="142" t="s">
        <v>202</v>
      </c>
      <c r="I181" s="697" t="s">
        <v>202</v>
      </c>
      <c r="J181" s="77"/>
      <c r="K181" s="77"/>
      <c r="L181" s="77"/>
      <c r="M181" s="42"/>
      <c r="N181" s="5"/>
      <c r="O181" s="156"/>
      <c r="P181" s="679" t="s">
        <v>209</v>
      </c>
      <c r="Q181" s="680"/>
      <c r="R181" s="680"/>
      <c r="S181" s="680"/>
      <c r="T181" s="680"/>
      <c r="U181" s="681"/>
      <c r="V181" s="77"/>
      <c r="W181" s="77"/>
      <c r="X181" s="77"/>
      <c r="Y181" s="139"/>
    </row>
    <row r="182" spans="1:25" ht="15.75" customHeight="1">
      <c r="A182" s="1">
        <v>46</v>
      </c>
      <c r="B182" s="39"/>
      <c r="C182" s="41" t="s">
        <v>204</v>
      </c>
      <c r="D182" s="437" t="str">
        <f t="shared" ref="D182:I187" si="37">IF(P184="","",P184)</f>
        <v/>
      </c>
      <c r="E182" s="284" t="str">
        <f t="shared" si="37"/>
        <v/>
      </c>
      <c r="F182" s="284" t="str">
        <f t="shared" si="37"/>
        <v/>
      </c>
      <c r="G182" s="284" t="str">
        <f t="shared" si="37"/>
        <v/>
      </c>
      <c r="H182" s="438" t="str">
        <f t="shared" si="37"/>
        <v/>
      </c>
      <c r="I182" s="439" t="str">
        <f t="shared" si="37"/>
        <v/>
      </c>
      <c r="J182" s="77"/>
      <c r="K182" s="77"/>
      <c r="L182" s="77"/>
      <c r="M182" s="42"/>
      <c r="N182" s="5"/>
      <c r="O182" s="156"/>
      <c r="P182" s="595" t="s">
        <v>196</v>
      </c>
      <c r="Q182" s="683" t="s">
        <v>197</v>
      </c>
      <c r="R182" s="680"/>
      <c r="S182" s="681"/>
      <c r="T182" s="597" t="s">
        <v>197</v>
      </c>
      <c r="U182" s="596" t="s">
        <v>198</v>
      </c>
      <c r="V182" s="77"/>
      <c r="W182" s="77"/>
      <c r="X182" s="77"/>
      <c r="Y182" s="139"/>
    </row>
    <row r="183" spans="1:25" ht="16.5" thickBot="1">
      <c r="A183" s="1">
        <v>47</v>
      </c>
      <c r="B183" s="39"/>
      <c r="C183" s="41" t="s">
        <v>205</v>
      </c>
      <c r="D183" s="437" t="str">
        <f t="shared" si="37"/>
        <v/>
      </c>
      <c r="E183" s="284" t="str">
        <f t="shared" si="37"/>
        <v/>
      </c>
      <c r="F183" s="284" t="str">
        <f t="shared" si="37"/>
        <v/>
      </c>
      <c r="G183" s="284" t="str">
        <f t="shared" si="37"/>
        <v/>
      </c>
      <c r="H183" s="438" t="str">
        <f t="shared" si="37"/>
        <v/>
      </c>
      <c r="I183" s="439" t="str">
        <f t="shared" si="37"/>
        <v/>
      </c>
      <c r="J183" s="77"/>
      <c r="K183" s="77"/>
      <c r="L183" s="77"/>
      <c r="M183" s="42"/>
      <c r="N183" s="5"/>
      <c r="O183" s="156"/>
      <c r="P183" s="595" t="s">
        <v>196</v>
      </c>
      <c r="Q183" s="597" t="s">
        <v>199</v>
      </c>
      <c r="R183" s="597" t="s">
        <v>200</v>
      </c>
      <c r="S183" s="597" t="s">
        <v>201</v>
      </c>
      <c r="T183" s="597" t="s">
        <v>202</v>
      </c>
      <c r="U183" s="596" t="s">
        <v>196</v>
      </c>
      <c r="V183" s="77"/>
      <c r="W183" s="77"/>
      <c r="X183" s="77"/>
      <c r="Y183" s="139"/>
    </row>
    <row r="184" spans="1:25">
      <c r="A184" s="1">
        <v>48</v>
      </c>
      <c r="B184" s="39"/>
      <c r="C184" s="41" t="s">
        <v>206</v>
      </c>
      <c r="D184" s="437" t="str">
        <f t="shared" si="37"/>
        <v/>
      </c>
      <c r="E184" s="284" t="str">
        <f t="shared" si="37"/>
        <v/>
      </c>
      <c r="F184" s="284" t="str">
        <f t="shared" si="37"/>
        <v/>
      </c>
      <c r="G184" s="284" t="str">
        <f t="shared" si="37"/>
        <v/>
      </c>
      <c r="H184" s="438" t="str">
        <f t="shared" si="37"/>
        <v/>
      </c>
      <c r="I184" s="439" t="str">
        <f t="shared" si="37"/>
        <v/>
      </c>
      <c r="J184" s="77"/>
      <c r="K184" s="77"/>
      <c r="L184" s="77"/>
      <c r="M184" s="42"/>
      <c r="N184" s="5"/>
      <c r="O184" s="138" t="s">
        <v>204</v>
      </c>
      <c r="P184" s="448" t="str">
        <f t="shared" ref="P184:U187" si="38">IF(OR(P175="",$P$172=""),"",P175/$P$172)</f>
        <v/>
      </c>
      <c r="Q184" s="449" t="str">
        <f t="shared" si="38"/>
        <v/>
      </c>
      <c r="R184" s="449" t="str">
        <f t="shared" si="38"/>
        <v/>
      </c>
      <c r="S184" s="449" t="str">
        <f t="shared" si="38"/>
        <v/>
      </c>
      <c r="T184" s="449" t="str">
        <f t="shared" si="38"/>
        <v/>
      </c>
      <c r="U184" s="450" t="str">
        <f t="shared" si="38"/>
        <v/>
      </c>
      <c r="V184" s="77"/>
      <c r="W184" s="77"/>
      <c r="X184" s="77"/>
      <c r="Y184" s="139"/>
    </row>
    <row r="185" spans="1:25" ht="16.5" thickBot="1">
      <c r="A185" s="1">
        <v>49</v>
      </c>
      <c r="B185" s="39"/>
      <c r="C185" s="41" t="s">
        <v>207</v>
      </c>
      <c r="D185" s="437" t="str">
        <f t="shared" si="37"/>
        <v/>
      </c>
      <c r="E185" s="284" t="str">
        <f t="shared" si="37"/>
        <v/>
      </c>
      <c r="F185" s="284" t="str">
        <f t="shared" si="37"/>
        <v/>
      </c>
      <c r="G185" s="284" t="str">
        <f t="shared" si="37"/>
        <v/>
      </c>
      <c r="H185" s="438" t="str">
        <f t="shared" si="37"/>
        <v/>
      </c>
      <c r="I185" s="439" t="str">
        <f t="shared" si="37"/>
        <v/>
      </c>
      <c r="J185" s="77"/>
      <c r="K185" s="77"/>
      <c r="L185" s="77"/>
      <c r="M185" s="42"/>
      <c r="N185" s="5"/>
      <c r="O185" s="138" t="s">
        <v>205</v>
      </c>
      <c r="P185" s="451" t="str">
        <f t="shared" si="38"/>
        <v/>
      </c>
      <c r="Q185" s="452" t="str">
        <f t="shared" si="38"/>
        <v/>
      </c>
      <c r="R185" s="452" t="str">
        <f t="shared" si="38"/>
        <v/>
      </c>
      <c r="S185" s="452" t="str">
        <f t="shared" si="38"/>
        <v/>
      </c>
      <c r="T185" s="452" t="str">
        <f t="shared" si="38"/>
        <v/>
      </c>
      <c r="U185" s="453" t="str">
        <f t="shared" si="38"/>
        <v/>
      </c>
      <c r="V185" s="77"/>
      <c r="W185" s="77"/>
      <c r="X185" s="77"/>
      <c r="Y185" s="139"/>
    </row>
    <row r="186" spans="1:25">
      <c r="A186" s="1">
        <v>50</v>
      </c>
      <c r="B186" s="39"/>
      <c r="C186" s="41" t="s">
        <v>222</v>
      </c>
      <c r="D186" s="440" t="str">
        <f t="shared" si="37"/>
        <v/>
      </c>
      <c r="E186" s="441" t="str">
        <f t="shared" si="37"/>
        <v/>
      </c>
      <c r="F186" s="441" t="str">
        <f t="shared" si="37"/>
        <v/>
      </c>
      <c r="G186" s="441" t="str">
        <f t="shared" si="37"/>
        <v/>
      </c>
      <c r="H186" s="442" t="str">
        <f t="shared" si="37"/>
        <v/>
      </c>
      <c r="I186" s="443" t="str">
        <f t="shared" si="37"/>
        <v/>
      </c>
      <c r="J186" s="77"/>
      <c r="K186" s="77"/>
      <c r="L186" s="77"/>
      <c r="M186" s="42"/>
      <c r="N186" s="5"/>
      <c r="O186" s="138" t="s">
        <v>206</v>
      </c>
      <c r="P186" s="451" t="str">
        <f t="shared" si="38"/>
        <v/>
      </c>
      <c r="Q186" s="452" t="str">
        <f t="shared" si="38"/>
        <v/>
      </c>
      <c r="R186" s="452" t="str">
        <f t="shared" si="38"/>
        <v/>
      </c>
      <c r="S186" s="452" t="str">
        <f t="shared" si="38"/>
        <v/>
      </c>
      <c r="T186" s="452" t="str">
        <f t="shared" si="38"/>
        <v/>
      </c>
      <c r="U186" s="453" t="str">
        <f t="shared" si="38"/>
        <v/>
      </c>
      <c r="V186" s="77"/>
      <c r="W186" s="77"/>
      <c r="X186" s="77"/>
      <c r="Y186" s="139"/>
    </row>
    <row r="187" spans="1:25" ht="16.5" thickBot="1">
      <c r="A187" s="1">
        <v>51</v>
      </c>
      <c r="B187" s="39"/>
      <c r="C187" s="5" t="s">
        <v>223</v>
      </c>
      <c r="D187" s="444" t="str">
        <f t="shared" si="37"/>
        <v/>
      </c>
      <c r="E187" s="445" t="str">
        <f t="shared" si="37"/>
        <v/>
      </c>
      <c r="F187" s="445" t="str">
        <f t="shared" si="37"/>
        <v/>
      </c>
      <c r="G187" s="445" t="str">
        <f t="shared" si="37"/>
        <v/>
      </c>
      <c r="H187" s="446" t="str">
        <f t="shared" si="37"/>
        <v/>
      </c>
      <c r="I187" s="447" t="str">
        <f t="shared" si="37"/>
        <v/>
      </c>
      <c r="J187" s="5"/>
      <c r="K187" s="5"/>
      <c r="L187" s="5"/>
      <c r="M187" s="42"/>
      <c r="N187" s="5"/>
      <c r="O187" s="138" t="s">
        <v>207</v>
      </c>
      <c r="P187" s="454" t="str">
        <f t="shared" si="38"/>
        <v/>
      </c>
      <c r="Q187" s="455" t="str">
        <f t="shared" si="38"/>
        <v/>
      </c>
      <c r="R187" s="455" t="str">
        <f t="shared" si="38"/>
        <v/>
      </c>
      <c r="S187" s="455" t="str">
        <f t="shared" si="38"/>
        <v/>
      </c>
      <c r="T187" s="455" t="str">
        <f t="shared" si="38"/>
        <v/>
      </c>
      <c r="U187" s="456" t="str">
        <f t="shared" si="38"/>
        <v/>
      </c>
      <c r="V187" s="77"/>
      <c r="W187" s="77"/>
      <c r="X187" s="77"/>
      <c r="Y187" s="139"/>
    </row>
    <row r="188" spans="1:25" ht="16.5" customHeight="1" thickBot="1">
      <c r="A188" s="1">
        <v>52</v>
      </c>
      <c r="B188" s="39"/>
      <c r="C188" s="41" t="s">
        <v>180</v>
      </c>
      <c r="D188" s="169" t="str">
        <f t="shared" ref="D188:I188" si="39">IF(OR(D186="",D187=""),"",IF(OR(D186&gt;0.02,D187&gt;0.02),"NO","YES"))</f>
        <v/>
      </c>
      <c r="E188" s="170" t="str">
        <f t="shared" si="39"/>
        <v/>
      </c>
      <c r="F188" s="170" t="str">
        <f t="shared" si="39"/>
        <v/>
      </c>
      <c r="G188" s="170" t="str">
        <f t="shared" si="39"/>
        <v/>
      </c>
      <c r="H188" s="171" t="str">
        <f t="shared" si="39"/>
        <v/>
      </c>
      <c r="I188" s="172" t="str">
        <f t="shared" si="39"/>
        <v/>
      </c>
      <c r="J188" s="5"/>
      <c r="K188" s="5"/>
      <c r="L188" s="5"/>
      <c r="M188" s="42"/>
      <c r="N188" s="5"/>
      <c r="O188" s="13" t="s">
        <v>211</v>
      </c>
      <c r="P188" s="440" t="str">
        <f t="shared" ref="P188:U188" si="40">IF(OR(P184="",P185=""),"",ABS(P184)+ABS(P185))</f>
        <v/>
      </c>
      <c r="Q188" s="441" t="str">
        <f t="shared" si="40"/>
        <v/>
      </c>
      <c r="R188" s="441" t="str">
        <f t="shared" si="40"/>
        <v/>
      </c>
      <c r="S188" s="441" t="str">
        <f t="shared" si="40"/>
        <v/>
      </c>
      <c r="T188" s="441" t="str">
        <f t="shared" si="40"/>
        <v/>
      </c>
      <c r="U188" s="443" t="str">
        <f t="shared" si="40"/>
        <v/>
      </c>
      <c r="V188" s="77"/>
      <c r="W188" s="77"/>
      <c r="X188" s="77"/>
      <c r="Y188" s="139"/>
    </row>
    <row r="189" spans="1:25" ht="16.5" thickBot="1">
      <c r="A189" s="1">
        <v>53</v>
      </c>
      <c r="B189" s="173"/>
      <c r="C189" s="47"/>
      <c r="D189" s="696" t="s">
        <v>224</v>
      </c>
      <c r="E189" s="696"/>
      <c r="F189" s="696"/>
      <c r="G189" s="696"/>
      <c r="H189" s="696"/>
      <c r="I189" s="696"/>
      <c r="J189" s="77"/>
      <c r="K189" s="77"/>
      <c r="L189" s="77"/>
      <c r="M189" s="78"/>
      <c r="N189" s="5"/>
      <c r="O189" s="13" t="s">
        <v>212</v>
      </c>
      <c r="P189" s="444" t="str">
        <f t="shared" ref="P189:U189" si="41">IF(OR(P186="",P187=""),"",ABS(P186)+ABS(P187))</f>
        <v/>
      </c>
      <c r="Q189" s="445" t="str">
        <f t="shared" si="41"/>
        <v/>
      </c>
      <c r="R189" s="445" t="str">
        <f t="shared" si="41"/>
        <v/>
      </c>
      <c r="S189" s="445" t="str">
        <f t="shared" si="41"/>
        <v/>
      </c>
      <c r="T189" s="445" t="str">
        <f t="shared" si="41"/>
        <v/>
      </c>
      <c r="U189" s="447" t="str">
        <f t="shared" si="41"/>
        <v/>
      </c>
      <c r="V189" s="77"/>
      <c r="W189" s="77"/>
      <c r="X189" s="77"/>
      <c r="Y189" s="139"/>
    </row>
    <row r="190" spans="1:25">
      <c r="A190" s="1">
        <v>54</v>
      </c>
      <c r="B190" s="173"/>
      <c r="C190" s="41" t="s">
        <v>204</v>
      </c>
      <c r="D190" s="437" t="str">
        <f t="shared" ref="D190:I194" si="42">IF(P207="","",P207)</f>
        <v/>
      </c>
      <c r="E190" s="284" t="str">
        <f t="shared" si="42"/>
        <v/>
      </c>
      <c r="F190" s="284" t="str">
        <f t="shared" si="42"/>
        <v/>
      </c>
      <c r="G190" s="284" t="str">
        <f t="shared" si="42"/>
        <v/>
      </c>
      <c r="H190" s="438" t="str">
        <f t="shared" si="42"/>
        <v/>
      </c>
      <c r="I190" s="439" t="str">
        <f t="shared" si="42"/>
        <v/>
      </c>
      <c r="J190" s="77"/>
      <c r="K190" s="77"/>
      <c r="L190" s="77"/>
      <c r="M190" s="78"/>
      <c r="N190" s="5"/>
      <c r="O190" s="13"/>
      <c r="P190" s="84" t="s">
        <v>163</v>
      </c>
      <c r="Q190" s="10" t="s">
        <v>213</v>
      </c>
      <c r="R190" s="5"/>
      <c r="S190" s="5"/>
      <c r="T190" s="5"/>
      <c r="U190" s="5"/>
      <c r="V190" s="5"/>
      <c r="W190" s="5"/>
      <c r="X190" s="5"/>
      <c r="Y190" s="15"/>
    </row>
    <row r="191" spans="1:25">
      <c r="A191" s="1">
        <v>55</v>
      </c>
      <c r="B191" s="173"/>
      <c r="C191" s="41" t="s">
        <v>205</v>
      </c>
      <c r="D191" s="437" t="str">
        <f t="shared" si="42"/>
        <v/>
      </c>
      <c r="E191" s="284" t="str">
        <f t="shared" si="42"/>
        <v/>
      </c>
      <c r="F191" s="284" t="str">
        <f t="shared" si="42"/>
        <v/>
      </c>
      <c r="G191" s="284" t="str">
        <f t="shared" si="42"/>
        <v/>
      </c>
      <c r="H191" s="438" t="str">
        <f t="shared" si="42"/>
        <v/>
      </c>
      <c r="I191" s="439" t="str">
        <f t="shared" si="42"/>
        <v/>
      </c>
      <c r="J191" s="77"/>
      <c r="K191" s="77"/>
      <c r="L191" s="77"/>
      <c r="M191" s="78"/>
      <c r="N191" s="5"/>
      <c r="O191" s="13"/>
      <c r="P191" s="10"/>
      <c r="Q191" s="10" t="s">
        <v>214</v>
      </c>
      <c r="R191" s="5"/>
      <c r="S191" s="5"/>
      <c r="T191" s="5"/>
      <c r="U191" s="5"/>
      <c r="V191" s="5"/>
      <c r="W191" s="5"/>
      <c r="X191" s="5"/>
      <c r="Y191" s="15"/>
    </row>
    <row r="192" spans="1:25">
      <c r="A192" s="1">
        <v>56</v>
      </c>
      <c r="B192" s="173"/>
      <c r="C192" s="41" t="s">
        <v>206</v>
      </c>
      <c r="D192" s="437" t="str">
        <f t="shared" si="42"/>
        <v/>
      </c>
      <c r="E192" s="284" t="str">
        <f t="shared" si="42"/>
        <v/>
      </c>
      <c r="F192" s="284" t="str">
        <f t="shared" si="42"/>
        <v/>
      </c>
      <c r="G192" s="284" t="str">
        <f t="shared" si="42"/>
        <v/>
      </c>
      <c r="H192" s="438" t="str">
        <f t="shared" si="42"/>
        <v/>
      </c>
      <c r="I192" s="439" t="str">
        <f t="shared" si="42"/>
        <v/>
      </c>
      <c r="J192" s="77"/>
      <c r="K192" s="77"/>
      <c r="L192" s="77"/>
      <c r="M192" s="78"/>
      <c r="N192" s="5"/>
      <c r="O192" s="13"/>
      <c r="P192" s="5"/>
      <c r="Q192" s="10" t="s">
        <v>216</v>
      </c>
      <c r="R192" s="5"/>
      <c r="S192" s="5"/>
      <c r="T192" s="5"/>
      <c r="U192" s="5"/>
      <c r="V192" s="5"/>
      <c r="W192" s="5"/>
      <c r="X192" s="5"/>
      <c r="Y192" s="15"/>
    </row>
    <row r="193" spans="1:25">
      <c r="A193" s="1">
        <v>57</v>
      </c>
      <c r="B193" s="173"/>
      <c r="C193" s="41" t="s">
        <v>207</v>
      </c>
      <c r="D193" s="437" t="str">
        <f t="shared" si="42"/>
        <v/>
      </c>
      <c r="E193" s="284" t="str">
        <f t="shared" si="42"/>
        <v/>
      </c>
      <c r="F193" s="284" t="str">
        <f t="shared" si="42"/>
        <v/>
      </c>
      <c r="G193" s="284" t="str">
        <f t="shared" si="42"/>
        <v/>
      </c>
      <c r="H193" s="438" t="str">
        <f t="shared" si="42"/>
        <v/>
      </c>
      <c r="I193" s="439" t="str">
        <f t="shared" si="42"/>
        <v/>
      </c>
      <c r="J193" s="77"/>
      <c r="K193" s="77"/>
      <c r="L193" s="77"/>
      <c r="M193" s="78"/>
      <c r="N193" s="5"/>
      <c r="O193" s="112" t="s">
        <v>217</v>
      </c>
      <c r="P193" s="5"/>
      <c r="Q193" s="5"/>
      <c r="R193" s="5"/>
      <c r="S193" s="5"/>
      <c r="T193" s="5"/>
      <c r="U193" s="5"/>
      <c r="V193" s="5"/>
      <c r="W193" s="5"/>
      <c r="X193" s="5"/>
      <c r="Y193" s="15"/>
    </row>
    <row r="194" spans="1:25" ht="16.5" thickBot="1">
      <c r="A194" s="1">
        <v>58</v>
      </c>
      <c r="B194" s="173"/>
      <c r="C194" s="41" t="s">
        <v>220</v>
      </c>
      <c r="D194" s="444" t="str">
        <f t="shared" si="42"/>
        <v/>
      </c>
      <c r="E194" s="445" t="str">
        <f t="shared" si="42"/>
        <v/>
      </c>
      <c r="F194" s="445" t="str">
        <f t="shared" si="42"/>
        <v/>
      </c>
      <c r="G194" s="445" t="str">
        <f t="shared" si="42"/>
        <v/>
      </c>
      <c r="H194" s="446" t="str">
        <f t="shared" si="42"/>
        <v/>
      </c>
      <c r="I194" s="447" t="str">
        <f t="shared" si="42"/>
        <v/>
      </c>
      <c r="J194" s="77"/>
      <c r="K194" s="77"/>
      <c r="L194" s="77"/>
      <c r="M194" s="78"/>
      <c r="N194" s="5"/>
      <c r="O194" s="13"/>
      <c r="P194" s="47"/>
      <c r="Q194" s="5"/>
      <c r="R194" s="5"/>
      <c r="S194" s="5"/>
      <c r="T194" s="5"/>
      <c r="U194" s="77"/>
      <c r="V194" s="77"/>
      <c r="W194" s="77"/>
      <c r="X194" s="77"/>
      <c r="Y194" s="139"/>
    </row>
    <row r="195" spans="1:25" ht="15.75" customHeight="1" thickBot="1">
      <c r="A195" s="1">
        <v>59</v>
      </c>
      <c r="B195" s="173"/>
      <c r="C195" s="41" t="s">
        <v>180</v>
      </c>
      <c r="D195" s="174" t="str">
        <f t="shared" ref="D195:I195" si="43">IF(OR(D190="",D191="",D192="",D193="",D194=""),"",IF($O$34=1,IF(AND(D190&lt;=0.02,D191&lt;=0.02,D192&lt;=0.02,D193&lt;=0.02,D194&lt;=0.01),"YES","NO"),IF(AND(D190&lt;=0.02,D191&lt;=0.02,D192&lt;=0.04,D193&lt;=0.02,D194&lt;=0.01),"YES","NO")))</f>
        <v/>
      </c>
      <c r="E195" s="170" t="str">
        <f t="shared" si="43"/>
        <v/>
      </c>
      <c r="F195" s="170" t="str">
        <f t="shared" si="43"/>
        <v/>
      </c>
      <c r="G195" s="170" t="str">
        <f t="shared" si="43"/>
        <v/>
      </c>
      <c r="H195" s="171" t="str">
        <f t="shared" si="43"/>
        <v/>
      </c>
      <c r="I195" s="172" t="str">
        <f t="shared" si="43"/>
        <v/>
      </c>
      <c r="J195" s="77"/>
      <c r="K195" s="77"/>
      <c r="L195" s="77"/>
      <c r="M195" s="78"/>
      <c r="N195" s="5"/>
      <c r="O195" s="13"/>
      <c r="P195" s="595" t="s">
        <v>196</v>
      </c>
      <c r="Q195" s="597" t="s">
        <v>197</v>
      </c>
      <c r="R195" s="597"/>
      <c r="S195" s="597"/>
      <c r="T195" s="597" t="s">
        <v>196</v>
      </c>
      <c r="U195" s="596" t="s">
        <v>198</v>
      </c>
      <c r="V195" s="77"/>
      <c r="W195" s="77"/>
      <c r="X195" s="77"/>
      <c r="Y195" s="139"/>
    </row>
    <row r="196" spans="1:25" ht="16.5" thickBot="1">
      <c r="A196" s="1">
        <v>60</v>
      </c>
      <c r="B196" s="173"/>
      <c r="C196" s="84" t="s">
        <v>163</v>
      </c>
      <c r="D196" s="10" t="s">
        <v>225</v>
      </c>
      <c r="E196" s="77"/>
      <c r="F196" s="77"/>
      <c r="G196" s="77"/>
      <c r="H196" s="77"/>
      <c r="I196" s="77"/>
      <c r="J196" s="77"/>
      <c r="K196" s="77"/>
      <c r="L196" s="77"/>
      <c r="M196" s="78"/>
      <c r="N196" s="5"/>
      <c r="O196" s="13"/>
      <c r="P196" s="595" t="s">
        <v>196</v>
      </c>
      <c r="Q196" s="597" t="s">
        <v>199</v>
      </c>
      <c r="R196" s="597" t="s">
        <v>200</v>
      </c>
      <c r="S196" s="597" t="s">
        <v>201</v>
      </c>
      <c r="T196" s="597" t="s">
        <v>202</v>
      </c>
      <c r="U196" s="596" t="s">
        <v>196</v>
      </c>
      <c r="V196" s="77"/>
      <c r="W196" s="77"/>
      <c r="X196" s="77"/>
      <c r="Y196" s="139"/>
    </row>
    <row r="197" spans="1:25">
      <c r="A197" s="1">
        <v>61</v>
      </c>
      <c r="B197" s="173"/>
      <c r="C197" s="5"/>
      <c r="D197" s="10" t="s">
        <v>227</v>
      </c>
      <c r="E197" s="77"/>
      <c r="F197" s="77"/>
      <c r="G197" s="77"/>
      <c r="H197" s="77"/>
      <c r="I197" s="77"/>
      <c r="J197" s="77"/>
      <c r="K197" s="77"/>
      <c r="L197" s="77"/>
      <c r="M197" s="78"/>
      <c r="N197" s="5"/>
      <c r="O197" s="138" t="s">
        <v>204</v>
      </c>
      <c r="P197" s="163"/>
      <c r="Q197" s="164"/>
      <c r="R197" s="164"/>
      <c r="S197" s="164"/>
      <c r="T197" s="164"/>
      <c r="U197" s="147"/>
      <c r="V197" s="77"/>
      <c r="W197" s="77"/>
      <c r="X197" s="77"/>
      <c r="Y197" s="139"/>
    </row>
    <row r="198" spans="1:25">
      <c r="A198" s="1">
        <v>62</v>
      </c>
      <c r="B198" s="173"/>
      <c r="C198" s="5"/>
      <c r="D198" s="10" t="s">
        <v>228</v>
      </c>
      <c r="E198" s="77"/>
      <c r="F198" s="77"/>
      <c r="G198" s="77"/>
      <c r="H198" s="77"/>
      <c r="I198" s="77"/>
      <c r="J198" s="77"/>
      <c r="K198" s="77"/>
      <c r="L198" s="77"/>
      <c r="M198" s="78"/>
      <c r="N198" s="5"/>
      <c r="O198" s="138" t="s">
        <v>205</v>
      </c>
      <c r="P198" s="165"/>
      <c r="Q198" s="166"/>
      <c r="R198" s="166"/>
      <c r="S198" s="166"/>
      <c r="T198" s="435"/>
      <c r="U198" s="150"/>
      <c r="V198" s="77"/>
      <c r="W198" s="77"/>
      <c r="X198" s="77"/>
      <c r="Y198" s="139"/>
    </row>
    <row r="199" spans="1:25">
      <c r="A199" s="1">
        <v>63</v>
      </c>
      <c r="B199" s="173"/>
      <c r="C199" s="5"/>
      <c r="D199" s="10" t="s">
        <v>229</v>
      </c>
      <c r="E199" s="77"/>
      <c r="F199" s="77"/>
      <c r="G199" s="77"/>
      <c r="H199" s="77"/>
      <c r="I199" s="77"/>
      <c r="J199" s="77"/>
      <c r="K199" s="77"/>
      <c r="L199" s="77"/>
      <c r="M199" s="78"/>
      <c r="N199" s="5"/>
      <c r="O199" s="138" t="s">
        <v>206</v>
      </c>
      <c r="P199" s="165"/>
      <c r="Q199" s="166"/>
      <c r="R199" s="166"/>
      <c r="S199" s="166"/>
      <c r="T199" s="166"/>
      <c r="U199" s="150"/>
      <c r="V199" s="77"/>
      <c r="W199" s="77"/>
      <c r="X199" s="77"/>
      <c r="Y199" s="139"/>
    </row>
    <row r="200" spans="1:25">
      <c r="A200" s="1">
        <v>64</v>
      </c>
      <c r="B200" s="173"/>
      <c r="C200" s="5"/>
      <c r="D200" s="10" t="s">
        <v>230</v>
      </c>
      <c r="E200" s="77"/>
      <c r="F200" s="77"/>
      <c r="G200" s="77"/>
      <c r="H200" s="77"/>
      <c r="I200" s="77"/>
      <c r="J200" s="77"/>
      <c r="K200" s="77"/>
      <c r="L200" s="77"/>
      <c r="M200" s="78"/>
      <c r="N200" s="5"/>
      <c r="O200" s="138" t="s">
        <v>207</v>
      </c>
      <c r="P200" s="165"/>
      <c r="Q200" s="166"/>
      <c r="R200" s="166"/>
      <c r="S200" s="166"/>
      <c r="T200" s="166"/>
      <c r="U200" s="150"/>
      <c r="V200" s="77"/>
      <c r="W200" s="77"/>
      <c r="X200" s="77"/>
      <c r="Y200" s="139"/>
    </row>
    <row r="201" spans="1:25" ht="16.5" thickBot="1">
      <c r="A201" s="1">
        <v>65</v>
      </c>
      <c r="B201" s="173"/>
      <c r="C201" s="40"/>
      <c r="D201" s="176" t="s">
        <v>231</v>
      </c>
      <c r="E201" s="77"/>
      <c r="F201" s="77"/>
      <c r="G201" s="77"/>
      <c r="H201" s="77"/>
      <c r="I201" s="77"/>
      <c r="J201" s="77"/>
      <c r="K201" s="77"/>
      <c r="L201" s="77"/>
      <c r="M201" s="78"/>
      <c r="N201" s="5"/>
      <c r="O201" s="138" t="s">
        <v>220</v>
      </c>
      <c r="P201" s="167"/>
      <c r="Q201" s="168"/>
      <c r="R201" s="168"/>
      <c r="S201" s="168"/>
      <c r="T201" s="168"/>
      <c r="U201" s="155"/>
      <c r="V201" s="77"/>
      <c r="W201" s="77"/>
      <c r="X201" s="77"/>
      <c r="Y201" s="139"/>
    </row>
    <row r="202" spans="1:25" ht="16.5" thickBot="1">
      <c r="A202" s="1">
        <v>66</v>
      </c>
      <c r="B202" s="177"/>
      <c r="C202" s="178"/>
      <c r="D202" s="178"/>
      <c r="E202" s="178"/>
      <c r="F202" s="178"/>
      <c r="G202" s="178"/>
      <c r="H202" s="178"/>
      <c r="I202" s="178"/>
      <c r="J202" s="178"/>
      <c r="K202" s="178"/>
      <c r="L202" s="178"/>
      <c r="M202" s="179"/>
      <c r="N202" s="5"/>
      <c r="O202" s="13"/>
      <c r="P202" s="5"/>
      <c r="Q202" s="10" t="s">
        <v>221</v>
      </c>
      <c r="R202" s="5"/>
      <c r="S202" s="5"/>
      <c r="T202" s="5"/>
      <c r="U202" s="40"/>
      <c r="V202" s="40"/>
      <c r="W202" s="40"/>
      <c r="X202" s="40"/>
      <c r="Y202" s="15"/>
    </row>
    <row r="203" spans="1:25" ht="16.5" thickTop="1">
      <c r="A203" s="1">
        <v>67</v>
      </c>
      <c r="B203" s="5"/>
      <c r="C203" s="79" t="s">
        <v>3</v>
      </c>
      <c r="D203" s="80" t="str">
        <f>IF($P$7="","",$P$7)</f>
        <v/>
      </c>
      <c r="E203" s="10"/>
      <c r="F203" s="10"/>
      <c r="G203" s="10"/>
      <c r="H203" s="10"/>
      <c r="I203" s="10"/>
      <c r="J203" s="10"/>
      <c r="K203" s="10"/>
      <c r="L203" s="79" t="s">
        <v>4</v>
      </c>
      <c r="M203" s="81" t="str">
        <f>IF($X$7="","",$X$7)</f>
        <v>Eugene Mah</v>
      </c>
      <c r="N203" s="5"/>
      <c r="O203" s="156"/>
      <c r="P203" s="77"/>
      <c r="Q203" s="77"/>
      <c r="R203" s="77"/>
      <c r="S203" s="77"/>
      <c r="T203" s="77"/>
      <c r="U203" s="77"/>
      <c r="V203" s="77"/>
      <c r="W203" s="77"/>
      <c r="X203" s="77"/>
      <c r="Y203" s="139"/>
    </row>
    <row r="204" spans="1:25">
      <c r="A204" s="1">
        <v>68</v>
      </c>
      <c r="B204" s="5"/>
      <c r="C204" s="79" t="s">
        <v>91</v>
      </c>
      <c r="D204" s="82" t="str">
        <f>IF($R$14="","",$R$14)</f>
        <v/>
      </c>
      <c r="E204" s="10"/>
      <c r="F204" s="10"/>
      <c r="G204" s="10"/>
      <c r="H204" s="10"/>
      <c r="I204" s="10"/>
      <c r="J204" s="10"/>
      <c r="K204" s="10"/>
      <c r="L204" s="79" t="s">
        <v>16</v>
      </c>
      <c r="M204" s="81" t="str">
        <f>IF($R$13="","",$R$13)</f>
        <v/>
      </c>
      <c r="N204" s="5"/>
      <c r="O204" s="156"/>
      <c r="P204" s="682" t="s">
        <v>209</v>
      </c>
      <c r="Q204" s="682"/>
      <c r="R204" s="682"/>
      <c r="S204" s="682"/>
      <c r="T204" s="682"/>
      <c r="U204" s="682"/>
      <c r="V204" s="77"/>
      <c r="W204" s="77"/>
      <c r="X204" s="77"/>
      <c r="Y204" s="139"/>
    </row>
    <row r="205" spans="1:25" ht="15.75" customHeight="1">
      <c r="A205" s="1">
        <v>1</v>
      </c>
      <c r="B205" s="5"/>
      <c r="C205" s="5"/>
      <c r="D205" s="5"/>
      <c r="E205" s="5"/>
      <c r="F205" s="5"/>
      <c r="G205" s="5"/>
      <c r="H205" s="5"/>
      <c r="I205" s="5"/>
      <c r="J205" s="5"/>
      <c r="K205" s="5"/>
      <c r="L205" s="5"/>
      <c r="M205" s="83" t="str">
        <f>$H$2</f>
        <v>Medical University of South Carolina</v>
      </c>
      <c r="N205" s="5"/>
      <c r="O205" s="156"/>
      <c r="P205" s="595" t="s">
        <v>196</v>
      </c>
      <c r="Q205" s="683" t="s">
        <v>197</v>
      </c>
      <c r="R205" s="680"/>
      <c r="S205" s="681"/>
      <c r="T205" s="597" t="s">
        <v>196</v>
      </c>
      <c r="U205" s="596" t="s">
        <v>198</v>
      </c>
      <c r="V205" s="77"/>
      <c r="W205" s="77"/>
      <c r="X205" s="77"/>
      <c r="Y205" s="139"/>
    </row>
    <row r="206" spans="1:25" ht="18.75" thickBot="1">
      <c r="A206" s="1">
        <v>2</v>
      </c>
      <c r="B206" s="5"/>
      <c r="C206" s="5"/>
      <c r="D206" s="5"/>
      <c r="E206" s="5"/>
      <c r="F206" s="5"/>
      <c r="G206" s="5"/>
      <c r="H206" s="27" t="s">
        <v>51</v>
      </c>
      <c r="I206" s="5"/>
      <c r="J206" s="5"/>
      <c r="K206" s="5"/>
      <c r="L206" s="5"/>
      <c r="M206" s="84" t="str">
        <f>$H$5</f>
        <v>Mammography System Compliance Inspection</v>
      </c>
      <c r="N206" s="5"/>
      <c r="O206" s="156"/>
      <c r="P206" s="595" t="s">
        <v>196</v>
      </c>
      <c r="Q206" s="597" t="s">
        <v>199</v>
      </c>
      <c r="R206" s="597" t="s">
        <v>200</v>
      </c>
      <c r="S206" s="597" t="s">
        <v>201</v>
      </c>
      <c r="T206" s="597" t="s">
        <v>202</v>
      </c>
      <c r="U206" s="596"/>
      <c r="V206" s="77"/>
      <c r="W206" s="77"/>
      <c r="X206" s="77"/>
      <c r="Y206" s="139"/>
    </row>
    <row r="207" spans="1:25" ht="16.5" thickTop="1">
      <c r="A207" s="1">
        <v>3</v>
      </c>
      <c r="B207" s="32"/>
      <c r="C207" s="34" t="str">
        <f>O232</f>
        <v>AEC Thickness Tracking – 2D</v>
      </c>
      <c r="D207" s="33"/>
      <c r="E207" s="33"/>
      <c r="F207" s="33"/>
      <c r="G207" s="33"/>
      <c r="H207" s="33"/>
      <c r="I207" s="33"/>
      <c r="J207" s="33"/>
      <c r="K207" s="33"/>
      <c r="L207" s="33"/>
      <c r="M207" s="35"/>
      <c r="N207" s="5"/>
      <c r="O207" s="138" t="s">
        <v>204</v>
      </c>
      <c r="P207" s="448" t="str">
        <f t="shared" ref="P207:U211" si="44">IF(OR(P197="",$P$172=""),"",P197/$P$172)</f>
        <v/>
      </c>
      <c r="Q207" s="449" t="str">
        <f t="shared" si="44"/>
        <v/>
      </c>
      <c r="R207" s="449" t="str">
        <f t="shared" si="44"/>
        <v/>
      </c>
      <c r="S207" s="449" t="str">
        <f t="shared" si="44"/>
        <v/>
      </c>
      <c r="T207" s="449" t="str">
        <f t="shared" si="44"/>
        <v/>
      </c>
      <c r="U207" s="450" t="str">
        <f t="shared" si="44"/>
        <v/>
      </c>
      <c r="V207" s="77"/>
      <c r="W207" s="77"/>
      <c r="X207" s="77"/>
      <c r="Y207" s="139"/>
    </row>
    <row r="208" spans="1:25">
      <c r="A208" s="1">
        <v>4</v>
      </c>
      <c r="B208" s="39"/>
      <c r="C208" s="41" t="s">
        <v>234</v>
      </c>
      <c r="D208" s="181" t="str">
        <f>IF(P233="","",P233)</f>
        <v>Auto-filter</v>
      </c>
      <c r="E208" s="5"/>
      <c r="F208" s="41" t="s">
        <v>235</v>
      </c>
      <c r="G208" s="181">
        <f>IF(S233="","",S233)</f>
        <v>2</v>
      </c>
      <c r="H208" s="5"/>
      <c r="I208" s="5"/>
      <c r="J208" s="5"/>
      <c r="K208" s="5"/>
      <c r="L208" s="5"/>
      <c r="M208" s="42"/>
      <c r="N208" s="5"/>
      <c r="O208" s="138" t="s">
        <v>205</v>
      </c>
      <c r="P208" s="451" t="str">
        <f t="shared" si="44"/>
        <v/>
      </c>
      <c r="Q208" s="452" t="str">
        <f t="shared" si="44"/>
        <v/>
      </c>
      <c r="R208" s="452" t="str">
        <f t="shared" si="44"/>
        <v/>
      </c>
      <c r="S208" s="452" t="str">
        <f t="shared" si="44"/>
        <v/>
      </c>
      <c r="T208" s="452" t="str">
        <f t="shared" si="44"/>
        <v/>
      </c>
      <c r="U208" s="453" t="str">
        <f t="shared" si="44"/>
        <v/>
      </c>
      <c r="V208" s="77"/>
      <c r="W208" s="77"/>
      <c r="X208" s="77"/>
      <c r="Y208" s="139"/>
    </row>
    <row r="209" spans="1:25">
      <c r="A209" s="1">
        <v>5</v>
      </c>
      <c r="B209" s="39"/>
      <c r="C209" s="5"/>
      <c r="D209" s="16" t="s">
        <v>47</v>
      </c>
      <c r="E209" s="5"/>
      <c r="F209" s="5"/>
      <c r="G209" s="5"/>
      <c r="H209" s="5"/>
      <c r="I209" s="16" t="s">
        <v>236</v>
      </c>
      <c r="J209" s="5"/>
      <c r="K209" s="47"/>
      <c r="L209" s="5"/>
      <c r="M209" s="42"/>
      <c r="N209" s="5"/>
      <c r="O209" s="138" t="s">
        <v>206</v>
      </c>
      <c r="P209" s="451" t="str">
        <f t="shared" si="44"/>
        <v/>
      </c>
      <c r="Q209" s="452" t="str">
        <f t="shared" si="44"/>
        <v/>
      </c>
      <c r="R209" s="452" t="str">
        <f t="shared" si="44"/>
        <v/>
      </c>
      <c r="S209" s="452" t="str">
        <f t="shared" si="44"/>
        <v/>
      </c>
      <c r="T209" s="452" t="str">
        <f t="shared" si="44"/>
        <v/>
      </c>
      <c r="U209" s="453" t="str">
        <f t="shared" si="44"/>
        <v/>
      </c>
      <c r="V209" s="77"/>
      <c r="W209" s="77"/>
      <c r="X209" s="77"/>
      <c r="Y209" s="139"/>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8" t="s">
        <v>207</v>
      </c>
      <c r="P210" s="451" t="str">
        <f t="shared" si="44"/>
        <v/>
      </c>
      <c r="Q210" s="452" t="str">
        <f t="shared" si="44"/>
        <v/>
      </c>
      <c r="R210" s="452" t="str">
        <f t="shared" si="44"/>
        <v/>
      </c>
      <c r="S210" s="452" t="str">
        <f t="shared" si="44"/>
        <v/>
      </c>
      <c r="T210" s="452" t="str">
        <f t="shared" si="44"/>
        <v/>
      </c>
      <c r="U210" s="453" t="str">
        <f t="shared" si="44"/>
        <v/>
      </c>
      <c r="V210" s="77"/>
      <c r="W210" s="77"/>
      <c r="X210" s="77"/>
      <c r="Y210" s="139"/>
    </row>
    <row r="211" spans="1:25" ht="16.5" thickBot="1">
      <c r="A211" s="1">
        <v>7</v>
      </c>
      <c r="B211" s="39"/>
      <c r="C211" s="5"/>
      <c r="D211" s="182">
        <f t="shared" ref="D211:H218" si="45">IF(P236="","",P236)</f>
        <v>2</v>
      </c>
      <c r="E211" s="183" t="str">
        <f t="shared" si="45"/>
        <v/>
      </c>
      <c r="F211" s="183" t="str">
        <f t="shared" si="45"/>
        <v/>
      </c>
      <c r="G211" s="183" t="str">
        <f t="shared" si="45"/>
        <v/>
      </c>
      <c r="H211" s="183" t="str">
        <f t="shared" si="45"/>
        <v/>
      </c>
      <c r="I211" s="183" t="str">
        <f t="shared" ref="I211:J218" si="46">IF(V236="","",V236)</f>
        <v/>
      </c>
      <c r="J211" s="443" t="str">
        <f t="shared" si="46"/>
        <v/>
      </c>
      <c r="K211" s="47"/>
      <c r="L211" s="5"/>
      <c r="M211" s="42"/>
      <c r="N211" s="5"/>
      <c r="O211" s="138" t="s">
        <v>220</v>
      </c>
      <c r="P211" s="454" t="str">
        <f t="shared" si="44"/>
        <v/>
      </c>
      <c r="Q211" s="455" t="str">
        <f t="shared" si="44"/>
        <v/>
      </c>
      <c r="R211" s="455" t="str">
        <f t="shared" si="44"/>
        <v/>
      </c>
      <c r="S211" s="455" t="str">
        <f t="shared" si="44"/>
        <v/>
      </c>
      <c r="T211" s="455" t="str">
        <f t="shared" si="44"/>
        <v/>
      </c>
      <c r="U211" s="456" t="str">
        <f t="shared" si="44"/>
        <v/>
      </c>
      <c r="V211" s="77"/>
      <c r="W211" s="77"/>
      <c r="X211" s="77"/>
      <c r="Y211" s="139"/>
    </row>
    <row r="212" spans="1:25">
      <c r="A212" s="1">
        <v>8</v>
      </c>
      <c r="B212" s="39"/>
      <c r="C212" s="5"/>
      <c r="D212" s="185">
        <f t="shared" si="45"/>
        <v>4</v>
      </c>
      <c r="E212" s="121" t="str">
        <f t="shared" si="45"/>
        <v/>
      </c>
      <c r="F212" s="121" t="str">
        <f t="shared" si="45"/>
        <v/>
      </c>
      <c r="G212" s="121" t="str">
        <f t="shared" si="45"/>
        <v/>
      </c>
      <c r="H212" s="121" t="str">
        <f t="shared" si="45"/>
        <v/>
      </c>
      <c r="I212" s="121" t="str">
        <f t="shared" si="46"/>
        <v/>
      </c>
      <c r="J212" s="439" t="str">
        <f t="shared" si="46"/>
        <v/>
      </c>
      <c r="K212" s="47"/>
      <c r="L212" s="5"/>
      <c r="M212" s="42"/>
      <c r="N212" s="5"/>
      <c r="O212" s="51"/>
      <c r="P212" s="175" t="s">
        <v>118</v>
      </c>
      <c r="Q212" s="77"/>
      <c r="R212" s="77"/>
      <c r="S212" s="77"/>
      <c r="T212" s="77"/>
      <c r="U212" s="77"/>
      <c r="V212" s="77"/>
      <c r="W212" s="77"/>
      <c r="X212" s="77"/>
      <c r="Y212" s="15"/>
    </row>
    <row r="213" spans="1:25">
      <c r="A213" s="1">
        <v>9</v>
      </c>
      <c r="B213" s="39"/>
      <c r="C213" s="5"/>
      <c r="D213" s="185">
        <f t="shared" si="45"/>
        <v>4</v>
      </c>
      <c r="E213" s="121">
        <f t="shared" si="45"/>
        <v>0</v>
      </c>
      <c r="F213" s="121">
        <f t="shared" si="45"/>
        <v>0</v>
      </c>
      <c r="G213" s="121" t="str">
        <f t="shared" si="45"/>
        <v/>
      </c>
      <c r="H213" s="121" t="str">
        <f t="shared" si="45"/>
        <v/>
      </c>
      <c r="I213" s="121" t="str">
        <f t="shared" si="46"/>
        <v/>
      </c>
      <c r="J213" s="439" t="str">
        <f t="shared" si="46"/>
        <v/>
      </c>
      <c r="K213" s="47"/>
      <c r="L213" s="5"/>
      <c r="M213" s="42"/>
      <c r="N213" s="5"/>
      <c r="O213" s="51"/>
      <c r="P213" s="175" t="s">
        <v>226</v>
      </c>
      <c r="Q213" s="77"/>
      <c r="R213" s="77"/>
      <c r="S213" s="77"/>
      <c r="T213" s="77"/>
      <c r="U213" s="77"/>
      <c r="V213" s="77"/>
      <c r="W213" s="77"/>
      <c r="X213" s="77"/>
      <c r="Y213" s="15"/>
    </row>
    <row r="214" spans="1:25">
      <c r="A214" s="1">
        <v>10</v>
      </c>
      <c r="B214" s="39"/>
      <c r="C214" s="5"/>
      <c r="D214" s="185">
        <f t="shared" si="45"/>
        <v>4</v>
      </c>
      <c r="E214" s="121">
        <f t="shared" si="45"/>
        <v>0</v>
      </c>
      <c r="F214" s="121">
        <f t="shared" si="45"/>
        <v>0</v>
      </c>
      <c r="G214" s="121" t="str">
        <f t="shared" si="45"/>
        <v/>
      </c>
      <c r="H214" s="121" t="str">
        <f t="shared" si="45"/>
        <v/>
      </c>
      <c r="I214" s="121" t="str">
        <f t="shared" si="46"/>
        <v/>
      </c>
      <c r="J214" s="439" t="str">
        <f t="shared" si="46"/>
        <v/>
      </c>
      <c r="K214" s="47"/>
      <c r="L214" s="5"/>
      <c r="M214" s="42"/>
      <c r="N214" s="5"/>
      <c r="O214" s="156"/>
      <c r="P214" s="77"/>
      <c r="Q214" s="77"/>
      <c r="R214" s="77"/>
      <c r="S214" s="77"/>
      <c r="T214" s="77"/>
      <c r="U214" s="77"/>
      <c r="V214" s="77"/>
      <c r="W214" s="77"/>
      <c r="X214" s="77"/>
      <c r="Y214" s="15"/>
    </row>
    <row r="215" spans="1:25">
      <c r="A215" s="1">
        <v>11</v>
      </c>
      <c r="B215" s="39"/>
      <c r="C215" s="5"/>
      <c r="D215" s="185">
        <f t="shared" si="45"/>
        <v>4</v>
      </c>
      <c r="E215" s="121">
        <f t="shared" si="45"/>
        <v>0</v>
      </c>
      <c r="F215" s="121">
        <f t="shared" si="45"/>
        <v>0</v>
      </c>
      <c r="G215" s="121" t="str">
        <f t="shared" si="45"/>
        <v/>
      </c>
      <c r="H215" s="121" t="str">
        <f t="shared" si="45"/>
        <v/>
      </c>
      <c r="I215" s="121" t="str">
        <f t="shared" si="46"/>
        <v/>
      </c>
      <c r="J215" s="439" t="str">
        <f t="shared" si="46"/>
        <v/>
      </c>
      <c r="K215" s="47"/>
      <c r="L215" s="5"/>
      <c r="M215" s="42"/>
      <c r="N215" s="5"/>
      <c r="O215" s="13"/>
      <c r="P215" s="84" t="s">
        <v>163</v>
      </c>
      <c r="Q215" s="10" t="s">
        <v>227</v>
      </c>
      <c r="R215" s="5"/>
      <c r="S215" s="5"/>
      <c r="T215" s="5"/>
      <c r="U215" s="40"/>
      <c r="V215" s="40"/>
      <c r="W215" s="40"/>
      <c r="X215" s="40"/>
      <c r="Y215" s="15"/>
    </row>
    <row r="216" spans="1:25">
      <c r="A216" s="1">
        <v>12</v>
      </c>
      <c r="B216" s="39"/>
      <c r="C216" s="5"/>
      <c r="D216" s="185">
        <f t="shared" si="45"/>
        <v>6</v>
      </c>
      <c r="E216" s="121" t="str">
        <f t="shared" si="45"/>
        <v/>
      </c>
      <c r="F216" s="121" t="str">
        <f t="shared" si="45"/>
        <v/>
      </c>
      <c r="G216" s="121" t="str">
        <f t="shared" si="45"/>
        <v/>
      </c>
      <c r="H216" s="121" t="str">
        <f t="shared" si="45"/>
        <v/>
      </c>
      <c r="I216" s="121" t="str">
        <f t="shared" si="46"/>
        <v/>
      </c>
      <c r="J216" s="439" t="str">
        <f t="shared" si="46"/>
        <v/>
      </c>
      <c r="K216" s="47"/>
      <c r="L216" s="5"/>
      <c r="M216" s="42"/>
      <c r="N216" s="5"/>
      <c r="O216" s="13"/>
      <c r="P216" s="5"/>
      <c r="Q216" s="10" t="s">
        <v>228</v>
      </c>
      <c r="R216" s="5"/>
      <c r="S216" s="5"/>
      <c r="T216" s="5"/>
      <c r="U216" s="5"/>
      <c r="V216" s="5"/>
      <c r="W216" s="5"/>
      <c r="X216" s="5"/>
      <c r="Y216" s="15"/>
    </row>
    <row r="217" spans="1:25">
      <c r="A217" s="1">
        <v>13</v>
      </c>
      <c r="B217" s="39"/>
      <c r="C217" s="5"/>
      <c r="D217" s="185">
        <f t="shared" si="45"/>
        <v>8</v>
      </c>
      <c r="E217" s="121" t="str">
        <f t="shared" si="45"/>
        <v/>
      </c>
      <c r="F217" s="121" t="str">
        <f t="shared" si="45"/>
        <v/>
      </c>
      <c r="G217" s="121" t="str">
        <f t="shared" si="45"/>
        <v/>
      </c>
      <c r="H217" s="121" t="str">
        <f t="shared" si="45"/>
        <v/>
      </c>
      <c r="I217" s="121" t="str">
        <f t="shared" si="46"/>
        <v/>
      </c>
      <c r="J217" s="439" t="str">
        <f t="shared" si="46"/>
        <v/>
      </c>
      <c r="K217" s="47"/>
      <c r="L217" s="5"/>
      <c r="M217" s="42"/>
      <c r="N217" s="5"/>
      <c r="O217" s="13"/>
      <c r="P217" s="5"/>
      <c r="Q217" s="10" t="s">
        <v>229</v>
      </c>
      <c r="R217" s="5"/>
      <c r="S217" s="5"/>
      <c r="T217" s="5"/>
      <c r="U217" s="5"/>
      <c r="V217" s="5"/>
      <c r="W217" s="5"/>
      <c r="X217" s="5"/>
      <c r="Y217" s="15"/>
    </row>
    <row r="218" spans="1:25" ht="16.5" thickBot="1">
      <c r="A218" s="1">
        <v>14</v>
      </c>
      <c r="B218" s="39"/>
      <c r="C218" s="5"/>
      <c r="D218" s="188">
        <f t="shared" si="45"/>
        <v>4</v>
      </c>
      <c r="E218" s="189" t="str">
        <f t="shared" si="45"/>
        <v/>
      </c>
      <c r="F218" s="189" t="str">
        <f t="shared" si="45"/>
        <v/>
      </c>
      <c r="G218" s="189" t="str">
        <f t="shared" si="45"/>
        <v/>
      </c>
      <c r="H218" s="189" t="str">
        <f t="shared" si="45"/>
        <v/>
      </c>
      <c r="I218" s="189" t="str">
        <f t="shared" si="46"/>
        <v/>
      </c>
      <c r="J218" s="447" t="str">
        <f t="shared" si="46"/>
        <v/>
      </c>
      <c r="K218" s="47"/>
      <c r="L218" s="5"/>
      <c r="M218" s="42"/>
      <c r="N218" s="5"/>
      <c r="O218" s="13"/>
      <c r="P218" s="5"/>
      <c r="Q218" s="10" t="s">
        <v>230</v>
      </c>
      <c r="R218" s="5"/>
      <c r="S218" s="5"/>
      <c r="T218" s="5"/>
      <c r="U218" s="5"/>
      <c r="V218" s="5"/>
      <c r="W218" s="5"/>
      <c r="X218" s="5"/>
      <c r="Y218" s="15"/>
    </row>
    <row r="219" spans="1:25" ht="16.5" thickBot="1">
      <c r="A219" s="1">
        <v>15</v>
      </c>
      <c r="B219" s="39"/>
      <c r="C219" s="5"/>
      <c r="D219" s="5"/>
      <c r="E219" s="5"/>
      <c r="F219" s="5"/>
      <c r="G219" s="41" t="s">
        <v>251</v>
      </c>
      <c r="H219" s="190" t="str">
        <f>IF(U244="","",U244)</f>
        <v/>
      </c>
      <c r="I219" s="5"/>
      <c r="J219" s="190" t="str">
        <f>IF(W244="","",W244)</f>
        <v/>
      </c>
      <c r="K219" s="47"/>
      <c r="L219" s="5"/>
      <c r="M219" s="42"/>
      <c r="N219" s="5"/>
      <c r="O219" s="13"/>
      <c r="P219" s="5"/>
      <c r="Q219" s="10" t="s">
        <v>231</v>
      </c>
      <c r="R219" s="5"/>
      <c r="S219" s="5"/>
      <c r="T219" s="5"/>
      <c r="U219" s="5"/>
      <c r="V219" s="5"/>
      <c r="W219" s="5"/>
      <c r="X219" s="5"/>
      <c r="Y219" s="15"/>
    </row>
    <row r="220" spans="1:25" ht="16.5" thickBot="1">
      <c r="A220" s="1">
        <v>16</v>
      </c>
      <c r="B220" s="39"/>
      <c r="C220" s="5"/>
      <c r="D220" s="84" t="s">
        <v>163</v>
      </c>
      <c r="E220" s="10" t="s">
        <v>252</v>
      </c>
      <c r="F220" s="5"/>
      <c r="G220" s="5"/>
      <c r="H220" s="5"/>
      <c r="I220" s="5"/>
      <c r="J220" s="5"/>
      <c r="K220" s="5"/>
      <c r="L220" s="5"/>
      <c r="M220" s="42"/>
      <c r="N220" s="5"/>
      <c r="O220" s="20"/>
      <c r="P220" s="21"/>
      <c r="Q220" s="180"/>
      <c r="R220" s="21"/>
      <c r="S220" s="21"/>
      <c r="T220" s="21"/>
      <c r="U220" s="21"/>
      <c r="V220" s="21"/>
      <c r="W220" s="21"/>
      <c r="X220" s="21"/>
      <c r="Y220" s="22"/>
    </row>
    <row r="221" spans="1:25">
      <c r="A221" s="1">
        <v>17</v>
      </c>
      <c r="B221" s="39"/>
      <c r="C221" s="5"/>
      <c r="D221" s="5"/>
      <c r="E221" s="5"/>
      <c r="F221" s="5"/>
      <c r="G221" s="5"/>
      <c r="H221" s="5"/>
      <c r="I221" s="5"/>
      <c r="J221" s="5"/>
      <c r="K221" s="5"/>
      <c r="L221" s="5"/>
      <c r="M221" s="42"/>
      <c r="N221" s="5"/>
      <c r="O221" s="112" t="s">
        <v>232</v>
      </c>
      <c r="P221" s="5"/>
      <c r="Q221" s="600" t="s">
        <v>648</v>
      </c>
      <c r="R221" s="600" t="s">
        <v>649</v>
      </c>
      <c r="S221" s="600" t="s">
        <v>648</v>
      </c>
      <c r="T221" s="600" t="s">
        <v>649</v>
      </c>
      <c r="U221" s="5"/>
      <c r="V221" s="5"/>
      <c r="W221" s="5"/>
      <c r="X221" s="5"/>
      <c r="Y221" s="15"/>
    </row>
    <row r="222" spans="1:25">
      <c r="A222" s="1">
        <v>18</v>
      </c>
      <c r="B222" s="173"/>
      <c r="C222" s="45" t="str">
        <f>O247</f>
        <v>AEC Thickness Tracking – 3D</v>
      </c>
      <c r="D222" s="77"/>
      <c r="E222" s="77"/>
      <c r="F222" s="77"/>
      <c r="G222" s="77"/>
      <c r="H222" s="77"/>
      <c r="I222" s="77"/>
      <c r="J222" s="77"/>
      <c r="K222" s="77"/>
      <c r="L222" s="77"/>
      <c r="M222" s="78"/>
      <c r="N222" s="5"/>
      <c r="O222" s="13"/>
      <c r="P222" s="41" t="s">
        <v>233</v>
      </c>
      <c r="Q222" s="111"/>
      <c r="R222" s="111"/>
      <c r="S222" s="111"/>
      <c r="T222" s="111"/>
      <c r="U222" s="77"/>
      <c r="V222" s="77"/>
      <c r="W222" s="77"/>
      <c r="X222" s="77"/>
      <c r="Y222" s="15"/>
    </row>
    <row r="223" spans="1:25">
      <c r="A223" s="1">
        <v>19</v>
      </c>
      <c r="B223" s="173"/>
      <c r="C223" s="41" t="s">
        <v>234</v>
      </c>
      <c r="D223" s="181" t="str">
        <f>IF(P248="","",P248)</f>
        <v>Auto-filter</v>
      </c>
      <c r="E223" s="5"/>
      <c r="F223" s="41" t="s">
        <v>235</v>
      </c>
      <c r="G223" s="181">
        <f>IF(S248="","",S248)</f>
        <v>2</v>
      </c>
      <c r="H223" s="5"/>
      <c r="I223" s="5"/>
      <c r="J223" s="5"/>
      <c r="K223" s="77"/>
      <c r="L223" s="77"/>
      <c r="M223" s="78"/>
      <c r="N223" s="5"/>
      <c r="O223" s="13"/>
      <c r="P223" s="41" t="s">
        <v>29</v>
      </c>
      <c r="Q223" s="111"/>
      <c r="R223" s="111"/>
      <c r="S223" s="111"/>
      <c r="T223" s="111"/>
      <c r="U223" s="5"/>
      <c r="V223" s="5"/>
      <c r="W223" s="5"/>
      <c r="X223" s="5"/>
      <c r="Y223" s="15"/>
    </row>
    <row r="224" spans="1:25">
      <c r="A224" s="1">
        <v>20</v>
      </c>
      <c r="B224" s="173"/>
      <c r="C224" s="5"/>
      <c r="D224" s="16" t="s">
        <v>47</v>
      </c>
      <c r="E224" s="5"/>
      <c r="F224" s="5"/>
      <c r="G224" s="5"/>
      <c r="H224" s="5"/>
      <c r="I224" s="16" t="s">
        <v>236</v>
      </c>
      <c r="J224" s="5"/>
      <c r="K224" s="77"/>
      <c r="L224" s="77"/>
      <c r="M224" s="78"/>
      <c r="N224" s="5"/>
      <c r="O224" s="13"/>
      <c r="P224" s="41" t="s">
        <v>177</v>
      </c>
      <c r="Q224" s="111"/>
      <c r="R224" s="111"/>
      <c r="S224" s="111"/>
      <c r="T224" s="111"/>
      <c r="U224" s="5"/>
      <c r="V224" s="5"/>
      <c r="W224" s="5"/>
      <c r="X224" s="5"/>
      <c r="Y224" s="15"/>
    </row>
    <row r="225" spans="1:25" ht="16.5" thickBot="1">
      <c r="A225" s="1">
        <v>21</v>
      </c>
      <c r="B225" s="173"/>
      <c r="C225" s="5"/>
      <c r="D225" s="16" t="s">
        <v>238</v>
      </c>
      <c r="E225" s="16" t="s">
        <v>239</v>
      </c>
      <c r="F225" s="16" t="s">
        <v>240</v>
      </c>
      <c r="G225" s="16" t="s">
        <v>50</v>
      </c>
      <c r="H225" s="16" t="s">
        <v>241</v>
      </c>
      <c r="I225" s="16" t="s">
        <v>242</v>
      </c>
      <c r="J225" s="16" t="s">
        <v>243</v>
      </c>
      <c r="K225" s="77"/>
      <c r="L225" s="77"/>
      <c r="M225" s="78"/>
      <c r="N225" s="5"/>
      <c r="O225" s="13"/>
      <c r="P225" s="41" t="s">
        <v>178</v>
      </c>
      <c r="Q225" s="111"/>
      <c r="R225" s="111"/>
      <c r="S225" s="111"/>
      <c r="T225" s="111"/>
      <c r="U225" s="5"/>
      <c r="V225" s="5"/>
      <c r="W225" s="5"/>
      <c r="X225" s="5"/>
      <c r="Y225" s="15"/>
    </row>
    <row r="226" spans="1:25">
      <c r="A226" s="1">
        <v>22</v>
      </c>
      <c r="B226" s="173"/>
      <c r="C226" s="5"/>
      <c r="D226" s="182">
        <f t="shared" ref="D226:H232" si="47">IF(P251="","",P251)</f>
        <v>2</v>
      </c>
      <c r="E226" s="183" t="str">
        <f t="shared" si="47"/>
        <v/>
      </c>
      <c r="F226" s="183" t="str">
        <f t="shared" si="47"/>
        <v/>
      </c>
      <c r="G226" s="183" t="str">
        <f t="shared" si="47"/>
        <v/>
      </c>
      <c r="H226" s="183" t="str">
        <f t="shared" si="47"/>
        <v/>
      </c>
      <c r="I226" s="183" t="str">
        <f t="shared" ref="I226:J232" si="48">IF(V251="","",V251)</f>
        <v/>
      </c>
      <c r="J226" s="443" t="str">
        <f t="shared" si="48"/>
        <v/>
      </c>
      <c r="K226" s="77"/>
      <c r="L226" s="77"/>
      <c r="M226" s="78"/>
      <c r="N226" s="5"/>
      <c r="O226" s="13"/>
      <c r="P226" s="41" t="s">
        <v>237</v>
      </c>
      <c r="Q226" s="111"/>
      <c r="R226" s="111"/>
      <c r="S226" s="111"/>
      <c r="T226" s="111"/>
      <c r="U226" s="5"/>
      <c r="V226" s="5"/>
      <c r="W226" s="5"/>
      <c r="X226" s="5"/>
      <c r="Y226" s="15"/>
    </row>
    <row r="227" spans="1:25">
      <c r="A227" s="1">
        <v>23</v>
      </c>
      <c r="B227" s="173"/>
      <c r="C227" s="5"/>
      <c r="D227" s="185">
        <f t="shared" si="47"/>
        <v>4</v>
      </c>
      <c r="E227" s="121" t="str">
        <f t="shared" si="47"/>
        <v/>
      </c>
      <c r="F227" s="121" t="str">
        <f t="shared" si="47"/>
        <v/>
      </c>
      <c r="G227" s="121" t="str">
        <f t="shared" si="47"/>
        <v/>
      </c>
      <c r="H227" s="121" t="str">
        <f t="shared" si="47"/>
        <v/>
      </c>
      <c r="I227" s="121" t="str">
        <f t="shared" si="48"/>
        <v/>
      </c>
      <c r="J227" s="439" t="str">
        <f t="shared" si="48"/>
        <v/>
      </c>
      <c r="K227" s="77"/>
      <c r="L227" s="77"/>
      <c r="M227" s="78"/>
      <c r="N227" s="5"/>
      <c r="O227" s="13"/>
      <c r="P227" s="41" t="s">
        <v>180</v>
      </c>
      <c r="Q227" s="121" t="str">
        <f>IF(Q226="","",IF(AND(Q222="2D",Q226&gt;=7),"Pass",IF(AND(Q222="3D",Q226&gt;=3),"Pass","Fail")))</f>
        <v/>
      </c>
      <c r="R227" s="121" t="str">
        <f>IF(R226="","",IF(AND(R222="2D",R226&gt;=7),"Pass",IF(AND(R222="3D",R226&gt;=3),"Pass","Fail")))</f>
        <v/>
      </c>
      <c r="S227" s="121" t="str">
        <f>IF(S226="","",IF(AND(S222="2D",S226&gt;=7),"Pass",IF(AND(S222="3D",S226&gt;=3),"Pass","Fail")))</f>
        <v/>
      </c>
      <c r="T227" s="121" t="str">
        <f>IF(T226="","",IF(AND(T222="2D",T226&gt;=7),"Pass",IF(AND(T222="3D",T226&gt;=3),"Pass","Fail")))</f>
        <v/>
      </c>
      <c r="U227" s="5"/>
      <c r="V227" s="5"/>
      <c r="W227" s="5"/>
      <c r="X227" s="5"/>
      <c r="Y227" s="15"/>
    </row>
    <row r="228" spans="1:25">
      <c r="A228" s="1">
        <v>24</v>
      </c>
      <c r="B228" s="173"/>
      <c r="C228" s="5"/>
      <c r="D228" s="185">
        <f t="shared" si="47"/>
        <v>4</v>
      </c>
      <c r="E228" s="121">
        <f t="shared" si="47"/>
        <v>0</v>
      </c>
      <c r="F228" s="121">
        <f t="shared" si="47"/>
        <v>0</v>
      </c>
      <c r="G228" s="121" t="str">
        <f t="shared" si="47"/>
        <v/>
      </c>
      <c r="H228" s="121" t="str">
        <f t="shared" si="47"/>
        <v/>
      </c>
      <c r="I228" s="121" t="str">
        <f t="shared" si="48"/>
        <v/>
      </c>
      <c r="J228" s="439" t="str">
        <f t="shared" si="48"/>
        <v/>
      </c>
      <c r="K228" s="77"/>
      <c r="L228" s="77"/>
      <c r="M228" s="78"/>
      <c r="N228" s="5"/>
      <c r="O228" s="13"/>
      <c r="P228" s="41" t="s">
        <v>244</v>
      </c>
      <c r="Q228" s="184" t="str">
        <f>IF(AB94="","",AB94)</f>
        <v/>
      </c>
      <c r="R228" s="184" t="str">
        <f>IF(AB95="","",AB95)</f>
        <v/>
      </c>
      <c r="S228" s="184" t="str">
        <f>IF(AB96="","",AB96)</f>
        <v/>
      </c>
      <c r="T228" s="184" t="str">
        <f>IF(AC96="","",AC96)</f>
        <v/>
      </c>
      <c r="U228" s="77"/>
      <c r="V228" s="77"/>
      <c r="W228" s="77"/>
      <c r="X228" s="77"/>
      <c r="Y228" s="15"/>
    </row>
    <row r="229" spans="1:25">
      <c r="A229" s="1">
        <v>25</v>
      </c>
      <c r="B229" s="173"/>
      <c r="C229" s="5"/>
      <c r="D229" s="185">
        <f t="shared" si="47"/>
        <v>4</v>
      </c>
      <c r="E229" s="121">
        <f t="shared" si="47"/>
        <v>0</v>
      </c>
      <c r="F229" s="121">
        <f t="shared" si="47"/>
        <v>0</v>
      </c>
      <c r="G229" s="121" t="str">
        <f t="shared" si="47"/>
        <v/>
      </c>
      <c r="H229" s="121" t="str">
        <f t="shared" si="47"/>
        <v/>
      </c>
      <c r="I229" s="121" t="str">
        <f t="shared" si="48"/>
        <v/>
      </c>
      <c r="J229" s="439" t="str">
        <f t="shared" si="48"/>
        <v/>
      </c>
      <c r="K229" s="77"/>
      <c r="L229" s="77"/>
      <c r="M229" s="78"/>
      <c r="N229" s="5"/>
      <c r="O229" s="13"/>
      <c r="P229" s="77"/>
      <c r="Q229" s="77"/>
      <c r="R229" s="77"/>
      <c r="S229" s="77"/>
      <c r="T229" s="77"/>
      <c r="U229" s="77"/>
      <c r="V229" s="77"/>
      <c r="W229" s="77"/>
      <c r="X229" s="77"/>
      <c r="Y229" s="15"/>
    </row>
    <row r="230" spans="1:25">
      <c r="A230" s="1">
        <v>26</v>
      </c>
      <c r="B230" s="173"/>
      <c r="C230" s="5"/>
      <c r="D230" s="185">
        <f t="shared" si="47"/>
        <v>4</v>
      </c>
      <c r="E230" s="121">
        <f t="shared" si="47"/>
        <v>0</v>
      </c>
      <c r="F230" s="121">
        <f t="shared" si="47"/>
        <v>0</v>
      </c>
      <c r="G230" s="121" t="str">
        <f t="shared" si="47"/>
        <v/>
      </c>
      <c r="H230" s="121" t="str">
        <f t="shared" si="47"/>
        <v/>
      </c>
      <c r="I230" s="121" t="str">
        <f t="shared" si="48"/>
        <v/>
      </c>
      <c r="J230" s="439" t="str">
        <f t="shared" si="48"/>
        <v/>
      </c>
      <c r="K230" s="77"/>
      <c r="L230" s="77"/>
      <c r="M230" s="78"/>
      <c r="N230" s="5"/>
      <c r="O230" s="13"/>
      <c r="P230" s="186" t="s">
        <v>163</v>
      </c>
      <c r="Q230" s="176" t="s">
        <v>245</v>
      </c>
      <c r="R230" s="40"/>
      <c r="S230" s="40"/>
      <c r="T230" s="40"/>
      <c r="U230" s="40"/>
      <c r="V230" s="40"/>
      <c r="W230" s="40"/>
      <c r="X230" s="40"/>
      <c r="Y230" s="15"/>
    </row>
    <row r="231" spans="1:25" ht="16.5" thickBot="1">
      <c r="A231" s="1">
        <v>27</v>
      </c>
      <c r="B231" s="173"/>
      <c r="C231" s="5"/>
      <c r="D231" s="185">
        <f t="shared" si="47"/>
        <v>6</v>
      </c>
      <c r="E231" s="121" t="str">
        <f t="shared" si="47"/>
        <v/>
      </c>
      <c r="F231" s="121" t="str">
        <f t="shared" si="47"/>
        <v/>
      </c>
      <c r="G231" s="121" t="str">
        <f t="shared" si="47"/>
        <v/>
      </c>
      <c r="H231" s="121" t="str">
        <f t="shared" si="47"/>
        <v/>
      </c>
      <c r="I231" s="121" t="str">
        <f t="shared" si="48"/>
        <v/>
      </c>
      <c r="J231" s="439" t="str">
        <f t="shared" si="48"/>
        <v/>
      </c>
      <c r="K231" s="77"/>
      <c r="L231" s="77"/>
      <c r="M231" s="78"/>
      <c r="N231" s="5"/>
      <c r="O231" s="20"/>
      <c r="P231" s="21"/>
      <c r="Q231" s="180" t="s">
        <v>246</v>
      </c>
      <c r="R231" s="21"/>
      <c r="S231" s="21"/>
      <c r="T231" s="21"/>
      <c r="U231" s="21"/>
      <c r="V231" s="21"/>
      <c r="W231" s="21"/>
      <c r="X231" s="21"/>
      <c r="Y231" s="22"/>
    </row>
    <row r="232" spans="1:25" ht="16.5" thickBot="1">
      <c r="A232" s="1">
        <v>28</v>
      </c>
      <c r="B232" s="173"/>
      <c r="C232" s="5"/>
      <c r="D232" s="188">
        <f t="shared" si="47"/>
        <v>8</v>
      </c>
      <c r="E232" s="189" t="str">
        <f t="shared" si="47"/>
        <v/>
      </c>
      <c r="F232" s="189" t="str">
        <f t="shared" si="47"/>
        <v/>
      </c>
      <c r="G232" s="189" t="str">
        <f t="shared" si="47"/>
        <v/>
      </c>
      <c r="H232" s="189" t="str">
        <f t="shared" si="47"/>
        <v/>
      </c>
      <c r="I232" s="189" t="str">
        <f t="shared" si="48"/>
        <v/>
      </c>
      <c r="J232" s="447" t="str">
        <f t="shared" si="48"/>
        <v/>
      </c>
      <c r="K232" s="77"/>
      <c r="L232" s="77"/>
      <c r="M232" s="78"/>
      <c r="N232" s="5"/>
      <c r="O232" s="112" t="s">
        <v>247</v>
      </c>
      <c r="P232" s="5"/>
      <c r="Q232" s="5"/>
      <c r="R232" s="5"/>
      <c r="S232" s="5"/>
      <c r="T232" s="5"/>
      <c r="U232" s="5"/>
      <c r="V232" s="5"/>
      <c r="W232" s="5"/>
      <c r="X232" s="5"/>
      <c r="Y232" s="15"/>
    </row>
    <row r="233" spans="1:25" ht="16.5" thickBot="1">
      <c r="A233" s="1">
        <v>29</v>
      </c>
      <c r="B233" s="173"/>
      <c r="C233" s="5"/>
      <c r="D233" s="5"/>
      <c r="E233" s="5"/>
      <c r="F233" s="5"/>
      <c r="G233" s="41" t="s">
        <v>251</v>
      </c>
      <c r="H233" s="190" t="str">
        <f>IF(U258="","",U258)</f>
        <v/>
      </c>
      <c r="I233" s="5"/>
      <c r="J233" s="190" t="str">
        <f>IF(W258="","",W258)</f>
        <v/>
      </c>
      <c r="K233" s="77"/>
      <c r="L233" s="77"/>
      <c r="M233" s="78"/>
      <c r="N233" s="5"/>
      <c r="O233" s="13" t="s">
        <v>234</v>
      </c>
      <c r="P233" s="187" t="s">
        <v>702</v>
      </c>
      <c r="Q233" s="5"/>
      <c r="R233" s="41" t="s">
        <v>235</v>
      </c>
      <c r="S233" s="113">
        <v>2</v>
      </c>
      <c r="T233" s="5"/>
      <c r="U233" s="41" t="s">
        <v>248</v>
      </c>
      <c r="V233" s="113">
        <v>4</v>
      </c>
      <c r="W233" s="5" t="s">
        <v>249</v>
      </c>
      <c r="X233" s="5"/>
      <c r="Y233" s="15"/>
    </row>
    <row r="234" spans="1:25">
      <c r="A234" s="1">
        <v>30</v>
      </c>
      <c r="B234" s="173"/>
      <c r="C234" s="5"/>
      <c r="D234" s="84" t="s">
        <v>163</v>
      </c>
      <c r="E234" s="10" t="s">
        <v>252</v>
      </c>
      <c r="F234" s="5"/>
      <c r="G234" s="5"/>
      <c r="H234" s="5"/>
      <c r="I234" s="5"/>
      <c r="J234" s="5"/>
      <c r="K234" s="77"/>
      <c r="L234" s="77"/>
      <c r="M234" s="78"/>
      <c r="N234" s="5"/>
      <c r="O234" s="13"/>
      <c r="P234" s="600" t="s">
        <v>47</v>
      </c>
      <c r="Q234" s="5"/>
      <c r="R234" s="5"/>
      <c r="S234" s="5"/>
      <c r="T234" s="5"/>
      <c r="U234" s="600" t="s">
        <v>250</v>
      </c>
      <c r="V234" s="600" t="s">
        <v>236</v>
      </c>
      <c r="W234" s="5"/>
      <c r="X234" s="5"/>
      <c r="Y234" s="15"/>
    </row>
    <row r="235" spans="1:25" ht="16.5" thickBot="1">
      <c r="A235" s="1">
        <v>31</v>
      </c>
      <c r="B235" s="173"/>
      <c r="C235" s="5"/>
      <c r="D235" s="77"/>
      <c r="E235" s="77"/>
      <c r="F235" s="77"/>
      <c r="G235" s="77"/>
      <c r="H235" s="77"/>
      <c r="I235" s="77"/>
      <c r="J235" s="77"/>
      <c r="K235" s="77"/>
      <c r="L235" s="77"/>
      <c r="M235" s="78"/>
      <c r="N235" s="5"/>
      <c r="O235" s="13"/>
      <c r="P235" s="600" t="s">
        <v>238</v>
      </c>
      <c r="Q235" s="600" t="s">
        <v>239</v>
      </c>
      <c r="R235" s="600" t="s">
        <v>240</v>
      </c>
      <c r="S235" s="600" t="s">
        <v>50</v>
      </c>
      <c r="T235" s="600" t="s">
        <v>241</v>
      </c>
      <c r="U235" s="600" t="s">
        <v>241</v>
      </c>
      <c r="V235" s="600" t="s">
        <v>242</v>
      </c>
      <c r="W235" s="600" t="s">
        <v>243</v>
      </c>
      <c r="X235" s="5"/>
      <c r="Y235" s="15"/>
    </row>
    <row r="236" spans="1:25">
      <c r="A236" s="1">
        <v>32</v>
      </c>
      <c r="B236" s="39"/>
      <c r="C236" s="45" t="s">
        <v>255</v>
      </c>
      <c r="D236" s="5"/>
      <c r="E236" s="5"/>
      <c r="F236" s="5"/>
      <c r="G236" s="5"/>
      <c r="H236" s="5"/>
      <c r="I236" s="16"/>
      <c r="J236" s="5"/>
      <c r="K236" s="5"/>
      <c r="L236" s="5"/>
      <c r="M236" s="42"/>
      <c r="N236" s="5"/>
      <c r="O236" s="13"/>
      <c r="P236" s="191">
        <v>2</v>
      </c>
      <c r="Q236" s="192"/>
      <c r="R236" s="193"/>
      <c r="S236" s="193"/>
      <c r="T236" s="193"/>
      <c r="U236" s="194" t="str">
        <f>IF(T236="","",IF($V$233=-1,T236,T236/VLOOKUP(P236,Tables!$A$132:$H$136,MATCH($V$233,Tables!$A$132:$H$132))))</f>
        <v/>
      </c>
      <c r="V236" s="193"/>
      <c r="W236" s="443" t="str">
        <f t="shared" ref="W236:W243" si="49">IF(OR(U236="",$U$244=""),"",ABS((U236-$U$244)/$U$244))</f>
        <v/>
      </c>
      <c r="X236" s="5"/>
      <c r="Y236" s="15"/>
    </row>
    <row r="237" spans="1:25">
      <c r="A237" s="1">
        <v>33</v>
      </c>
      <c r="B237" s="39"/>
      <c r="C237" s="41" t="s">
        <v>234</v>
      </c>
      <c r="D237" s="181" t="str">
        <f>IF(P263="","",P263)</f>
        <v>Auto-filter</v>
      </c>
      <c r="E237" s="5"/>
      <c r="F237" s="41" t="s">
        <v>235</v>
      </c>
      <c r="G237" s="119">
        <f>IF(S263="","",S263)</f>
        <v>2</v>
      </c>
      <c r="H237" s="16"/>
      <c r="I237" s="41" t="s">
        <v>177</v>
      </c>
      <c r="J237" s="119" t="str">
        <f>IF(Q265="","",Q265)</f>
        <v/>
      </c>
      <c r="K237" s="5"/>
      <c r="L237" s="5"/>
      <c r="M237" s="42"/>
      <c r="N237" s="5"/>
      <c r="O237" s="13"/>
      <c r="P237" s="195">
        <v>4</v>
      </c>
      <c r="Q237" s="196"/>
      <c r="R237" s="111"/>
      <c r="S237" s="111"/>
      <c r="T237" s="111"/>
      <c r="U237" s="197" t="str">
        <f>IF(T237="","",IF($V$233=-1,T237,T237/VLOOKUP(P237,Tables!$A$132:$H$136,MATCH($V$233,Tables!$A$132:$H$132))))</f>
        <v/>
      </c>
      <c r="V237" s="111"/>
      <c r="W237" s="439" t="str">
        <f t="shared" si="49"/>
        <v/>
      </c>
      <c r="X237" s="5"/>
      <c r="Y237" s="15"/>
    </row>
    <row r="238" spans="1:25" ht="16.5" thickBot="1">
      <c r="A238" s="1">
        <v>34</v>
      </c>
      <c r="B238" s="39"/>
      <c r="C238" s="5"/>
      <c r="D238" s="47"/>
      <c r="E238" s="47"/>
      <c r="F238" s="47"/>
      <c r="G238" s="16" t="s">
        <v>236</v>
      </c>
      <c r="H238" s="47"/>
      <c r="I238" s="5"/>
      <c r="J238" s="47"/>
      <c r="K238" s="5"/>
      <c r="L238" s="5"/>
      <c r="M238" s="42"/>
      <c r="N238" s="5"/>
      <c r="O238" s="13"/>
      <c r="P238" s="195">
        <v>4</v>
      </c>
      <c r="Q238" s="185">
        <f t="shared" ref="Q238:R240" si="50">Q237</f>
        <v>0</v>
      </c>
      <c r="R238" s="121">
        <f t="shared" si="50"/>
        <v>0</v>
      </c>
      <c r="S238" s="111"/>
      <c r="T238" s="111"/>
      <c r="U238" s="197" t="str">
        <f>IF(T238="","",IF($V$233=-1,T238,T238/VLOOKUP(P238,Tables!$A$132:$H$136,MATCH($V$233,Tables!$A$132:$H$132))))</f>
        <v/>
      </c>
      <c r="V238" s="111"/>
      <c r="W238" s="439" t="str">
        <f t="shared" si="49"/>
        <v/>
      </c>
      <c r="X238" s="5"/>
      <c r="Y238" s="15"/>
    </row>
    <row r="239" spans="1:25">
      <c r="A239" s="1">
        <v>35</v>
      </c>
      <c r="B239" s="39"/>
      <c r="C239" s="5"/>
      <c r="D239" s="182" t="s">
        <v>256</v>
      </c>
      <c r="E239" s="183" t="s">
        <v>50</v>
      </c>
      <c r="F239" s="183" t="s">
        <v>241</v>
      </c>
      <c r="G239" s="183" t="s">
        <v>242</v>
      </c>
      <c r="H239" s="183" t="s">
        <v>257</v>
      </c>
      <c r="I239" s="206" t="s">
        <v>258</v>
      </c>
      <c r="J239" s="47"/>
      <c r="K239" s="5"/>
      <c r="L239" s="5"/>
      <c r="M239" s="42"/>
      <c r="N239" s="5"/>
      <c r="O239" s="13"/>
      <c r="P239" s="195">
        <v>4</v>
      </c>
      <c r="Q239" s="185">
        <f t="shared" si="50"/>
        <v>0</v>
      </c>
      <c r="R239" s="121">
        <f t="shared" si="50"/>
        <v>0</v>
      </c>
      <c r="S239" s="111"/>
      <c r="T239" s="111"/>
      <c r="U239" s="197" t="str">
        <f>IF(T239="","",IF($V$233=-1,T239,T239/VLOOKUP(P239,Tables!$A$132:$H$136,MATCH($V$233,Tables!$A$132:$H$132))))</f>
        <v/>
      </c>
      <c r="V239" s="111"/>
      <c r="W239" s="439" t="str">
        <f t="shared" si="49"/>
        <v/>
      </c>
      <c r="X239" s="5"/>
      <c r="Y239" s="15"/>
    </row>
    <row r="240" spans="1:25">
      <c r="A240" s="1">
        <v>36</v>
      </c>
      <c r="B240" s="39"/>
      <c r="C240" s="5"/>
      <c r="D240" s="185">
        <f t="shared" ref="D240:D247" si="51">P265</f>
        <v>-3</v>
      </c>
      <c r="E240" s="121" t="str">
        <f t="shared" ref="E240:H247" si="52">IF(R265="","",R265)</f>
        <v/>
      </c>
      <c r="F240" s="121" t="str">
        <f t="shared" si="52"/>
        <v/>
      </c>
      <c r="G240" s="207" t="str">
        <f t="shared" si="52"/>
        <v/>
      </c>
      <c r="H240" s="207" t="str">
        <f t="shared" si="52"/>
        <v/>
      </c>
      <c r="I240" s="208" t="str">
        <f>IF(U265="","",IF(AND(U265&gt;=X265,U265&lt;=Y265),"Pass","Fail"))</f>
        <v/>
      </c>
      <c r="J240" s="47"/>
      <c r="K240" s="5"/>
      <c r="L240" s="5"/>
      <c r="M240" s="42"/>
      <c r="N240" s="5"/>
      <c r="O240" s="13"/>
      <c r="P240" s="195">
        <v>4</v>
      </c>
      <c r="Q240" s="185">
        <f t="shared" si="50"/>
        <v>0</v>
      </c>
      <c r="R240" s="121">
        <f t="shared" si="50"/>
        <v>0</v>
      </c>
      <c r="S240" s="111"/>
      <c r="T240" s="111"/>
      <c r="U240" s="197" t="str">
        <f>IF(T240="","",IF($V$233=-1,T240,T240/VLOOKUP(P240,Tables!$A$132:$H$136,MATCH($V$233,Tables!$A$132:$H$132))))</f>
        <v/>
      </c>
      <c r="V240" s="111"/>
      <c r="W240" s="439" t="str">
        <f t="shared" si="49"/>
        <v/>
      </c>
      <c r="X240" s="5"/>
      <c r="Y240" s="15"/>
    </row>
    <row r="241" spans="1:29">
      <c r="A241" s="1">
        <v>37</v>
      </c>
      <c r="B241" s="39"/>
      <c r="C241" s="5"/>
      <c r="D241" s="185">
        <f t="shared" si="51"/>
        <v>-2</v>
      </c>
      <c r="E241" s="121" t="str">
        <f t="shared" si="52"/>
        <v/>
      </c>
      <c r="F241" s="121" t="str">
        <f t="shared" si="52"/>
        <v/>
      </c>
      <c r="G241" s="207" t="str">
        <f t="shared" si="52"/>
        <v/>
      </c>
      <c r="H241" s="207" t="str">
        <f t="shared" si="52"/>
        <v/>
      </c>
      <c r="I241" s="208" t="str">
        <f>IF(U266="","",IF(AND(U266&gt;=X266,U266&lt;=Y266),"Pass","Fail"))</f>
        <v/>
      </c>
      <c r="J241" s="47"/>
      <c r="K241" s="5"/>
      <c r="L241" s="5"/>
      <c r="M241" s="42"/>
      <c r="N241" s="5"/>
      <c r="O241" s="13"/>
      <c r="P241" s="195">
        <v>6</v>
      </c>
      <c r="Q241" s="196"/>
      <c r="R241" s="111"/>
      <c r="S241" s="111"/>
      <c r="T241" s="198"/>
      <c r="U241" s="197" t="str">
        <f>IF(T241="","",IF($V$233=-1,T241,T241/VLOOKUP(P241,Tables!$A$132:$H$136,MATCH($V$233,Tables!$A$132:$H$132))))</f>
        <v/>
      </c>
      <c r="V241" s="111"/>
      <c r="W241" s="439" t="str">
        <f t="shared" si="49"/>
        <v/>
      </c>
      <c r="X241" s="5"/>
      <c r="Y241" s="15"/>
    </row>
    <row r="242" spans="1:29">
      <c r="A242" s="1">
        <v>38</v>
      </c>
      <c r="B242" s="39"/>
      <c r="C242" s="5"/>
      <c r="D242" s="185">
        <f t="shared" si="51"/>
        <v>-1</v>
      </c>
      <c r="E242" s="121" t="str">
        <f t="shared" si="52"/>
        <v/>
      </c>
      <c r="F242" s="121" t="str">
        <f t="shared" si="52"/>
        <v/>
      </c>
      <c r="G242" s="121" t="str">
        <f t="shared" si="52"/>
        <v/>
      </c>
      <c r="H242" s="207" t="str">
        <f t="shared" si="52"/>
        <v/>
      </c>
      <c r="I242" s="208" t="str">
        <f>IF(U267="","",IF(AND(U267&gt;=X267,U267&lt;=Y267),"Pass","Fail"))</f>
        <v/>
      </c>
      <c r="J242" s="47"/>
      <c r="K242" s="5"/>
      <c r="L242" s="5"/>
      <c r="M242" s="42"/>
      <c r="N242" s="5"/>
      <c r="O242" s="13"/>
      <c r="P242" s="195">
        <v>8</v>
      </c>
      <c r="Q242" s="196"/>
      <c r="R242" s="111"/>
      <c r="S242" s="111"/>
      <c r="T242" s="198"/>
      <c r="U242" s="197" t="str">
        <f>IF(T242="","",IF($V$233=-1,T242,T242/VLOOKUP(P242,Tables!$A$132:$H$136,MATCH($V$233,Tables!$A$132:$H$132))))</f>
        <v/>
      </c>
      <c r="V242" s="111"/>
      <c r="W242" s="439" t="str">
        <f t="shared" si="49"/>
        <v/>
      </c>
      <c r="X242" s="5"/>
      <c r="Y242" s="15"/>
    </row>
    <row r="243" spans="1:29" ht="16.5" thickBot="1">
      <c r="A243" s="1">
        <v>39</v>
      </c>
      <c r="B243" s="39"/>
      <c r="C243" s="5"/>
      <c r="D243" s="185">
        <f t="shared" si="51"/>
        <v>0</v>
      </c>
      <c r="E243" s="209" t="str">
        <f t="shared" si="52"/>
        <v/>
      </c>
      <c r="F243" s="210" t="str">
        <f t="shared" si="52"/>
        <v/>
      </c>
      <c r="G243" s="207" t="str">
        <f t="shared" si="52"/>
        <v/>
      </c>
      <c r="H243" s="207" t="str">
        <f t="shared" si="52"/>
        <v/>
      </c>
      <c r="I243" s="211"/>
      <c r="J243" s="47"/>
      <c r="K243" s="5"/>
      <c r="L243" s="5"/>
      <c r="M243" s="42"/>
      <c r="N243" s="5"/>
      <c r="O243" s="138" t="s">
        <v>253</v>
      </c>
      <c r="P243" s="199">
        <v>4</v>
      </c>
      <c r="Q243" s="200"/>
      <c r="R243" s="201"/>
      <c r="S243" s="201"/>
      <c r="T243" s="202"/>
      <c r="U243" s="203" t="str">
        <f>IF(T243="","",IF($V$233=-1,T243,T243/VLOOKUP(P243,Tables!A138:F142,MATCH($V$233,Tables!A138:F138))))</f>
        <v/>
      </c>
      <c r="V243" s="201"/>
      <c r="W243" s="447" t="str">
        <f t="shared" si="49"/>
        <v/>
      </c>
      <c r="X243" s="5"/>
      <c r="Y243" s="15"/>
    </row>
    <row r="244" spans="1:29" ht="16.5" thickBot="1">
      <c r="A244" s="1">
        <v>40</v>
      </c>
      <c r="B244" s="39"/>
      <c r="C244" s="5"/>
      <c r="D244" s="185">
        <f t="shared" si="51"/>
        <v>1</v>
      </c>
      <c r="E244" s="121" t="str">
        <f t="shared" si="52"/>
        <v/>
      </c>
      <c r="F244" s="121" t="str">
        <f t="shared" si="52"/>
        <v/>
      </c>
      <c r="G244" s="121" t="str">
        <f t="shared" si="52"/>
        <v/>
      </c>
      <c r="H244" s="207" t="str">
        <f t="shared" si="52"/>
        <v/>
      </c>
      <c r="I244" s="208" t="str">
        <f>IF(U269="","",IF(AND(U269&gt;=X269,U269&lt;=Y269),"Pass","Fail"))</f>
        <v/>
      </c>
      <c r="J244" s="47"/>
      <c r="K244" s="5"/>
      <c r="L244" s="5"/>
      <c r="M244" s="42"/>
      <c r="N244" s="5"/>
      <c r="O244" s="13"/>
      <c r="P244" s="5"/>
      <c r="Q244" s="5"/>
      <c r="R244" s="5"/>
      <c r="S244" s="77"/>
      <c r="T244" s="41" t="s">
        <v>251</v>
      </c>
      <c r="U244" s="204" t="str">
        <f>IF(U236="","",IF(O35=1,AVERAGE(U236:U242),AVERAGE(U236:U243)))</f>
        <v/>
      </c>
      <c r="V244" s="5"/>
      <c r="W244" s="599" t="str">
        <f>IF(W236="","",IF(MAX(W236:W243)&gt;0.1,"Fail","Pass"))</f>
        <v/>
      </c>
      <c r="X244" s="5"/>
      <c r="Y244" s="15"/>
    </row>
    <row r="245" spans="1:29">
      <c r="A245" s="1">
        <v>41</v>
      </c>
      <c r="B245" s="39"/>
      <c r="C245" s="5"/>
      <c r="D245" s="185">
        <f t="shared" si="51"/>
        <v>2</v>
      </c>
      <c r="E245" s="121" t="str">
        <f t="shared" si="52"/>
        <v/>
      </c>
      <c r="F245" s="121" t="str">
        <f t="shared" si="52"/>
        <v/>
      </c>
      <c r="G245" s="121" t="str">
        <f t="shared" si="52"/>
        <v/>
      </c>
      <c r="H245" s="207" t="str">
        <f t="shared" si="52"/>
        <v/>
      </c>
      <c r="I245" s="208" t="str">
        <f>IF(U270="","",IF(AND(U270&gt;=X270,U270&lt;=Y270),"Pass","Fail"))</f>
        <v/>
      </c>
      <c r="J245" s="47"/>
      <c r="K245" s="5"/>
      <c r="L245" s="5"/>
      <c r="M245" s="42"/>
      <c r="N245" s="5"/>
      <c r="O245" s="13"/>
      <c r="P245" s="79" t="s">
        <v>163</v>
      </c>
      <c r="Q245" s="10" t="s">
        <v>252</v>
      </c>
      <c r="R245" s="5"/>
      <c r="S245" s="5"/>
      <c r="T245" s="5"/>
      <c r="U245" s="5"/>
      <c r="V245" s="5"/>
      <c r="W245" s="5"/>
      <c r="X245" s="5"/>
      <c r="Y245" s="15"/>
    </row>
    <row r="246" spans="1:29">
      <c r="A246" s="1">
        <v>42</v>
      </c>
      <c r="B246" s="39"/>
      <c r="C246" s="5"/>
      <c r="D246" s="185">
        <f t="shared" si="51"/>
        <v>3</v>
      </c>
      <c r="E246" s="121" t="str">
        <f t="shared" si="52"/>
        <v/>
      </c>
      <c r="F246" s="121" t="str">
        <f t="shared" si="52"/>
        <v/>
      </c>
      <c r="G246" s="121" t="str">
        <f t="shared" si="52"/>
        <v/>
      </c>
      <c r="H246" s="207" t="str">
        <f t="shared" si="52"/>
        <v/>
      </c>
      <c r="I246" s="208" t="str">
        <f>IF(U271="","",IF(AND(U271&gt;=X271,U271&lt;=Y271),"Pass","Fail"))</f>
        <v/>
      </c>
      <c r="J246" s="47"/>
      <c r="K246" s="5"/>
      <c r="L246" s="5"/>
      <c r="M246" s="42"/>
      <c r="N246" s="5"/>
      <c r="O246" s="13"/>
      <c r="P246" s="5"/>
      <c r="Q246" s="5"/>
      <c r="R246" s="5"/>
      <c r="S246" s="5"/>
      <c r="T246" s="5"/>
      <c r="U246" s="5"/>
      <c r="V246" s="5"/>
      <c r="W246" s="5"/>
      <c r="X246" s="5"/>
      <c r="Y246" s="15"/>
      <c r="Z246" s="432" t="s">
        <v>602</v>
      </c>
      <c r="AA246" s="432"/>
      <c r="AB246" s="432" t="s">
        <v>645</v>
      </c>
      <c r="AC246" s="432"/>
    </row>
    <row r="247" spans="1:29" ht="16.5" thickBot="1">
      <c r="A247" s="1">
        <v>43</v>
      </c>
      <c r="B247" s="39"/>
      <c r="C247" s="5"/>
      <c r="D247" s="188">
        <f t="shared" si="51"/>
        <v>4</v>
      </c>
      <c r="E247" s="189" t="str">
        <f t="shared" si="52"/>
        <v/>
      </c>
      <c r="F247" s="189" t="str">
        <f t="shared" si="52"/>
        <v/>
      </c>
      <c r="G247" s="189" t="str">
        <f t="shared" si="52"/>
        <v/>
      </c>
      <c r="H247" s="212" t="str">
        <f t="shared" si="52"/>
        <v/>
      </c>
      <c r="I247" s="213" t="str">
        <f>IF(U272="","",IF(AND(U272&gt;=X272,U272&lt;=Y272),"Pass","Fail"))</f>
        <v/>
      </c>
      <c r="J247" s="47"/>
      <c r="K247" s="5"/>
      <c r="L247" s="5"/>
      <c r="M247" s="42"/>
      <c r="N247" s="5"/>
      <c r="O247" s="112" t="s">
        <v>254</v>
      </c>
      <c r="P247" s="5"/>
      <c r="Q247" s="5"/>
      <c r="R247" s="5"/>
      <c r="S247" s="5"/>
      <c r="T247" s="5"/>
      <c r="U247" s="5"/>
      <c r="V247" s="5"/>
      <c r="W247" s="5"/>
      <c r="X247" s="5"/>
      <c r="Y247" s="15"/>
      <c r="Z247" s="432" t="s">
        <v>259</v>
      </c>
      <c r="AA247" s="432" t="s">
        <v>260</v>
      </c>
      <c r="AB247" s="432" t="s">
        <v>259</v>
      </c>
      <c r="AC247" s="432" t="s">
        <v>260</v>
      </c>
    </row>
    <row r="248" spans="1:29">
      <c r="A248" s="1">
        <v>44</v>
      </c>
      <c r="B248" s="39"/>
      <c r="C248" s="5"/>
      <c r="D248" s="84" t="s">
        <v>163</v>
      </c>
      <c r="E248" s="176" t="s">
        <v>261</v>
      </c>
      <c r="F248" s="5"/>
      <c r="G248" s="5"/>
      <c r="H248" s="5"/>
      <c r="I248" s="5"/>
      <c r="J248" s="5"/>
      <c r="K248" s="5"/>
      <c r="L248" s="5"/>
      <c r="M248" s="42"/>
      <c r="N248" s="5"/>
      <c r="O248" s="13" t="s">
        <v>234</v>
      </c>
      <c r="P248" s="187" t="s">
        <v>702</v>
      </c>
      <c r="Q248" s="5"/>
      <c r="R248" s="41" t="s">
        <v>235</v>
      </c>
      <c r="S248" s="113">
        <v>2</v>
      </c>
      <c r="T248" s="5"/>
      <c r="U248" s="41" t="s">
        <v>248</v>
      </c>
      <c r="V248" s="113">
        <v>0</v>
      </c>
      <c r="W248" s="5"/>
      <c r="X248" s="5"/>
      <c r="Y248" s="15"/>
      <c r="Z248" s="432">
        <v>0.5</v>
      </c>
      <c r="AA248" s="432">
        <v>0.61</v>
      </c>
      <c r="AB248" s="432">
        <v>0.56000000000000005</v>
      </c>
      <c r="AC248" s="432">
        <v>0.66</v>
      </c>
    </row>
    <row r="249" spans="1:29" ht="16.5" thickBot="1">
      <c r="A249" s="1">
        <v>45</v>
      </c>
      <c r="B249" s="140"/>
      <c r="C249" s="21"/>
      <c r="D249" s="21"/>
      <c r="E249" s="21"/>
      <c r="F249" s="21"/>
      <c r="G249" s="21"/>
      <c r="H249" s="21"/>
      <c r="I249" s="21"/>
      <c r="J249" s="21"/>
      <c r="K249" s="21"/>
      <c r="L249" s="21"/>
      <c r="M249" s="141"/>
      <c r="N249" s="5"/>
      <c r="O249" s="13"/>
      <c r="P249" s="600" t="s">
        <v>47</v>
      </c>
      <c r="Q249" s="5"/>
      <c r="R249" s="5"/>
      <c r="S249" s="5"/>
      <c r="T249" s="5"/>
      <c r="U249" s="600" t="s">
        <v>250</v>
      </c>
      <c r="V249" s="600" t="s">
        <v>236</v>
      </c>
      <c r="W249" s="5"/>
      <c r="X249" s="5"/>
      <c r="Y249" s="15"/>
      <c r="Z249" s="432">
        <v>0.63</v>
      </c>
      <c r="AA249" s="432">
        <v>0.77</v>
      </c>
      <c r="AB249" s="432">
        <v>0.66</v>
      </c>
      <c r="AC249" s="432">
        <v>0.78</v>
      </c>
    </row>
    <row r="250" spans="1:29" ht="16.5" thickBot="1">
      <c r="A250" s="1">
        <v>46</v>
      </c>
      <c r="B250" s="39"/>
      <c r="C250" s="45" t="s">
        <v>232</v>
      </c>
      <c r="D250" s="5"/>
      <c r="E250" s="436" t="s">
        <v>648</v>
      </c>
      <c r="F250" s="436" t="s">
        <v>649</v>
      </c>
      <c r="G250" s="436" t="s">
        <v>648</v>
      </c>
      <c r="H250" s="436" t="s">
        <v>649</v>
      </c>
      <c r="I250" s="5"/>
      <c r="J250" s="5"/>
      <c r="K250" s="5"/>
      <c r="L250" s="5"/>
      <c r="M250" s="42"/>
      <c r="N250" s="5"/>
      <c r="O250" s="13"/>
      <c r="P250" s="600" t="s">
        <v>238</v>
      </c>
      <c r="Q250" s="600" t="s">
        <v>239</v>
      </c>
      <c r="R250" s="600" t="s">
        <v>240</v>
      </c>
      <c r="S250" s="600" t="s">
        <v>50</v>
      </c>
      <c r="T250" s="600" t="s">
        <v>241</v>
      </c>
      <c r="U250" s="600" t="s">
        <v>241</v>
      </c>
      <c r="V250" s="600" t="s">
        <v>242</v>
      </c>
      <c r="W250" s="600" t="s">
        <v>243</v>
      </c>
      <c r="X250" s="5"/>
      <c r="Y250" s="15"/>
      <c r="Z250" s="432">
        <v>0.77</v>
      </c>
      <c r="AA250" s="432">
        <v>0.94</v>
      </c>
      <c r="AB250" s="432">
        <v>0.78</v>
      </c>
      <c r="AC250" s="432">
        <v>0.92</v>
      </c>
    </row>
    <row r="251" spans="1:29">
      <c r="A251" s="1">
        <v>47</v>
      </c>
      <c r="B251" s="39"/>
      <c r="C251" s="77"/>
      <c r="D251" s="41" t="s">
        <v>233</v>
      </c>
      <c r="E251" s="121" t="str">
        <f t="shared" ref="E251:H255" si="53">IF(Q222="","",Q222)</f>
        <v/>
      </c>
      <c r="F251" s="121" t="str">
        <f t="shared" si="53"/>
        <v/>
      </c>
      <c r="G251" s="121" t="str">
        <f t="shared" si="53"/>
        <v/>
      </c>
      <c r="H251" s="121" t="str">
        <f t="shared" si="53"/>
        <v/>
      </c>
      <c r="I251" s="77"/>
      <c r="J251" s="77"/>
      <c r="K251" s="77"/>
      <c r="L251" s="77"/>
      <c r="M251" s="42"/>
      <c r="N251" s="5"/>
      <c r="O251" s="13"/>
      <c r="P251" s="191">
        <v>2</v>
      </c>
      <c r="Q251" s="192"/>
      <c r="R251" s="193"/>
      <c r="S251" s="193"/>
      <c r="T251" s="205"/>
      <c r="U251" s="194" t="str">
        <f>IF(T251="","",T251/VLOOKUP(P251,Tables!$A$150:$C$154,MATCH($V$248,Tables!$A$150:$C$150)))</f>
        <v/>
      </c>
      <c r="V251" s="193"/>
      <c r="W251" s="443" t="str">
        <f t="shared" ref="W251:W257" si="54">IF(OR(U251="",$U$258=""),"",ABS((U251-$U$258)/$U$258))</f>
        <v/>
      </c>
      <c r="X251" s="5"/>
      <c r="Y251" s="15"/>
      <c r="Z251" s="432"/>
      <c r="AA251" s="432"/>
      <c r="AB251" s="432"/>
      <c r="AC251" s="432"/>
    </row>
    <row r="252" spans="1:29" ht="16.5" thickBot="1">
      <c r="A252" s="1">
        <v>48</v>
      </c>
      <c r="B252" s="39"/>
      <c r="C252" s="5"/>
      <c r="D252" s="41" t="s">
        <v>29</v>
      </c>
      <c r="E252" s="121" t="str">
        <f t="shared" si="53"/>
        <v/>
      </c>
      <c r="F252" s="121" t="str">
        <f t="shared" si="53"/>
        <v/>
      </c>
      <c r="G252" s="121" t="str">
        <f t="shared" si="53"/>
        <v/>
      </c>
      <c r="H252" s="121" t="str">
        <f t="shared" si="53"/>
        <v/>
      </c>
      <c r="I252" s="5"/>
      <c r="J252" s="5"/>
      <c r="K252" s="5"/>
      <c r="L252" s="5"/>
      <c r="M252" s="42"/>
      <c r="N252" s="5"/>
      <c r="O252" s="13"/>
      <c r="P252" s="195">
        <v>4</v>
      </c>
      <c r="Q252" s="196"/>
      <c r="R252" s="111"/>
      <c r="S252" s="111"/>
      <c r="T252" s="198"/>
      <c r="U252" s="197" t="str">
        <f>IF(T252="","",T252/VLOOKUP(P252,Tables!$A$150:$C$154,MATCH($V$248,Tables!$A$150:$C$150)))</f>
        <v/>
      </c>
      <c r="V252" s="111"/>
      <c r="W252" s="439" t="str">
        <f t="shared" si="54"/>
        <v/>
      </c>
      <c r="X252" s="5"/>
      <c r="Y252" s="15"/>
      <c r="Z252" s="432">
        <v>1.04</v>
      </c>
      <c r="AA252" s="432">
        <v>1.27</v>
      </c>
      <c r="AB252" s="432">
        <v>1.06</v>
      </c>
      <c r="AC252" s="432">
        <v>1.24</v>
      </c>
    </row>
    <row r="253" spans="1:29" ht="16.5" thickBot="1">
      <c r="A253" s="1">
        <v>49</v>
      </c>
      <c r="B253" s="39"/>
      <c r="C253" s="5"/>
      <c r="D253" s="41" t="s">
        <v>177</v>
      </c>
      <c r="E253" s="121" t="str">
        <f t="shared" si="53"/>
        <v/>
      </c>
      <c r="F253" s="121" t="str">
        <f t="shared" si="53"/>
        <v/>
      </c>
      <c r="G253" s="121" t="str">
        <f t="shared" si="53"/>
        <v/>
      </c>
      <c r="H253" s="121" t="str">
        <f t="shared" si="53"/>
        <v/>
      </c>
      <c r="J253" s="41" t="s">
        <v>180</v>
      </c>
      <c r="K253" s="122" t="str">
        <f>IF(AND(Q227="",R227="",S227=""),"",IF(OR(Q227="Fail",R227="Fail",S227="Fail"),"Fail","Pass"))</f>
        <v/>
      </c>
      <c r="L253" s="5"/>
      <c r="M253" s="42"/>
      <c r="N253" s="5"/>
      <c r="O253" s="13"/>
      <c r="P253" s="195">
        <v>4</v>
      </c>
      <c r="Q253" s="185">
        <f t="shared" ref="Q253:R255" si="55">Q252</f>
        <v>0</v>
      </c>
      <c r="R253" s="121">
        <f t="shared" si="55"/>
        <v>0</v>
      </c>
      <c r="S253" s="111"/>
      <c r="T253" s="198"/>
      <c r="U253" s="197" t="str">
        <f>IF(T253="","",T253/VLOOKUP(P253,Tables!$A$150:$C$154,MATCH($V$248,Tables!$A$150:$C$150)))</f>
        <v/>
      </c>
      <c r="V253" s="111"/>
      <c r="W253" s="439" t="str">
        <f t="shared" si="54"/>
        <v/>
      </c>
      <c r="X253" s="5"/>
      <c r="Y253" s="15"/>
      <c r="Z253" s="432">
        <v>1.17</v>
      </c>
      <c r="AA253" s="432">
        <v>1.43</v>
      </c>
      <c r="AB253" s="432">
        <v>1.22</v>
      </c>
      <c r="AC253" s="432">
        <v>1.43</v>
      </c>
    </row>
    <row r="254" spans="1:29">
      <c r="A254" s="1">
        <v>50</v>
      </c>
      <c r="B254" s="39"/>
      <c r="C254" s="5"/>
      <c r="D254" s="41" t="s">
        <v>178</v>
      </c>
      <c r="E254" s="121" t="str">
        <f t="shared" si="53"/>
        <v/>
      </c>
      <c r="F254" s="121" t="str">
        <f t="shared" si="53"/>
        <v/>
      </c>
      <c r="G254" s="121" t="str">
        <f t="shared" si="53"/>
        <v/>
      </c>
      <c r="H254" s="121" t="str">
        <f t="shared" si="53"/>
        <v/>
      </c>
      <c r="I254" s="5"/>
      <c r="J254" s="5"/>
      <c r="K254" s="5"/>
      <c r="L254" s="5"/>
      <c r="M254" s="42"/>
      <c r="N254" s="5"/>
      <c r="O254" s="13"/>
      <c r="P254" s="195">
        <v>4</v>
      </c>
      <c r="Q254" s="185">
        <f t="shared" si="55"/>
        <v>0</v>
      </c>
      <c r="R254" s="121">
        <f t="shared" si="55"/>
        <v>0</v>
      </c>
      <c r="S254" s="111"/>
      <c r="T254" s="198"/>
      <c r="U254" s="197" t="str">
        <f>IF(T254="","",T254/VLOOKUP(P254,Tables!$A$150:$C$154,MATCH($V$248,Tables!$A$150:$C$150)))</f>
        <v/>
      </c>
      <c r="V254" s="111"/>
      <c r="W254" s="439" t="str">
        <f t="shared" si="54"/>
        <v/>
      </c>
      <c r="X254" s="5"/>
      <c r="Y254" s="15"/>
      <c r="Z254" s="432">
        <v>1.31</v>
      </c>
      <c r="AA254" s="432">
        <v>1.6</v>
      </c>
      <c r="AB254" s="432">
        <v>1.4</v>
      </c>
      <c r="AC254" s="432">
        <v>1.64</v>
      </c>
    </row>
    <row r="255" spans="1:29">
      <c r="A255" s="1">
        <v>51</v>
      </c>
      <c r="B255" s="39"/>
      <c r="C255" s="5"/>
      <c r="D255" s="41" t="s">
        <v>237</v>
      </c>
      <c r="E255" s="121" t="str">
        <f t="shared" si="53"/>
        <v/>
      </c>
      <c r="F255" s="121" t="str">
        <f t="shared" si="53"/>
        <v/>
      </c>
      <c r="G255" s="121" t="str">
        <f t="shared" si="53"/>
        <v/>
      </c>
      <c r="H255" s="121" t="str">
        <f t="shared" si="53"/>
        <v/>
      </c>
      <c r="I255" s="5"/>
      <c r="J255" s="5"/>
      <c r="K255" s="5"/>
      <c r="L255" s="5"/>
      <c r="M255" s="42"/>
      <c r="N255" s="5"/>
      <c r="O255" s="13"/>
      <c r="P255" s="195">
        <v>4</v>
      </c>
      <c r="Q255" s="185">
        <f t="shared" si="55"/>
        <v>0</v>
      </c>
      <c r="R255" s="121">
        <f t="shared" si="55"/>
        <v>0</v>
      </c>
      <c r="S255" s="111"/>
      <c r="T255" s="198"/>
      <c r="U255" s="197" t="str">
        <f>IF(T255="","",T255/VLOOKUP(P255,Tables!$A$150:$C$154,MATCH($V$248,Tables!$A$150:$C$150)))</f>
        <v/>
      </c>
      <c r="V255" s="111"/>
      <c r="W255" s="439" t="str">
        <f t="shared" si="54"/>
        <v/>
      </c>
      <c r="X255" s="5"/>
      <c r="Y255" s="15"/>
      <c r="Z255" s="432">
        <v>1.44</v>
      </c>
      <c r="AA255" s="432">
        <v>1.76</v>
      </c>
      <c r="AB255" s="432">
        <v>1.61</v>
      </c>
      <c r="AC255" s="432">
        <v>1.89</v>
      </c>
    </row>
    <row r="256" spans="1:29" ht="16.5" thickBot="1">
      <c r="A256" s="1">
        <v>52</v>
      </c>
      <c r="B256" s="48"/>
      <c r="C256" s="49"/>
      <c r="D256" s="224" t="s">
        <v>163</v>
      </c>
      <c r="E256" s="18" t="str">
        <f>Q230</f>
        <v>Limiting system resolution must be 7 lp/mm or higher in conventional/2D mode</v>
      </c>
      <c r="F256" s="49"/>
      <c r="G256" s="49"/>
      <c r="H256" s="49"/>
      <c r="I256" s="49"/>
      <c r="J256" s="49"/>
      <c r="K256" s="49"/>
      <c r="L256" s="49"/>
      <c r="M256" s="50"/>
      <c r="N256" s="5"/>
      <c r="O256" s="13"/>
      <c r="P256" s="195">
        <v>6</v>
      </c>
      <c r="Q256" s="196"/>
      <c r="R256" s="111"/>
      <c r="S256" s="111"/>
      <c r="T256" s="198"/>
      <c r="U256" s="197" t="str">
        <f>IF(T256="","",T256/VLOOKUP(P256,Tables!$A$150:$C$154,MATCH($V$248,Tables!$A$150:$C$150)))</f>
        <v/>
      </c>
      <c r="V256" s="111"/>
      <c r="W256" s="439" t="str">
        <f t="shared" si="54"/>
        <v/>
      </c>
      <c r="X256" s="5"/>
      <c r="Y256" s="15"/>
    </row>
    <row r="257" spans="1:25" ht="17.25" thickTop="1" thickBot="1">
      <c r="A257" s="1">
        <v>53</v>
      </c>
      <c r="B257" s="173"/>
      <c r="C257" s="77"/>
      <c r="D257" s="77"/>
      <c r="E257" s="77"/>
      <c r="F257" s="77"/>
      <c r="G257" s="77"/>
      <c r="H257" s="77"/>
      <c r="I257" s="77"/>
      <c r="J257" s="77"/>
      <c r="K257" s="77"/>
      <c r="L257" s="77"/>
      <c r="M257" s="42"/>
      <c r="N257" s="5"/>
      <c r="O257" s="13"/>
      <c r="P257" s="199">
        <v>8</v>
      </c>
      <c r="Q257" s="200"/>
      <c r="R257" s="201"/>
      <c r="S257" s="201"/>
      <c r="T257" s="202"/>
      <c r="U257" s="203" t="str">
        <f>IF(T257="","",T257/VLOOKUP(P257,Tables!$A$150:$C$154,MATCH($V$248,Tables!$A$150:$C$150)))</f>
        <v/>
      </c>
      <c r="V257" s="201"/>
      <c r="W257" s="447" t="str">
        <f t="shared" si="54"/>
        <v/>
      </c>
      <c r="X257" s="5"/>
      <c r="Y257" s="15"/>
    </row>
    <row r="258" spans="1:25" ht="16.5" thickBot="1">
      <c r="A258" s="1">
        <v>54</v>
      </c>
      <c r="B258" s="39"/>
      <c r="C258" s="45" t="s">
        <v>262</v>
      </c>
      <c r="D258" s="5"/>
      <c r="E258" s="5"/>
      <c r="F258" s="5"/>
      <c r="G258" s="5"/>
      <c r="H258" s="5"/>
      <c r="I258" s="5"/>
      <c r="J258" s="5"/>
      <c r="K258" s="5"/>
      <c r="L258" s="5"/>
      <c r="M258" s="42"/>
      <c r="N258" s="5"/>
      <c r="O258" s="13"/>
      <c r="P258" s="5"/>
      <c r="Q258" s="5"/>
      <c r="R258" s="5"/>
      <c r="S258" s="77"/>
      <c r="T258" s="41" t="s">
        <v>251</v>
      </c>
      <c r="U258" s="204" t="str">
        <f>IF(U251="","",AVERAGE(U251:U257))</f>
        <v/>
      </c>
      <c r="V258" s="5"/>
      <c r="W258" s="591" t="str">
        <f>IF(W251="","",IF(MAX(W251:W257)&gt;0.1,"Fail","Pass"))</f>
        <v/>
      </c>
      <c r="X258" s="5"/>
      <c r="Y258" s="15"/>
    </row>
    <row r="259" spans="1:25" ht="16.5" thickBot="1">
      <c r="A259" s="1">
        <v>55</v>
      </c>
      <c r="B259" s="39"/>
      <c r="C259" s="5"/>
      <c r="D259" s="700" t="s">
        <v>263</v>
      </c>
      <c r="E259" s="700"/>
      <c r="F259" s="47"/>
      <c r="G259" s="700" t="s">
        <v>264</v>
      </c>
      <c r="H259" s="700"/>
      <c r="I259" s="5"/>
      <c r="J259" s="47"/>
      <c r="K259" s="701" t="s">
        <v>265</v>
      </c>
      <c r="L259" s="701"/>
      <c r="M259" s="78"/>
      <c r="N259" s="5"/>
      <c r="O259" s="13"/>
      <c r="P259" s="79" t="s">
        <v>163</v>
      </c>
      <c r="Q259" s="10" t="s">
        <v>252</v>
      </c>
      <c r="R259" s="5"/>
      <c r="S259" s="5"/>
      <c r="T259" s="5"/>
      <c r="U259" s="5"/>
      <c r="V259" s="5"/>
      <c r="W259" s="47"/>
      <c r="X259" s="5"/>
      <c r="Y259" s="15"/>
    </row>
    <row r="260" spans="1:25" ht="16.5" thickBot="1">
      <c r="A260" s="1">
        <v>56</v>
      </c>
      <c r="B260" s="39"/>
      <c r="C260" s="47"/>
      <c r="D260" s="226" t="s">
        <v>177</v>
      </c>
      <c r="E260" s="191">
        <f t="shared" ref="E260:E265" si="56">IF(Q427="","",Q427)</f>
        <v>0</v>
      </c>
      <c r="F260" s="5"/>
      <c r="G260" s="16" t="s">
        <v>267</v>
      </c>
      <c r="H260" s="16" t="s">
        <v>268</v>
      </c>
      <c r="I260" s="16" t="s">
        <v>202</v>
      </c>
      <c r="J260" s="47"/>
      <c r="K260" s="16" t="s">
        <v>199</v>
      </c>
      <c r="L260" s="162" t="s">
        <v>201</v>
      </c>
      <c r="M260" s="78"/>
      <c r="N260" s="5"/>
      <c r="O260" s="13"/>
      <c r="P260" s="77"/>
      <c r="Q260" s="77"/>
      <c r="R260" s="77"/>
      <c r="S260" s="77"/>
      <c r="T260" s="77"/>
      <c r="U260" s="77"/>
      <c r="V260" s="77"/>
      <c r="W260" s="5"/>
      <c r="X260" s="5"/>
      <c r="Y260" s="15"/>
    </row>
    <row r="261" spans="1:25" ht="16.5" thickBot="1">
      <c r="A261" s="1">
        <v>57</v>
      </c>
      <c r="B261" s="39"/>
      <c r="C261" s="47"/>
      <c r="D261" s="226" t="s">
        <v>270</v>
      </c>
      <c r="E261" s="195">
        <f t="shared" si="56"/>
        <v>0</v>
      </c>
      <c r="F261" s="41" t="s">
        <v>177</v>
      </c>
      <c r="G261" s="182">
        <f t="shared" ref="G261:G266" si="57">IF(P443="","",P443)</f>
        <v>0</v>
      </c>
      <c r="H261" s="183" t="str">
        <f t="shared" ref="H261:H266" si="58">IF(R443="","",R443)</f>
        <v/>
      </c>
      <c r="I261" s="227" t="str">
        <f t="shared" ref="I261:I266" si="59">IF(T443="","",T443)</f>
        <v/>
      </c>
      <c r="J261" s="47"/>
      <c r="K261" s="41" t="s">
        <v>271</v>
      </c>
      <c r="L261" s="228" t="str">
        <f>IF(R435="","",R435)</f>
        <v/>
      </c>
      <c r="M261" s="78"/>
      <c r="N261" s="5"/>
      <c r="O261" s="13"/>
      <c r="P261" s="77"/>
      <c r="Q261" s="77"/>
      <c r="R261" s="77"/>
      <c r="S261" s="77"/>
      <c r="T261" s="77"/>
      <c r="U261" s="77"/>
      <c r="V261" s="77"/>
      <c r="W261" s="77"/>
      <c r="X261" s="77"/>
      <c r="Y261" s="15"/>
    </row>
    <row r="262" spans="1:25">
      <c r="A262" s="1">
        <v>58</v>
      </c>
      <c r="B262" s="39"/>
      <c r="C262" s="47"/>
      <c r="D262" s="226" t="s">
        <v>273</v>
      </c>
      <c r="E262" s="195" t="str">
        <f t="shared" si="56"/>
        <v/>
      </c>
      <c r="F262" s="41" t="s">
        <v>270</v>
      </c>
      <c r="G262" s="185">
        <f t="shared" si="57"/>
        <v>0</v>
      </c>
      <c r="H262" s="121" t="str">
        <f t="shared" si="58"/>
        <v/>
      </c>
      <c r="I262" s="208" t="str">
        <f t="shared" si="59"/>
        <v/>
      </c>
      <c r="J262" s="41" t="s">
        <v>274</v>
      </c>
      <c r="K262" s="229" t="str">
        <f t="shared" ref="K262:L264" si="60">IF(Q437="","",Q437)</f>
        <v/>
      </c>
      <c r="L262" s="230" t="str">
        <f t="shared" si="60"/>
        <v/>
      </c>
      <c r="M262" s="78"/>
      <c r="N262" s="5"/>
      <c r="O262" s="112" t="s">
        <v>255</v>
      </c>
      <c r="P262" s="5"/>
      <c r="Q262" s="5"/>
      <c r="R262" s="5"/>
      <c r="S262" s="5"/>
      <c r="T262" s="5"/>
      <c r="U262" s="5"/>
      <c r="V262" s="5"/>
      <c r="W262" s="5"/>
      <c r="X262" s="5"/>
      <c r="Y262" s="15"/>
    </row>
    <row r="263" spans="1:25">
      <c r="A263" s="1">
        <v>59</v>
      </c>
      <c r="B263" s="39"/>
      <c r="C263" s="47"/>
      <c r="D263" s="226" t="s">
        <v>276</v>
      </c>
      <c r="E263" s="195" t="str">
        <f t="shared" si="56"/>
        <v/>
      </c>
      <c r="F263" s="41" t="s">
        <v>179</v>
      </c>
      <c r="G263" s="185">
        <f t="shared" si="57"/>
        <v>0</v>
      </c>
      <c r="H263" s="121" t="str">
        <f t="shared" si="58"/>
        <v/>
      </c>
      <c r="I263" s="208" t="str">
        <f t="shared" si="59"/>
        <v/>
      </c>
      <c r="J263" s="41" t="s">
        <v>277</v>
      </c>
      <c r="K263" s="231" t="str">
        <f t="shared" si="60"/>
        <v/>
      </c>
      <c r="L263" s="215" t="str">
        <f t="shared" si="60"/>
        <v/>
      </c>
      <c r="M263" s="78"/>
      <c r="N263" s="5"/>
      <c r="O263" s="13" t="s">
        <v>234</v>
      </c>
      <c r="P263" s="593" t="str">
        <f>P233</f>
        <v>Auto-filter</v>
      </c>
      <c r="Q263" s="5"/>
      <c r="R263" s="41" t="s">
        <v>235</v>
      </c>
      <c r="S263" s="593">
        <f>S233</f>
        <v>2</v>
      </c>
      <c r="T263" s="600" t="s">
        <v>236</v>
      </c>
      <c r="U263" s="47"/>
      <c r="V263" s="5"/>
      <c r="W263" s="5"/>
      <c r="X263" s="598" t="str">
        <f>IF($O$34=1,AB246,Z246)</f>
        <v>Selenia Dimensions</v>
      </c>
      <c r="Y263" s="598"/>
    </row>
    <row r="264" spans="1:25" ht="16.5" thickBot="1">
      <c r="A264" s="1">
        <v>60</v>
      </c>
      <c r="B264" s="39"/>
      <c r="C264" s="47"/>
      <c r="D264" s="226" t="s">
        <v>281</v>
      </c>
      <c r="E264" s="195" t="str">
        <f t="shared" si="56"/>
        <v/>
      </c>
      <c r="F264" s="41" t="s">
        <v>274</v>
      </c>
      <c r="G264" s="185" t="str">
        <f t="shared" si="57"/>
        <v/>
      </c>
      <c r="H264" s="121" t="str">
        <f t="shared" si="58"/>
        <v/>
      </c>
      <c r="I264" s="208" t="str">
        <f t="shared" si="59"/>
        <v/>
      </c>
      <c r="J264" s="41" t="s">
        <v>282</v>
      </c>
      <c r="K264" s="233" t="str">
        <f t="shared" si="60"/>
        <v/>
      </c>
      <c r="L264" s="234" t="str">
        <f t="shared" si="60"/>
        <v/>
      </c>
      <c r="M264" s="78"/>
      <c r="N264" s="5"/>
      <c r="O264" s="13"/>
      <c r="P264" s="600" t="s">
        <v>256</v>
      </c>
      <c r="Q264" s="600" t="s">
        <v>240</v>
      </c>
      <c r="R264" s="600" t="s">
        <v>50</v>
      </c>
      <c r="S264" s="600" t="s">
        <v>241</v>
      </c>
      <c r="T264" s="600" t="s">
        <v>242</v>
      </c>
      <c r="U264" s="600" t="s">
        <v>257</v>
      </c>
      <c r="V264" s="47"/>
      <c r="W264" s="5"/>
      <c r="X264" s="214" t="s">
        <v>259</v>
      </c>
      <c r="Y264" s="598" t="s">
        <v>260</v>
      </c>
    </row>
    <row r="265" spans="1:25" ht="16.5" thickBot="1">
      <c r="A265" s="1">
        <v>61</v>
      </c>
      <c r="B265" s="39"/>
      <c r="C265" s="47"/>
      <c r="D265" s="226" t="s">
        <v>284</v>
      </c>
      <c r="E265" s="195" t="str">
        <f t="shared" si="56"/>
        <v/>
      </c>
      <c r="F265" s="41" t="s">
        <v>277</v>
      </c>
      <c r="G265" s="185" t="str">
        <f t="shared" si="57"/>
        <v/>
      </c>
      <c r="H265" s="121" t="str">
        <f t="shared" si="58"/>
        <v/>
      </c>
      <c r="I265" s="208" t="str">
        <f t="shared" si="59"/>
        <v/>
      </c>
      <c r="J265" s="47"/>
      <c r="K265" s="41" t="s">
        <v>271</v>
      </c>
      <c r="L265" s="236" t="str">
        <f>IF(V435="","",V435)</f>
        <v/>
      </c>
      <c r="M265" s="78"/>
      <c r="N265" s="5"/>
      <c r="O265" s="13"/>
      <c r="P265" s="182">
        <v>-3</v>
      </c>
      <c r="Q265" s="193"/>
      <c r="R265" s="193"/>
      <c r="S265" s="193"/>
      <c r="T265" s="216"/>
      <c r="U265" s="217" t="str">
        <f>IF(OR(S265="",$S$268=""),"",S265/$S$268)</f>
        <v/>
      </c>
      <c r="V265" s="47"/>
      <c r="W265" s="5"/>
      <c r="X265" s="214">
        <f t="shared" ref="X265:Y267" si="61">IF($O$34=1,AB248,Z248)</f>
        <v>0.56000000000000005</v>
      </c>
      <c r="Y265" s="598">
        <f t="shared" si="61"/>
        <v>0.66</v>
      </c>
    </row>
    <row r="266" spans="1:25" ht="16.5" thickBot="1">
      <c r="A266" s="1">
        <v>62</v>
      </c>
      <c r="B266" s="39"/>
      <c r="C266" s="5"/>
      <c r="D266" s="226" t="s">
        <v>274</v>
      </c>
      <c r="E266" s="195" t="str">
        <f>IF(U427="","",U427)</f>
        <v/>
      </c>
      <c r="F266" s="41" t="s">
        <v>282</v>
      </c>
      <c r="G266" s="188" t="str">
        <f t="shared" si="57"/>
        <v/>
      </c>
      <c r="H266" s="189" t="str">
        <f t="shared" si="58"/>
        <v/>
      </c>
      <c r="I266" s="213" t="str">
        <f t="shared" si="59"/>
        <v/>
      </c>
      <c r="J266" s="41" t="s">
        <v>274</v>
      </c>
      <c r="K266" s="229" t="str">
        <f t="shared" ref="K266:L268" si="62">IF(U437="","",U437)</f>
        <v/>
      </c>
      <c r="L266" s="230" t="str">
        <f t="shared" si="62"/>
        <v/>
      </c>
      <c r="M266" s="78"/>
      <c r="N266" s="5"/>
      <c r="O266" s="13"/>
      <c r="P266" s="185">
        <v>-2</v>
      </c>
      <c r="Q266" s="218"/>
      <c r="R266" s="111"/>
      <c r="S266" s="111"/>
      <c r="T266" s="219"/>
      <c r="U266" s="220" t="str">
        <f>IF(OR(S266="",$S$268=""),"",S266/$S$268)</f>
        <v/>
      </c>
      <c r="V266" s="47"/>
      <c r="W266" s="5"/>
      <c r="X266" s="214">
        <f t="shared" si="61"/>
        <v>0.66</v>
      </c>
      <c r="Y266" s="598">
        <f t="shared" si="61"/>
        <v>0.78</v>
      </c>
    </row>
    <row r="267" spans="1:25">
      <c r="A267" s="1">
        <v>63</v>
      </c>
      <c r="B267" s="39"/>
      <c r="C267" s="5"/>
      <c r="D267" s="226" t="s">
        <v>277</v>
      </c>
      <c r="E267" s="195" t="str">
        <f>IF(U428="","",U428)</f>
        <v/>
      </c>
      <c r="F267" s="238" t="s">
        <v>163</v>
      </c>
      <c r="G267" s="5"/>
      <c r="H267" s="5"/>
      <c r="I267" s="5"/>
      <c r="J267" s="41" t="s">
        <v>277</v>
      </c>
      <c r="K267" s="231" t="str">
        <f t="shared" si="62"/>
        <v/>
      </c>
      <c r="L267" s="215" t="str">
        <f t="shared" si="62"/>
        <v/>
      </c>
      <c r="M267" s="78"/>
      <c r="N267" s="5"/>
      <c r="O267" s="13"/>
      <c r="P267" s="185">
        <v>-1</v>
      </c>
      <c r="Q267" s="221"/>
      <c r="R267" s="111"/>
      <c r="S267" s="111"/>
      <c r="T267" s="111"/>
      <c r="U267" s="220" t="str">
        <f>IF(OR(S267="",$S$268=""),"",S267/$S$268)</f>
        <v/>
      </c>
      <c r="V267" s="47"/>
      <c r="W267" s="5"/>
      <c r="X267" s="214">
        <f t="shared" si="61"/>
        <v>0.78</v>
      </c>
      <c r="Y267" s="598">
        <f t="shared" si="61"/>
        <v>0.92</v>
      </c>
    </row>
    <row r="268" spans="1:25" ht="16.5" thickBot="1">
      <c r="A268" s="1">
        <v>64</v>
      </c>
      <c r="B268" s="39"/>
      <c r="C268" s="40"/>
      <c r="D268" s="226" t="s">
        <v>282</v>
      </c>
      <c r="E268" s="199" t="str">
        <f>IF(U429="","",U429)</f>
        <v/>
      </c>
      <c r="F268" s="238" t="s">
        <v>288</v>
      </c>
      <c r="G268" s="238"/>
      <c r="H268" s="40"/>
      <c r="I268" s="40"/>
      <c r="J268" s="226" t="s">
        <v>282</v>
      </c>
      <c r="K268" s="233" t="str">
        <f t="shared" si="62"/>
        <v/>
      </c>
      <c r="L268" s="234" t="str">
        <f t="shared" si="62"/>
        <v/>
      </c>
      <c r="M268" s="78"/>
      <c r="N268" s="5"/>
      <c r="O268" s="13"/>
      <c r="P268" s="185">
        <v>0</v>
      </c>
      <c r="Q268" s="221"/>
      <c r="R268" s="121" t="str">
        <f>IF(S237="","",AVERAGE(S237:S240))</f>
        <v/>
      </c>
      <c r="S268" s="121" t="str">
        <f>IF(T237="","",AVERAGE(T237:T240))</f>
        <v/>
      </c>
      <c r="T268" s="207" t="str">
        <f>IF(V237="","",AVERAGE(V237:V240))</f>
        <v/>
      </c>
      <c r="U268" s="220"/>
      <c r="V268" s="47"/>
      <c r="W268" s="5"/>
      <c r="X268" s="214"/>
      <c r="Y268" s="598"/>
    </row>
    <row r="269" spans="1:25" ht="16.5" thickBot="1">
      <c r="A269" s="1">
        <v>65</v>
      </c>
      <c r="B269" s="241"/>
      <c r="C269" s="242"/>
      <c r="D269" s="242"/>
      <c r="E269" s="242"/>
      <c r="F269" s="243" t="s">
        <v>290</v>
      </c>
      <c r="G269" s="243"/>
      <c r="H269" s="242"/>
      <c r="I269" s="242"/>
      <c r="J269" s="242"/>
      <c r="K269" s="242"/>
      <c r="L269" s="242"/>
      <c r="M269" s="244"/>
      <c r="N269" s="5"/>
      <c r="O269" s="13"/>
      <c r="P269" s="185">
        <v>1</v>
      </c>
      <c r="Q269" s="221"/>
      <c r="R269" s="111"/>
      <c r="S269" s="111"/>
      <c r="T269" s="111"/>
      <c r="U269" s="220" t="str">
        <f>IF(OR(S269="",$S$268=""),"",S269/$S$268)</f>
        <v/>
      </c>
      <c r="V269" s="47"/>
      <c r="W269" s="5"/>
      <c r="X269" s="214">
        <f t="shared" ref="X269:Y272" si="63">IF($O$34=1,AB252,Z252)</f>
        <v>1.06</v>
      </c>
      <c r="Y269" s="598">
        <f t="shared" si="63"/>
        <v>1.24</v>
      </c>
    </row>
    <row r="270" spans="1:25">
      <c r="A270" s="1">
        <v>66</v>
      </c>
      <c r="B270" s="77"/>
      <c r="C270" s="77"/>
      <c r="D270" s="77"/>
      <c r="E270" s="77"/>
      <c r="F270" s="77"/>
      <c r="G270" s="77"/>
      <c r="H270" s="77"/>
      <c r="I270" s="77"/>
      <c r="J270" s="77"/>
      <c r="K270" s="77"/>
      <c r="L270" s="77"/>
      <c r="M270" s="77"/>
      <c r="N270" s="5"/>
      <c r="O270" s="13"/>
      <c r="P270" s="185">
        <v>2</v>
      </c>
      <c r="Q270" s="221"/>
      <c r="R270" s="111"/>
      <c r="S270" s="111"/>
      <c r="T270" s="111"/>
      <c r="U270" s="220" t="str">
        <f>IF(OR(S270="",$S$268=""),"",S270/$S$268)</f>
        <v/>
      </c>
      <c r="V270" s="47"/>
      <c r="W270" s="5"/>
      <c r="X270" s="214">
        <f t="shared" si="63"/>
        <v>1.22</v>
      </c>
      <c r="Y270" s="598">
        <f t="shared" si="63"/>
        <v>1.43</v>
      </c>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185">
        <v>3</v>
      </c>
      <c r="Q271" s="221"/>
      <c r="R271" s="111"/>
      <c r="S271" s="111"/>
      <c r="T271" s="111"/>
      <c r="U271" s="220" t="str">
        <f>IF(OR(S271="",$S$268=""),"",S271/$S$268)</f>
        <v/>
      </c>
      <c r="V271" s="47"/>
      <c r="W271" s="5"/>
      <c r="X271" s="214">
        <f t="shared" si="63"/>
        <v>1.4</v>
      </c>
      <c r="Y271" s="598">
        <f t="shared" si="63"/>
        <v>1.64</v>
      </c>
    </row>
    <row r="272" spans="1:25" ht="16.5" thickBot="1">
      <c r="A272" s="1">
        <v>68</v>
      </c>
      <c r="B272" s="5"/>
      <c r="C272" s="79" t="s">
        <v>91</v>
      </c>
      <c r="D272" s="82" t="str">
        <f>IF($R$14="","",$R$14)</f>
        <v/>
      </c>
      <c r="E272" s="10"/>
      <c r="F272" s="10"/>
      <c r="G272" s="10"/>
      <c r="H272" s="10"/>
      <c r="I272" s="10"/>
      <c r="J272" s="10"/>
      <c r="K272" s="10"/>
      <c r="L272" s="79" t="s">
        <v>16</v>
      </c>
      <c r="M272" s="81" t="str">
        <f>IF($R$13="","",$R$13)</f>
        <v/>
      </c>
      <c r="N272" s="5"/>
      <c r="O272" s="13"/>
      <c r="P272" s="188">
        <v>4</v>
      </c>
      <c r="Q272" s="222"/>
      <c r="R272" s="201"/>
      <c r="S272" s="201"/>
      <c r="T272" s="201"/>
      <c r="U272" s="223" t="str">
        <f>IF(OR(S272="",$S$268=""),"",S272/$S$268)</f>
        <v/>
      </c>
      <c r="V272" s="47"/>
      <c r="W272" s="5"/>
      <c r="X272" s="214">
        <f t="shared" si="63"/>
        <v>1.61</v>
      </c>
      <c r="Y272" s="598">
        <f t="shared" si="63"/>
        <v>1.89</v>
      </c>
    </row>
    <row r="273" spans="1:25">
      <c r="A273" s="1">
        <v>1</v>
      </c>
      <c r="B273" s="77"/>
      <c r="C273" s="77"/>
      <c r="D273" s="77"/>
      <c r="E273" s="77"/>
      <c r="F273" s="77"/>
      <c r="G273" s="77"/>
      <c r="H273" s="77"/>
      <c r="I273" s="77"/>
      <c r="J273" s="77"/>
      <c r="K273" s="77"/>
      <c r="L273" s="77"/>
      <c r="M273" s="83" t="str">
        <f>$H$2</f>
        <v>Medical University of South Carolina</v>
      </c>
      <c r="N273" s="5"/>
      <c r="O273" s="13"/>
      <c r="P273" s="47"/>
      <c r="Q273" s="47"/>
      <c r="R273" s="47"/>
      <c r="S273" s="47"/>
      <c r="T273" s="47"/>
      <c r="U273" s="47"/>
      <c r="V273" s="47"/>
      <c r="W273" s="5"/>
      <c r="X273" s="5"/>
      <c r="Y273" s="15"/>
    </row>
    <row r="274" spans="1:25" ht="16.5" thickBot="1">
      <c r="A274" s="1">
        <v>2</v>
      </c>
      <c r="B274" s="77"/>
      <c r="C274" s="77"/>
      <c r="D274" s="77"/>
      <c r="E274" s="77"/>
      <c r="F274" s="77"/>
      <c r="G274" s="77"/>
      <c r="H274" s="77"/>
      <c r="I274" s="77"/>
      <c r="J274" s="77"/>
      <c r="K274" s="77"/>
      <c r="L274" s="77"/>
      <c r="M274" s="84" t="str">
        <f>$H$5</f>
        <v>Mammography System Compliance Inspection</v>
      </c>
      <c r="N274" s="5"/>
      <c r="O274" s="13"/>
      <c r="P274" s="225" t="s">
        <v>163</v>
      </c>
      <c r="Q274" s="176" t="s">
        <v>261</v>
      </c>
      <c r="R274" s="40"/>
      <c r="S274" s="40"/>
      <c r="T274" s="40"/>
      <c r="U274" s="40"/>
      <c r="V274" s="40"/>
      <c r="W274" s="40"/>
      <c r="X274" s="40"/>
      <c r="Y274" s="15"/>
    </row>
    <row r="275" spans="1:25" ht="17.25" thickTop="1" thickBot="1">
      <c r="A275" s="1">
        <v>3</v>
      </c>
      <c r="B275" s="32"/>
      <c r="C275" s="34" t="str">
        <f>O276</f>
        <v>Mean Glandular Dose – 2D</v>
      </c>
      <c r="D275" s="33"/>
      <c r="E275" s="33"/>
      <c r="F275" s="33"/>
      <c r="G275" s="33"/>
      <c r="H275" s="33"/>
      <c r="I275" s="33"/>
      <c r="J275" s="33"/>
      <c r="K275" s="33"/>
      <c r="L275" s="33"/>
      <c r="M275" s="35"/>
      <c r="N275" s="5"/>
      <c r="O275" s="20"/>
      <c r="P275" s="21"/>
      <c r="Q275" s="21"/>
      <c r="R275" s="21"/>
      <c r="S275" s="21"/>
      <c r="T275" s="21"/>
      <c r="U275" s="21"/>
      <c r="V275" s="21"/>
      <c r="W275" s="21"/>
      <c r="X275" s="21"/>
      <c r="Y275" s="22"/>
    </row>
    <row r="276" spans="1:25">
      <c r="A276" s="1">
        <v>4</v>
      </c>
      <c r="B276" s="39"/>
      <c r="C276" s="5"/>
      <c r="D276" s="41" t="s">
        <v>269</v>
      </c>
      <c r="E276" s="247" t="str">
        <f>IF(Q277="","",Q277)</f>
        <v/>
      </c>
      <c r="F276" s="77"/>
      <c r="G276" s="41" t="s">
        <v>177</v>
      </c>
      <c r="H276" s="119" t="str">
        <f>IF(T277="","",T277)</f>
        <v/>
      </c>
      <c r="I276" s="5"/>
      <c r="J276" s="5"/>
      <c r="K276" s="5"/>
      <c r="L276" s="5"/>
      <c r="M276" s="42"/>
      <c r="N276" s="5"/>
      <c r="O276" s="110" t="s">
        <v>266</v>
      </c>
      <c r="P276" s="7"/>
      <c r="Q276" s="7"/>
      <c r="R276" s="7"/>
      <c r="S276" s="7"/>
      <c r="T276" s="7"/>
      <c r="U276" s="7"/>
      <c r="V276" s="7"/>
      <c r="W276" s="7"/>
      <c r="X276" s="7"/>
      <c r="Y276" s="8"/>
    </row>
    <row r="277" spans="1:25">
      <c r="A277" s="1">
        <v>5</v>
      </c>
      <c r="B277" s="39"/>
      <c r="C277" s="5"/>
      <c r="D277" s="41" t="s">
        <v>272</v>
      </c>
      <c r="E277" s="119" t="str">
        <f>IF(Q278="","",Q278)</f>
        <v/>
      </c>
      <c r="F277" s="77"/>
      <c r="G277" s="41" t="s">
        <v>270</v>
      </c>
      <c r="H277" s="119" t="str">
        <f>IF(T278="","",T278)</f>
        <v/>
      </c>
      <c r="I277" s="5"/>
      <c r="J277" s="5"/>
      <c r="K277" s="5"/>
      <c r="L277" s="5"/>
      <c r="M277" s="42"/>
      <c r="N277" s="5"/>
      <c r="O277" s="13"/>
      <c r="P277" s="41" t="s">
        <v>269</v>
      </c>
      <c r="Q277" s="187"/>
      <c r="R277" s="5"/>
      <c r="S277" s="41" t="s">
        <v>177</v>
      </c>
      <c r="T277" s="187"/>
      <c r="U277" s="5"/>
      <c r="V277" s="47"/>
      <c r="W277" s="47"/>
      <c r="X277" s="5"/>
      <c r="Y277" s="15"/>
    </row>
    <row r="278" spans="1:25">
      <c r="A278" s="1">
        <v>6</v>
      </c>
      <c r="B278" s="39"/>
      <c r="C278" s="5"/>
      <c r="D278" s="5"/>
      <c r="E278" s="5"/>
      <c r="F278" s="5"/>
      <c r="G278" s="16" t="s">
        <v>236</v>
      </c>
      <c r="H278" s="5"/>
      <c r="I278" s="5" t="s">
        <v>275</v>
      </c>
      <c r="J278" s="5"/>
      <c r="K278" s="5"/>
      <c r="L278" s="5"/>
      <c r="M278" s="42"/>
      <c r="N278" s="5"/>
      <c r="O278" s="13"/>
      <c r="P278" s="41" t="s">
        <v>272</v>
      </c>
      <c r="Q278" s="113"/>
      <c r="R278" s="5"/>
      <c r="S278" s="41" t="s">
        <v>270</v>
      </c>
      <c r="T278" s="187"/>
      <c r="U278" s="5"/>
      <c r="V278" s="5"/>
      <c r="W278" s="5"/>
      <c r="X278" s="5"/>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64">IF(X280="","",X280)</f>
        <v/>
      </c>
      <c r="M279" s="42"/>
      <c r="N279" s="5"/>
      <c r="O279" s="13"/>
      <c r="P279" s="5"/>
      <c r="Q279" s="5"/>
      <c r="R279" s="5"/>
      <c r="S279" s="600" t="s">
        <v>236</v>
      </c>
      <c r="T279" s="5"/>
      <c r="U279" s="5" t="s">
        <v>275</v>
      </c>
      <c r="V279" s="5"/>
      <c r="W279" s="5"/>
      <c r="X279" s="5"/>
      <c r="Y279" s="15"/>
    </row>
    <row r="280" spans="1:25">
      <c r="A280" s="1">
        <v>8</v>
      </c>
      <c r="B280" s="39"/>
      <c r="C280" s="5"/>
      <c r="D280" s="5"/>
      <c r="E280" s="248" t="str">
        <f t="shared" ref="E280:I285" si="65">IF(Q281="","",Q281)</f>
        <v/>
      </c>
      <c r="F280" s="183" t="str">
        <f t="shared" si="65"/>
        <v/>
      </c>
      <c r="G280" s="183" t="str">
        <f t="shared" si="65"/>
        <v/>
      </c>
      <c r="H280" s="249" t="str">
        <f t="shared" si="65"/>
        <v/>
      </c>
      <c r="I280" s="217" t="str">
        <f t="shared" si="65"/>
        <v/>
      </c>
      <c r="J280" s="5"/>
      <c r="K280" s="41" t="s">
        <v>283</v>
      </c>
      <c r="L280" s="116" t="str">
        <f t="shared" si="64"/>
        <v/>
      </c>
      <c r="M280" s="42"/>
      <c r="N280" s="5"/>
      <c r="O280" s="232"/>
      <c r="P280" s="5"/>
      <c r="Q280" s="600" t="s">
        <v>50</v>
      </c>
      <c r="R280" s="600" t="s">
        <v>241</v>
      </c>
      <c r="S280" s="600" t="s">
        <v>242</v>
      </c>
      <c r="T280" s="600" t="s">
        <v>278</v>
      </c>
      <c r="U280" s="600" t="s">
        <v>279</v>
      </c>
      <c r="V280" s="5"/>
      <c r="W280" s="41" t="s">
        <v>280</v>
      </c>
      <c r="X280" s="115" t="str">
        <f>IF(T277="","",VLOOKUP(T277,Tables!B85:C91,2))</f>
        <v/>
      </c>
      <c r="Y280" s="15"/>
    </row>
    <row r="281" spans="1:25">
      <c r="A281" s="1">
        <v>9</v>
      </c>
      <c r="B281" s="39"/>
      <c r="C281" s="5"/>
      <c r="D281" s="5"/>
      <c r="E281" s="250" t="str">
        <f t="shared" si="65"/>
        <v/>
      </c>
      <c r="F281" s="121" t="str">
        <f t="shared" si="65"/>
        <v/>
      </c>
      <c r="G281" s="121" t="str">
        <f t="shared" si="65"/>
        <v/>
      </c>
      <c r="H281" s="235" t="str">
        <f t="shared" si="65"/>
        <v/>
      </c>
      <c r="I281" s="220" t="str">
        <f t="shared" si="65"/>
        <v/>
      </c>
      <c r="J281" s="5"/>
      <c r="K281" s="41" t="s">
        <v>285</v>
      </c>
      <c r="L281" s="251" t="str">
        <f t="shared" si="64"/>
        <v/>
      </c>
      <c r="M281" s="42"/>
      <c r="N281" s="5"/>
      <c r="O281" s="232"/>
      <c r="P281" s="5"/>
      <c r="Q281" s="111"/>
      <c r="R281" s="111"/>
      <c r="S281" s="111"/>
      <c r="T281" s="235" t="str">
        <f>IF(Q281="","",Q281/$T$278)</f>
        <v/>
      </c>
      <c r="U281" s="207" t="str">
        <f>IF(Q281="","",($T$277^2*Tables!D80+Tables!D81)*Q281)</f>
        <v/>
      </c>
      <c r="V281" s="5"/>
      <c r="W281" s="41" t="s">
        <v>283</v>
      </c>
      <c r="X281" s="115" t="str">
        <f>IF(U285="","",Q285*($T$277^2*Tables!D80+Tables!D81))</f>
        <v/>
      </c>
      <c r="Y281" s="15"/>
    </row>
    <row r="282" spans="1:25">
      <c r="A282" s="1">
        <v>10</v>
      </c>
      <c r="B282" s="39"/>
      <c r="C282" s="5"/>
      <c r="D282" s="5"/>
      <c r="E282" s="250" t="str">
        <f t="shared" si="65"/>
        <v/>
      </c>
      <c r="F282" s="121" t="str">
        <f t="shared" si="65"/>
        <v/>
      </c>
      <c r="G282" s="121" t="str">
        <f t="shared" si="65"/>
        <v/>
      </c>
      <c r="H282" s="235" t="str">
        <f t="shared" si="65"/>
        <v/>
      </c>
      <c r="I282" s="220" t="str">
        <f t="shared" si="65"/>
        <v/>
      </c>
      <c r="J282" s="5"/>
      <c r="K282" s="41" t="s">
        <v>286</v>
      </c>
      <c r="L282" s="116" t="str">
        <f t="shared" si="64"/>
        <v/>
      </c>
      <c r="M282" s="42"/>
      <c r="N282" s="5"/>
      <c r="O282" s="232"/>
      <c r="P282" s="5"/>
      <c r="Q282" s="111"/>
      <c r="R282" s="111"/>
      <c r="S282" s="111"/>
      <c r="T282" s="235" t="str">
        <f>IF(Q282="","",Q282/$T$278)</f>
        <v/>
      </c>
      <c r="U282" s="207" t="str">
        <f>IF(Q282="","",($T$277^2*Tables!D80+Tables!D81)*Q282)</f>
        <v/>
      </c>
      <c r="V282" s="5"/>
      <c r="W282" s="41" t="s">
        <v>285</v>
      </c>
      <c r="X282" s="237" t="str">
        <f>IF(Q278="","",HLOOKUP(Q278,Tables!A101:F102,2,FALSE))</f>
        <v/>
      </c>
      <c r="Y282" s="15"/>
    </row>
    <row r="283" spans="1:25" ht="16.5" thickBot="1">
      <c r="A283" s="1">
        <v>11</v>
      </c>
      <c r="B283" s="39"/>
      <c r="C283" s="5"/>
      <c r="D283" s="5"/>
      <c r="E283" s="252" t="str">
        <f t="shared" si="65"/>
        <v/>
      </c>
      <c r="F283" s="189" t="str">
        <f t="shared" si="65"/>
        <v/>
      </c>
      <c r="G283" s="189" t="str">
        <f t="shared" si="65"/>
        <v/>
      </c>
      <c r="H283" s="253" t="str">
        <f t="shared" si="65"/>
        <v/>
      </c>
      <c r="I283" s="223" t="str">
        <f t="shared" si="65"/>
        <v/>
      </c>
      <c r="J283" s="5"/>
      <c r="K283" s="41" t="s">
        <v>287</v>
      </c>
      <c r="L283" s="116" t="str">
        <f t="shared" si="64"/>
        <v/>
      </c>
      <c r="M283" s="42"/>
      <c r="N283" s="5"/>
      <c r="O283" s="232"/>
      <c r="P283" s="5"/>
      <c r="Q283" s="111"/>
      <c r="R283" s="111"/>
      <c r="S283" s="111"/>
      <c r="T283" s="235" t="str">
        <f>IF(Q283="","",Q283/$T$278)</f>
        <v/>
      </c>
      <c r="U283" s="207" t="str">
        <f>IF(Q283="","",($T$277^2*Tables!D80+Tables!D81)*Q283)</f>
        <v/>
      </c>
      <c r="V283" s="5"/>
      <c r="W283" s="41" t="s">
        <v>286</v>
      </c>
      <c r="X283" s="115" t="str">
        <f>IF(OR(X281="",X282=""),"",(X282*(X281/8.76))/100)</f>
        <v/>
      </c>
      <c r="Y283" s="15"/>
    </row>
    <row r="284" spans="1:25">
      <c r="A284" s="1">
        <v>12</v>
      </c>
      <c r="B284" s="39"/>
      <c r="C284" s="5"/>
      <c r="D284" s="41" t="s">
        <v>251</v>
      </c>
      <c r="E284" s="250" t="str">
        <f t="shared" si="65"/>
        <v/>
      </c>
      <c r="F284" s="121" t="str">
        <f t="shared" si="65"/>
        <v/>
      </c>
      <c r="G284" s="207" t="str">
        <f t="shared" si="65"/>
        <v/>
      </c>
      <c r="H284" s="235" t="str">
        <f t="shared" si="65"/>
        <v/>
      </c>
      <c r="I284" s="220" t="str">
        <f t="shared" si="65"/>
        <v/>
      </c>
      <c r="J284" s="5"/>
      <c r="K284" s="41" t="s">
        <v>289</v>
      </c>
      <c r="L284" s="254" t="str">
        <f t="shared" si="64"/>
        <v/>
      </c>
      <c r="M284" s="42"/>
      <c r="N284" s="5"/>
      <c r="O284" s="232"/>
      <c r="P284" s="5"/>
      <c r="Q284" s="111"/>
      <c r="R284" s="111"/>
      <c r="S284" s="111"/>
      <c r="T284" s="235" t="str">
        <f>IF(Q284="","",Q284/$T$278)</f>
        <v/>
      </c>
      <c r="U284" s="207" t="str">
        <f>IF(Q284="","",($T$277^2*Tables!D80+Tables!D81)*Q284)</f>
        <v/>
      </c>
      <c r="V284" s="5"/>
      <c r="W284" s="41" t="s">
        <v>287</v>
      </c>
      <c r="X284" s="239" t="str">
        <f>IF(AB86="","",AB86)</f>
        <v/>
      </c>
      <c r="Y284" s="15"/>
    </row>
    <row r="285" spans="1:25" ht="16.5" thickBot="1">
      <c r="A285" s="1">
        <v>13</v>
      </c>
      <c r="B285" s="39"/>
      <c r="C285" s="5"/>
      <c r="D285" s="41" t="s">
        <v>291</v>
      </c>
      <c r="E285" s="444" t="str">
        <f t="shared" si="65"/>
        <v/>
      </c>
      <c r="F285" s="445" t="str">
        <f t="shared" si="65"/>
        <v/>
      </c>
      <c r="G285" s="445" t="str">
        <f t="shared" si="65"/>
        <v/>
      </c>
      <c r="H285" s="445" t="str">
        <f t="shared" si="65"/>
        <v/>
      </c>
      <c r="I285" s="447" t="str">
        <f t="shared" si="65"/>
        <v/>
      </c>
      <c r="J285" s="5"/>
      <c r="K285" s="5"/>
      <c r="L285" s="5"/>
      <c r="M285" s="42"/>
      <c r="N285" s="5"/>
      <c r="O285" s="232"/>
      <c r="P285" s="41" t="s">
        <v>251</v>
      </c>
      <c r="Q285" s="209" t="str">
        <f>IF(OR(Q281="",Q282="",Q283="",Q284=""),"",AVERAGE(Q281:Q284))</f>
        <v/>
      </c>
      <c r="R285" s="210" t="str">
        <f>IF(OR(R281="",R282="",R283="",R284=""),"",AVERAGE(R281:R284))</f>
        <v/>
      </c>
      <c r="S285" s="207" t="str">
        <f>IF(OR(S281="",S282="",S283="",S284=""),"",AVERAGE(S281:S284))</f>
        <v/>
      </c>
      <c r="T285" s="235" t="str">
        <f>IF(OR(T281="",T282="",T283="",T284=""),"",AVERAGE(T281:T284))</f>
        <v/>
      </c>
      <c r="U285" s="207" t="str">
        <f>IF(OR(U281="",U282="",U283="",U284=""),"",AVERAGE(U281:U284))</f>
        <v/>
      </c>
      <c r="V285" s="5"/>
      <c r="W285" s="41" t="s">
        <v>289</v>
      </c>
      <c r="X285" s="240" t="str">
        <f>IF(OR(X283="",X284=""),"",(X283-X284)/X284)</f>
        <v/>
      </c>
      <c r="Y285" s="15"/>
    </row>
    <row r="286" spans="1:25">
      <c r="A286" s="1">
        <v>14</v>
      </c>
      <c r="B286" s="39"/>
      <c r="C286" s="5"/>
      <c r="D286" s="84" t="s">
        <v>163</v>
      </c>
      <c r="E286" s="47" t="s">
        <v>292</v>
      </c>
      <c r="F286" s="5"/>
      <c r="G286" s="5"/>
      <c r="H286" s="5"/>
      <c r="I286" s="5"/>
      <c r="J286" s="5"/>
      <c r="K286" s="41" t="s">
        <v>293</v>
      </c>
      <c r="L286" s="240" t="str">
        <f>IF(X288="","",X288)</f>
        <v/>
      </c>
      <c r="M286" s="42"/>
      <c r="N286" s="5"/>
      <c r="O286" s="232"/>
      <c r="P286" s="41" t="s">
        <v>291</v>
      </c>
      <c r="Q286" s="284" t="str">
        <f>IF(Q285="","",STDEV(Q281:Q284)/Q285)</f>
        <v/>
      </c>
      <c r="R286" s="284" t="str">
        <f>IF(R285="","",STDEV(R281:R284)/R285)</f>
        <v/>
      </c>
      <c r="S286" s="284" t="str">
        <f>IF(S285="","",STDEV(S281:S284)/S285)</f>
        <v/>
      </c>
      <c r="T286" s="284" t="str">
        <f>IF(T285="","",STDEV(T281:T284)/T285)</f>
        <v/>
      </c>
      <c r="U286" s="284" t="str">
        <f>IF(U285="","",STDEV(U281:U284)/U285)</f>
        <v/>
      </c>
      <c r="V286" s="5"/>
      <c r="W286" s="47"/>
      <c r="X286" s="47"/>
      <c r="Y286" s="15"/>
    </row>
    <row r="287" spans="1:25">
      <c r="A287" s="1">
        <v>15</v>
      </c>
      <c r="B287" s="39"/>
      <c r="C287" s="5"/>
      <c r="D287" s="5"/>
      <c r="E287" s="47" t="s">
        <v>294</v>
      </c>
      <c r="F287" s="5"/>
      <c r="G287" s="5"/>
      <c r="H287" s="5"/>
      <c r="I287" s="5"/>
      <c r="J287" s="5"/>
      <c r="K287" s="41" t="s">
        <v>295</v>
      </c>
      <c r="L287" s="237" t="str">
        <f>IF(X289="","",X289)</f>
        <v/>
      </c>
      <c r="M287" s="42"/>
      <c r="N287" s="5"/>
      <c r="O287" s="13"/>
      <c r="P287" s="47"/>
      <c r="Q287" s="47"/>
      <c r="R287" s="47"/>
      <c r="S287" s="47"/>
      <c r="T287" s="47"/>
      <c r="U287" s="47"/>
      <c r="V287" s="5"/>
      <c r="W287" s="5"/>
      <c r="X287" s="5"/>
      <c r="Y287" s="15"/>
    </row>
    <row r="288" spans="1:25" ht="16.5" thickBot="1">
      <c r="A288" s="1">
        <v>16</v>
      </c>
      <c r="B288" s="140"/>
      <c r="C288" s="21"/>
      <c r="D288" s="21"/>
      <c r="E288" s="21"/>
      <c r="F288" s="21"/>
      <c r="G288" s="21"/>
      <c r="H288" s="21"/>
      <c r="I288" s="21"/>
      <c r="J288" s="21"/>
      <c r="K288" s="21"/>
      <c r="L288" s="21"/>
      <c r="M288" s="141"/>
      <c r="N288" s="5"/>
      <c r="O288" s="13"/>
      <c r="P288" s="47" t="s">
        <v>163</v>
      </c>
      <c r="Q288" s="47" t="s">
        <v>292</v>
      </c>
      <c r="R288" s="5"/>
      <c r="S288" s="5"/>
      <c r="T288" s="5"/>
      <c r="U288" s="5"/>
      <c r="V288" s="5"/>
      <c r="W288" s="41" t="s">
        <v>293</v>
      </c>
      <c r="X288" s="240" t="str">
        <f>IF(X283="","",(X283-AVERAGE(S281:S284))/AVERAGE(S281:S284))</f>
        <v/>
      </c>
      <c r="Y288" s="15"/>
    </row>
    <row r="289" spans="1:25">
      <c r="A289" s="1">
        <v>17</v>
      </c>
      <c r="B289" s="173"/>
      <c r="C289" s="45" t="str">
        <f>O291</f>
        <v>Mean Glandular Dose – 3D</v>
      </c>
      <c r="D289" s="5"/>
      <c r="E289" s="5"/>
      <c r="F289" s="5"/>
      <c r="G289" s="5"/>
      <c r="H289" s="5"/>
      <c r="I289" s="5"/>
      <c r="J289" s="5"/>
      <c r="K289" s="5"/>
      <c r="L289" s="5"/>
      <c r="M289" s="78"/>
      <c r="N289" s="5"/>
      <c r="O289" s="13"/>
      <c r="P289" s="47"/>
      <c r="Q289" s="47" t="s">
        <v>294</v>
      </c>
      <c r="R289" s="5"/>
      <c r="S289" s="5"/>
      <c r="T289" s="5"/>
      <c r="U289" s="5"/>
      <c r="V289" s="5"/>
      <c r="W289" s="41" t="s">
        <v>295</v>
      </c>
      <c r="X289" s="237" t="str">
        <f>IF(OR(X283="",Q285=""),"",3/(X283/Q285))</f>
        <v/>
      </c>
      <c r="Y289" s="15"/>
    </row>
    <row r="290" spans="1:25" ht="16.5" thickBot="1">
      <c r="A290" s="1">
        <v>18</v>
      </c>
      <c r="B290" s="173"/>
      <c r="C290" s="5"/>
      <c r="D290" s="41" t="s">
        <v>269</v>
      </c>
      <c r="E290" s="247">
        <f>IF(Q292="","",Q292)</f>
        <v>0</v>
      </c>
      <c r="F290" s="77"/>
      <c r="G290" s="41" t="s">
        <v>177</v>
      </c>
      <c r="H290" s="119" t="str">
        <f>IF(T292="","",T292)</f>
        <v/>
      </c>
      <c r="I290" s="5"/>
      <c r="J290" s="5"/>
      <c r="K290" s="5"/>
      <c r="L290" s="5"/>
      <c r="M290" s="78"/>
      <c r="N290" s="5"/>
      <c r="O290" s="20"/>
      <c r="P290" s="245"/>
      <c r="Q290" s="245"/>
      <c r="R290" s="21"/>
      <c r="S290" s="21"/>
      <c r="T290" s="245"/>
      <c r="U290" s="245"/>
      <c r="V290" s="21"/>
      <c r="W290" s="246"/>
      <c r="X290" s="21"/>
      <c r="Y290" s="22"/>
    </row>
    <row r="291" spans="1:25">
      <c r="A291" s="1">
        <v>19</v>
      </c>
      <c r="B291" s="173"/>
      <c r="C291" s="5"/>
      <c r="D291" s="41" t="s">
        <v>272</v>
      </c>
      <c r="E291" s="119" t="str">
        <f>IF(Q293="","",Q293)</f>
        <v/>
      </c>
      <c r="F291" s="77"/>
      <c r="G291" s="41" t="s">
        <v>270</v>
      </c>
      <c r="H291" s="119" t="str">
        <f>IF(T293="","",T293)</f>
        <v/>
      </c>
      <c r="I291" s="5"/>
      <c r="J291" s="5"/>
      <c r="K291" s="5"/>
      <c r="L291" s="5"/>
      <c r="M291" s="78"/>
      <c r="N291" s="5"/>
      <c r="O291" s="110" t="s">
        <v>296</v>
      </c>
      <c r="P291" s="7"/>
      <c r="Q291" s="7"/>
      <c r="R291" s="7"/>
      <c r="S291" s="7"/>
      <c r="T291" s="7"/>
      <c r="U291" s="7"/>
      <c r="V291" s="7"/>
      <c r="W291" s="7"/>
      <c r="X291" s="7"/>
      <c r="Y291" s="8"/>
    </row>
    <row r="292" spans="1:25">
      <c r="A292" s="1">
        <v>20</v>
      </c>
      <c r="B292" s="173"/>
      <c r="C292" s="5"/>
      <c r="D292" s="5"/>
      <c r="E292" s="5"/>
      <c r="F292" s="5"/>
      <c r="G292" s="16" t="s">
        <v>236</v>
      </c>
      <c r="H292" s="5"/>
      <c r="I292" s="5" t="s">
        <v>275</v>
      </c>
      <c r="J292" s="5"/>
      <c r="K292" s="5"/>
      <c r="L292" s="5"/>
      <c r="M292" s="78"/>
      <c r="N292" s="5"/>
      <c r="O292" s="13"/>
      <c r="P292" s="41" t="s">
        <v>269</v>
      </c>
      <c r="Q292" s="593">
        <f>$Q$277</f>
        <v>0</v>
      </c>
      <c r="R292" s="5"/>
      <c r="S292" s="41" t="s">
        <v>177</v>
      </c>
      <c r="T292" s="113"/>
      <c r="U292" s="5"/>
      <c r="V292" s="47"/>
      <c r="W292" s="47"/>
      <c r="X292" s="5"/>
      <c r="Y292" s="15"/>
    </row>
    <row r="293" spans="1:25" ht="16.5" thickBot="1">
      <c r="A293" s="1">
        <v>21</v>
      </c>
      <c r="B293" s="173"/>
      <c r="C293" s="5"/>
      <c r="D293" s="16"/>
      <c r="E293" s="16" t="s">
        <v>50</v>
      </c>
      <c r="F293" s="16" t="s">
        <v>241</v>
      </c>
      <c r="G293" s="16" t="s">
        <v>242</v>
      </c>
      <c r="H293" s="16" t="s">
        <v>278</v>
      </c>
      <c r="I293" s="16" t="s">
        <v>279</v>
      </c>
      <c r="J293" s="5"/>
      <c r="K293" s="41" t="s">
        <v>280</v>
      </c>
      <c r="L293" s="115" t="str">
        <f t="shared" ref="L293:L298" si="66">IF(X295="","",X295)</f>
        <v/>
      </c>
      <c r="M293" s="78"/>
      <c r="N293" s="5"/>
      <c r="O293" s="13"/>
      <c r="P293" s="41" t="s">
        <v>272</v>
      </c>
      <c r="Q293" s="113"/>
      <c r="R293" s="5"/>
      <c r="S293" s="41" t="s">
        <v>270</v>
      </c>
      <c r="T293" s="113"/>
      <c r="U293" s="5"/>
      <c r="V293" s="5"/>
      <c r="W293" s="5"/>
      <c r="X293" s="5"/>
      <c r="Y293" s="15"/>
    </row>
    <row r="294" spans="1:25">
      <c r="A294" s="1">
        <v>22</v>
      </c>
      <c r="B294" s="173"/>
      <c r="C294" s="5"/>
      <c r="D294" s="5"/>
      <c r="E294" s="248" t="str">
        <f t="shared" ref="E294:I299" si="67">IF(Q296="","",Q296)</f>
        <v/>
      </c>
      <c r="F294" s="183" t="str">
        <f t="shared" si="67"/>
        <v/>
      </c>
      <c r="G294" s="183" t="str">
        <f t="shared" si="67"/>
        <v/>
      </c>
      <c r="H294" s="249" t="str">
        <f t="shared" si="67"/>
        <v/>
      </c>
      <c r="I294" s="217" t="str">
        <f t="shared" si="67"/>
        <v/>
      </c>
      <c r="J294" s="5"/>
      <c r="K294" s="41" t="s">
        <v>283</v>
      </c>
      <c r="L294" s="116" t="str">
        <f t="shared" si="66"/>
        <v/>
      </c>
      <c r="M294" s="78"/>
      <c r="N294" s="5"/>
      <c r="O294" s="13"/>
      <c r="P294" s="5"/>
      <c r="Q294" s="5"/>
      <c r="R294" s="5"/>
      <c r="S294" s="600" t="s">
        <v>236</v>
      </c>
      <c r="T294" s="5"/>
      <c r="U294" s="5" t="s">
        <v>275</v>
      </c>
      <c r="V294" s="5"/>
      <c r="W294" s="5"/>
      <c r="X294" s="5"/>
      <c r="Y294" s="15"/>
    </row>
    <row r="295" spans="1:25">
      <c r="A295" s="1">
        <v>23</v>
      </c>
      <c r="B295" s="173"/>
      <c r="C295" s="5"/>
      <c r="D295" s="5"/>
      <c r="E295" s="250" t="str">
        <f t="shared" si="67"/>
        <v/>
      </c>
      <c r="F295" s="121" t="str">
        <f t="shared" si="67"/>
        <v/>
      </c>
      <c r="G295" s="121" t="str">
        <f t="shared" si="67"/>
        <v/>
      </c>
      <c r="H295" s="235" t="str">
        <f t="shared" si="67"/>
        <v/>
      </c>
      <c r="I295" s="220" t="str">
        <f t="shared" si="67"/>
        <v/>
      </c>
      <c r="J295" s="5"/>
      <c r="K295" s="41" t="s">
        <v>285</v>
      </c>
      <c r="L295" s="251" t="str">
        <f t="shared" si="66"/>
        <v/>
      </c>
      <c r="M295" s="78"/>
      <c r="N295" s="5"/>
      <c r="O295" s="232"/>
      <c r="P295" s="5"/>
      <c r="Q295" s="600" t="s">
        <v>50</v>
      </c>
      <c r="R295" s="600" t="s">
        <v>241</v>
      </c>
      <c r="S295" s="600" t="s">
        <v>242</v>
      </c>
      <c r="T295" s="600" t="s">
        <v>278</v>
      </c>
      <c r="U295" s="600" t="s">
        <v>279</v>
      </c>
      <c r="V295" s="5"/>
      <c r="W295" s="41" t="s">
        <v>280</v>
      </c>
      <c r="X295" s="115" t="str">
        <f>IF(T292="","",VLOOKUP(T292,Tables!H85:I89,2))</f>
        <v/>
      </c>
      <c r="Y295" s="15"/>
    </row>
    <row r="296" spans="1:25">
      <c r="A296" s="1">
        <v>24</v>
      </c>
      <c r="B296" s="173"/>
      <c r="C296" s="5"/>
      <c r="D296" s="5"/>
      <c r="E296" s="250" t="str">
        <f t="shared" si="67"/>
        <v/>
      </c>
      <c r="F296" s="121" t="str">
        <f t="shared" si="67"/>
        <v/>
      </c>
      <c r="G296" s="121" t="str">
        <f t="shared" si="67"/>
        <v/>
      </c>
      <c r="H296" s="235" t="str">
        <f t="shared" si="67"/>
        <v/>
      </c>
      <c r="I296" s="220" t="str">
        <f t="shared" si="67"/>
        <v/>
      </c>
      <c r="J296" s="5"/>
      <c r="K296" s="41" t="s">
        <v>286</v>
      </c>
      <c r="L296" s="116" t="str">
        <f t="shared" si="66"/>
        <v/>
      </c>
      <c r="M296" s="78"/>
      <c r="N296" s="5"/>
      <c r="O296" s="232"/>
      <c r="P296" s="5"/>
      <c r="Q296" s="111"/>
      <c r="R296" s="111"/>
      <c r="S296" s="111"/>
      <c r="T296" s="235" t="str">
        <f>IF(Q296="","",Q296/$T$293)</f>
        <v/>
      </c>
      <c r="U296" s="207" t="str">
        <f>IF(Q296="","",($T$277^2*Tables!D80+Tables!D81)*Q296)</f>
        <v/>
      </c>
      <c r="V296" s="5"/>
      <c r="W296" s="41" t="s">
        <v>283</v>
      </c>
      <c r="X296" s="115" t="str">
        <f>IF(U300="","",Q300*($T$292^2*Tables!P78+Tables!P79))</f>
        <v/>
      </c>
      <c r="Y296" s="15"/>
    </row>
    <row r="297" spans="1:25" ht="16.5" thickBot="1">
      <c r="A297" s="1">
        <v>25</v>
      </c>
      <c r="B297" s="173"/>
      <c r="C297" s="5"/>
      <c r="D297" s="5"/>
      <c r="E297" s="252" t="str">
        <f t="shared" si="67"/>
        <v/>
      </c>
      <c r="F297" s="189" t="str">
        <f t="shared" si="67"/>
        <v/>
      </c>
      <c r="G297" s="189" t="str">
        <f t="shared" si="67"/>
        <v/>
      </c>
      <c r="H297" s="253" t="str">
        <f t="shared" si="67"/>
        <v/>
      </c>
      <c r="I297" s="223" t="str">
        <f t="shared" si="67"/>
        <v/>
      </c>
      <c r="J297" s="5"/>
      <c r="K297" s="41" t="s">
        <v>287</v>
      </c>
      <c r="L297" s="116" t="str">
        <f t="shared" si="66"/>
        <v/>
      </c>
      <c r="M297" s="78"/>
      <c r="N297" s="5"/>
      <c r="O297" s="232"/>
      <c r="P297" s="5"/>
      <c r="Q297" s="111"/>
      <c r="R297" s="111"/>
      <c r="S297" s="111"/>
      <c r="T297" s="235" t="str">
        <f>IF(Q297="","",Q297/$T$293)</f>
        <v/>
      </c>
      <c r="U297" s="207" t="str">
        <f>IF(Q297="","",($T$277^2*Tables!D80+Tables!D81)*Q297)</f>
        <v/>
      </c>
      <c r="V297" s="5"/>
      <c r="W297" s="41" t="s">
        <v>285</v>
      </c>
      <c r="X297" s="237" t="str">
        <f>IF(Q293="","",HLOOKUP(Q293,Tables!A101:F102,2,FALSE))</f>
        <v/>
      </c>
      <c r="Y297" s="15"/>
    </row>
    <row r="298" spans="1:25">
      <c r="A298" s="1">
        <v>26</v>
      </c>
      <c r="B298" s="173"/>
      <c r="C298" s="5"/>
      <c r="D298" s="41" t="s">
        <v>251</v>
      </c>
      <c r="E298" s="250" t="str">
        <f t="shared" si="67"/>
        <v/>
      </c>
      <c r="F298" s="121" t="str">
        <f t="shared" si="67"/>
        <v/>
      </c>
      <c r="G298" s="207" t="str">
        <f t="shared" si="67"/>
        <v/>
      </c>
      <c r="H298" s="235" t="str">
        <f t="shared" si="67"/>
        <v/>
      </c>
      <c r="I298" s="220" t="str">
        <f t="shared" si="67"/>
        <v/>
      </c>
      <c r="J298" s="5"/>
      <c r="K298" s="41" t="s">
        <v>289</v>
      </c>
      <c r="L298" s="254" t="str">
        <f t="shared" si="66"/>
        <v/>
      </c>
      <c r="M298" s="78"/>
      <c r="N298" s="5"/>
      <c r="O298" s="232"/>
      <c r="P298" s="5"/>
      <c r="Q298" s="111"/>
      <c r="R298" s="111"/>
      <c r="S298" s="111"/>
      <c r="T298" s="235" t="str">
        <f>IF(Q298="","",Q298/$T$293)</f>
        <v/>
      </c>
      <c r="U298" s="207" t="str">
        <f>IF(Q298="","",($T$277^2*Tables!D80+Tables!D81)*Q298)</f>
        <v/>
      </c>
      <c r="V298" s="5"/>
      <c r="W298" s="41" t="s">
        <v>286</v>
      </c>
      <c r="X298" s="115" t="str">
        <f>IF($O$34=2,"NA",IF(OR(X296="",X297=""),"",(X297*(X296/8.76))/100))</f>
        <v/>
      </c>
      <c r="Y298" s="15"/>
    </row>
    <row r="299" spans="1:25" ht="16.5" thickBot="1">
      <c r="A299" s="1">
        <v>27</v>
      </c>
      <c r="B299" s="173"/>
      <c r="C299" s="5"/>
      <c r="D299" s="41" t="s">
        <v>291</v>
      </c>
      <c r="E299" s="444" t="str">
        <f t="shared" si="67"/>
        <v/>
      </c>
      <c r="F299" s="445" t="str">
        <f t="shared" si="67"/>
        <v/>
      </c>
      <c r="G299" s="445" t="str">
        <f t="shared" si="67"/>
        <v/>
      </c>
      <c r="H299" s="445" t="str">
        <f t="shared" si="67"/>
        <v/>
      </c>
      <c r="I299" s="447" t="str">
        <f t="shared" si="67"/>
        <v/>
      </c>
      <c r="J299" s="5"/>
      <c r="K299" s="5"/>
      <c r="L299" s="5"/>
      <c r="M299" s="78"/>
      <c r="N299" s="5"/>
      <c r="O299" s="232"/>
      <c r="P299" s="5"/>
      <c r="Q299" s="111"/>
      <c r="R299" s="111"/>
      <c r="S299" s="111"/>
      <c r="T299" s="235" t="str">
        <f>IF(Q299="","",Q299/$T$293)</f>
        <v/>
      </c>
      <c r="U299" s="207" t="str">
        <f>IF(Q299="","",($T$277^2*Tables!D80+Tables!D81)*Q299)</f>
        <v/>
      </c>
      <c r="V299" s="5"/>
      <c r="W299" s="41" t="s">
        <v>287</v>
      </c>
      <c r="X299" s="239" t="str">
        <f>IF(AB89="","",AB89)</f>
        <v/>
      </c>
      <c r="Y299" s="15"/>
    </row>
    <row r="300" spans="1:25">
      <c r="A300" s="1">
        <v>28</v>
      </c>
      <c r="B300" s="173"/>
      <c r="C300" s="5"/>
      <c r="D300" s="84" t="s">
        <v>163</v>
      </c>
      <c r="E300" s="47" t="s">
        <v>292</v>
      </c>
      <c r="F300" s="5"/>
      <c r="G300" s="5"/>
      <c r="H300" s="5"/>
      <c r="I300" s="5"/>
      <c r="J300" s="5"/>
      <c r="K300" s="41" t="s">
        <v>293</v>
      </c>
      <c r="L300" s="240" t="str">
        <f>IF(X303="","",X303)</f>
        <v/>
      </c>
      <c r="M300" s="78"/>
      <c r="N300" s="5"/>
      <c r="O300" s="232"/>
      <c r="P300" s="41" t="s">
        <v>251</v>
      </c>
      <c r="Q300" s="209" t="str">
        <f>IF(OR(Q296="",Q297="",Q298="",Q299=""),"",AVERAGE(Q296:Q299))</f>
        <v/>
      </c>
      <c r="R300" s="210" t="str">
        <f>IF(OR(R296="",R297="",R298="",R299=""),"",AVERAGE(R296:R299))</f>
        <v/>
      </c>
      <c r="S300" s="207" t="str">
        <f>IF(OR(S296="",S297="",S298="",S299=""),"",AVERAGE(S296:S299))</f>
        <v/>
      </c>
      <c r="T300" s="235" t="str">
        <f>IF(OR(T296="",T297="",T298="",T299=""),"",AVERAGE(T296:T299))</f>
        <v/>
      </c>
      <c r="U300" s="207" t="str">
        <f>IF(OR(U296="",U297="",U298="",U299=""),"",AVERAGE(U296:U299))</f>
        <v/>
      </c>
      <c r="V300" s="5"/>
      <c r="W300" s="41" t="s">
        <v>289</v>
      </c>
      <c r="X300" s="240" t="str">
        <f>IF(OR(X298="",X299=""),"",(X298-X299)/X299)</f>
        <v/>
      </c>
      <c r="Y300" s="15"/>
    </row>
    <row r="301" spans="1:25">
      <c r="A301" s="1">
        <v>29</v>
      </c>
      <c r="B301" s="173"/>
      <c r="C301" s="5"/>
      <c r="D301" s="5"/>
      <c r="E301" s="47" t="s">
        <v>294</v>
      </c>
      <c r="F301" s="5"/>
      <c r="G301" s="5"/>
      <c r="H301" s="5"/>
      <c r="I301" s="5"/>
      <c r="J301" s="5"/>
      <c r="K301" s="41" t="s">
        <v>295</v>
      </c>
      <c r="L301" s="237" t="str">
        <f>IF(X304="","",X304)</f>
        <v/>
      </c>
      <c r="M301" s="78"/>
      <c r="N301" s="5"/>
      <c r="O301" s="232"/>
      <c r="P301" s="41" t="s">
        <v>291</v>
      </c>
      <c r="Q301" s="284" t="str">
        <f>IF(Q300="","",STDEV(Q296:Q299)/Q300)</f>
        <v/>
      </c>
      <c r="R301" s="284" t="str">
        <f>IF(R300="","",STDEV(R296:R299)/R300)</f>
        <v/>
      </c>
      <c r="S301" s="284" t="str">
        <f>IF(S300="","",STDEV(S296:S299)/S300)</f>
        <v/>
      </c>
      <c r="T301" s="284" t="str">
        <f>IF(T300="","",STDEV(T296:T299)/T300)</f>
        <v/>
      </c>
      <c r="U301" s="284" t="str">
        <f>IF(U300="","",STDEV(U296:U299)/U300)</f>
        <v/>
      </c>
      <c r="V301" s="5"/>
      <c r="W301" s="47"/>
      <c r="X301" s="47"/>
      <c r="Y301" s="15"/>
    </row>
    <row r="302" spans="1:25" ht="16.5" thickBot="1">
      <c r="A302" s="1">
        <v>30</v>
      </c>
      <c r="B302" s="241"/>
      <c r="C302" s="242"/>
      <c r="D302" s="242"/>
      <c r="E302" s="242"/>
      <c r="F302" s="242"/>
      <c r="G302" s="242"/>
      <c r="H302" s="242"/>
      <c r="I302" s="242"/>
      <c r="J302" s="242"/>
      <c r="K302" s="242"/>
      <c r="L302" s="242"/>
      <c r="M302" s="244"/>
      <c r="N302" s="5"/>
      <c r="O302" s="13"/>
      <c r="P302" s="47"/>
      <c r="Q302" s="47"/>
      <c r="R302" s="47"/>
      <c r="S302" s="47"/>
      <c r="T302" s="47"/>
      <c r="U302" s="47"/>
      <c r="V302" s="5"/>
      <c r="W302" s="5"/>
      <c r="X302" s="5"/>
      <c r="Y302" s="15"/>
    </row>
    <row r="303" spans="1:25">
      <c r="A303" s="1">
        <v>31</v>
      </c>
      <c r="B303" s="173"/>
      <c r="C303" s="258" t="str">
        <f>O308</f>
        <v>Mean Glandular Dose – Combo</v>
      </c>
      <c r="D303" s="77"/>
      <c r="E303" s="77"/>
      <c r="F303" s="77"/>
      <c r="G303" s="77"/>
      <c r="H303" s="77"/>
      <c r="I303" s="77"/>
      <c r="J303" s="77"/>
      <c r="K303" s="77"/>
      <c r="L303" s="77"/>
      <c r="M303" s="78"/>
      <c r="N303" s="5"/>
      <c r="O303" s="13"/>
      <c r="P303" s="47" t="s">
        <v>163</v>
      </c>
      <c r="Q303" s="47" t="s">
        <v>292</v>
      </c>
      <c r="R303" s="5"/>
      <c r="S303" s="5"/>
      <c r="T303" s="5"/>
      <c r="U303" s="5"/>
      <c r="V303" s="5"/>
      <c r="W303" s="41" t="s">
        <v>293</v>
      </c>
      <c r="X303" s="240" t="str">
        <f>IF(OR(X298="NA",X298=""),"",(X298-AVERAGE(S296:S299))/AVERAGE(S296:S299))</f>
        <v/>
      </c>
      <c r="Y303" s="15"/>
    </row>
    <row r="304" spans="1:25" ht="16.5" thickBot="1">
      <c r="A304" s="1">
        <v>32</v>
      </c>
      <c r="B304" s="173"/>
      <c r="C304" s="77"/>
      <c r="D304" s="41" t="s">
        <v>269</v>
      </c>
      <c r="E304" s="247">
        <f>IF(Q309="","",Q309)</f>
        <v>0</v>
      </c>
      <c r="F304" s="77"/>
      <c r="G304" s="77"/>
      <c r="H304" s="77"/>
      <c r="I304" s="77"/>
      <c r="J304" s="77"/>
      <c r="K304" s="77"/>
      <c r="L304" s="77"/>
      <c r="M304" s="78"/>
      <c r="N304" s="5"/>
      <c r="O304" s="13"/>
      <c r="P304" s="47"/>
      <c r="Q304" s="47" t="s">
        <v>294</v>
      </c>
      <c r="R304" s="5"/>
      <c r="S304" s="5"/>
      <c r="T304" s="5"/>
      <c r="U304" s="5"/>
      <c r="V304" s="5"/>
      <c r="W304" s="41" t="s">
        <v>295</v>
      </c>
      <c r="X304" s="237" t="str">
        <f>IF(OR(X298="",Q300=""),"",3/(X298/Q300))</f>
        <v/>
      </c>
      <c r="Y304" s="15"/>
    </row>
    <row r="305" spans="1:25">
      <c r="A305" s="1">
        <v>33</v>
      </c>
      <c r="B305" s="173"/>
      <c r="C305" s="77"/>
      <c r="D305" s="77"/>
      <c r="E305" s="702" t="str">
        <f>O311&amp;" "&amp;P312&amp;" "&amp;Q312</f>
        <v xml:space="preserve">Combo Mode 2D Target/Filter: </v>
      </c>
      <c r="F305" s="702"/>
      <c r="G305" s="702"/>
      <c r="H305" s="702"/>
      <c r="I305" s="702"/>
      <c r="J305" s="77"/>
      <c r="K305" s="77"/>
      <c r="L305" s="77"/>
      <c r="M305" s="78"/>
      <c r="N305" s="5"/>
      <c r="O305" s="13"/>
      <c r="P305" s="77"/>
      <c r="Q305" s="77" t="s">
        <v>297</v>
      </c>
      <c r="R305" s="77"/>
      <c r="S305" s="77"/>
      <c r="T305" s="77"/>
      <c r="U305" s="77"/>
      <c r="V305" s="77"/>
      <c r="W305" s="77"/>
      <c r="X305" s="77"/>
      <c r="Y305" s="15"/>
    </row>
    <row r="306" spans="1:25">
      <c r="A306" s="1">
        <v>34</v>
      </c>
      <c r="B306" s="173"/>
      <c r="C306" s="77"/>
      <c r="D306" s="5"/>
      <c r="E306" s="13"/>
      <c r="F306" s="5"/>
      <c r="G306" s="16" t="s">
        <v>236</v>
      </c>
      <c r="H306" s="5"/>
      <c r="I306" s="15" t="s">
        <v>275</v>
      </c>
      <c r="J306" s="77"/>
      <c r="K306" s="41" t="s">
        <v>177</v>
      </c>
      <c r="L306" s="115" t="str">
        <f>IF(T312="","",T312)</f>
        <v/>
      </c>
      <c r="M306" s="78"/>
      <c r="N306" s="5"/>
      <c r="O306" s="13"/>
      <c r="P306" s="77"/>
      <c r="Q306" s="77"/>
      <c r="R306" s="77"/>
      <c r="S306" s="77"/>
      <c r="T306" s="77"/>
      <c r="U306" s="77"/>
      <c r="V306" s="77"/>
      <c r="W306" s="226"/>
      <c r="X306" s="255"/>
      <c r="Y306" s="15"/>
    </row>
    <row r="307" spans="1:25" ht="16.5" thickBot="1">
      <c r="A307" s="1">
        <v>35</v>
      </c>
      <c r="B307" s="173"/>
      <c r="C307" s="77"/>
      <c r="D307" s="16"/>
      <c r="E307" s="231" t="s">
        <v>50</v>
      </c>
      <c r="F307" s="16" t="s">
        <v>241</v>
      </c>
      <c r="G307" s="16" t="s">
        <v>242</v>
      </c>
      <c r="H307" s="16" t="s">
        <v>278</v>
      </c>
      <c r="I307" s="215" t="s">
        <v>279</v>
      </c>
      <c r="J307" s="77"/>
      <c r="K307" s="41" t="s">
        <v>280</v>
      </c>
      <c r="L307" s="115" t="str">
        <f t="shared" ref="L307:L312" si="68">IF(X315="","",X315)</f>
        <v/>
      </c>
      <c r="M307" s="78"/>
      <c r="N307" s="5"/>
      <c r="O307" s="20"/>
      <c r="P307" s="245"/>
      <c r="Q307" s="245"/>
      <c r="R307" s="21"/>
      <c r="S307" s="21"/>
      <c r="T307" s="245"/>
      <c r="U307" s="245"/>
      <c r="V307" s="21"/>
      <c r="W307" s="77"/>
      <c r="X307" s="77"/>
      <c r="Y307" s="22"/>
    </row>
    <row r="308" spans="1:25">
      <c r="A308" s="1">
        <v>36</v>
      </c>
      <c r="B308" s="173"/>
      <c r="C308" s="77"/>
      <c r="D308" s="5"/>
      <c r="E308" s="248" t="str">
        <f t="shared" ref="E308:I313" si="69">IF(Q316="","",Q316)</f>
        <v/>
      </c>
      <c r="F308" s="183" t="str">
        <f t="shared" si="69"/>
        <v/>
      </c>
      <c r="G308" s="183" t="str">
        <f t="shared" si="69"/>
        <v/>
      </c>
      <c r="H308" s="249" t="str">
        <f t="shared" si="69"/>
        <v/>
      </c>
      <c r="I308" s="217" t="str">
        <f t="shared" si="69"/>
        <v/>
      </c>
      <c r="J308" s="77"/>
      <c r="K308" s="41" t="s">
        <v>283</v>
      </c>
      <c r="L308" s="115" t="str">
        <f t="shared" si="68"/>
        <v/>
      </c>
      <c r="M308" s="78"/>
      <c r="N308" s="5"/>
      <c r="O308" s="110" t="s">
        <v>298</v>
      </c>
      <c r="P308" s="256"/>
      <c r="Q308" s="256"/>
      <c r="R308" s="256"/>
      <c r="S308" s="256"/>
      <c r="T308" s="256"/>
      <c r="U308" s="256"/>
      <c r="V308" s="256"/>
      <c r="W308" s="256"/>
      <c r="X308" s="256"/>
      <c r="Y308" s="257"/>
    </row>
    <row r="309" spans="1:25">
      <c r="A309" s="1">
        <v>37</v>
      </c>
      <c r="B309" s="173"/>
      <c r="C309" s="77"/>
      <c r="D309" s="5"/>
      <c r="E309" s="250" t="str">
        <f t="shared" si="69"/>
        <v/>
      </c>
      <c r="F309" s="121" t="str">
        <f t="shared" si="69"/>
        <v/>
      </c>
      <c r="G309" s="121" t="str">
        <f t="shared" si="69"/>
        <v/>
      </c>
      <c r="H309" s="235" t="str">
        <f t="shared" si="69"/>
        <v/>
      </c>
      <c r="I309" s="220" t="str">
        <f t="shared" si="69"/>
        <v/>
      </c>
      <c r="J309" s="77"/>
      <c r="K309" s="41" t="s">
        <v>285</v>
      </c>
      <c r="L309" s="115" t="str">
        <f t="shared" si="68"/>
        <v/>
      </c>
      <c r="M309" s="78"/>
      <c r="N309" s="5"/>
      <c r="O309" s="156"/>
      <c r="P309" s="41" t="s">
        <v>269</v>
      </c>
      <c r="Q309" s="593">
        <f>$Q$277</f>
        <v>0</v>
      </c>
      <c r="R309" s="77"/>
      <c r="S309" s="77"/>
      <c r="T309" s="77"/>
      <c r="U309" s="77"/>
      <c r="V309" s="77"/>
      <c r="W309" s="77"/>
      <c r="X309" s="77"/>
      <c r="Y309" s="139"/>
    </row>
    <row r="310" spans="1:25">
      <c r="A310" s="1">
        <v>38</v>
      </c>
      <c r="B310" s="173"/>
      <c r="C310" s="77"/>
      <c r="D310" s="5"/>
      <c r="E310" s="250" t="str">
        <f t="shared" si="69"/>
        <v/>
      </c>
      <c r="F310" s="121" t="str">
        <f t="shared" si="69"/>
        <v/>
      </c>
      <c r="G310" s="121" t="str">
        <f t="shared" si="69"/>
        <v/>
      </c>
      <c r="H310" s="235" t="str">
        <f t="shared" si="69"/>
        <v/>
      </c>
      <c r="I310" s="220" t="str">
        <f t="shared" si="69"/>
        <v/>
      </c>
      <c r="J310" s="77"/>
      <c r="K310" s="41" t="s">
        <v>286</v>
      </c>
      <c r="L310" s="115" t="str">
        <f t="shared" si="68"/>
        <v/>
      </c>
      <c r="M310" s="78"/>
      <c r="N310" s="5"/>
      <c r="O310" s="156"/>
      <c r="P310" s="77"/>
      <c r="Q310" s="77"/>
      <c r="R310" s="77"/>
      <c r="S310" s="77"/>
      <c r="T310" s="77"/>
      <c r="U310" s="77"/>
      <c r="V310" s="77"/>
      <c r="W310" s="77"/>
      <c r="X310" s="77"/>
      <c r="Y310" s="139"/>
    </row>
    <row r="311" spans="1:25" ht="16.5" thickBot="1">
      <c r="A311" s="1">
        <v>39</v>
      </c>
      <c r="B311" s="173"/>
      <c r="C311" s="77"/>
      <c r="D311" s="5"/>
      <c r="E311" s="252" t="str">
        <f t="shared" si="69"/>
        <v/>
      </c>
      <c r="F311" s="189" t="str">
        <f t="shared" si="69"/>
        <v/>
      </c>
      <c r="G311" s="189" t="str">
        <f t="shared" si="69"/>
        <v/>
      </c>
      <c r="H311" s="253" t="str">
        <f t="shared" si="69"/>
        <v/>
      </c>
      <c r="I311" s="223" t="str">
        <f t="shared" si="69"/>
        <v/>
      </c>
      <c r="J311" s="77"/>
      <c r="K311" s="226" t="s">
        <v>287</v>
      </c>
      <c r="L311" s="115" t="str">
        <f t="shared" si="68"/>
        <v/>
      </c>
      <c r="M311" s="78"/>
      <c r="N311" s="5"/>
      <c r="O311" s="13" t="s">
        <v>299</v>
      </c>
      <c r="P311" s="77"/>
      <c r="Q311" s="77"/>
      <c r="R311" s="77"/>
      <c r="S311" s="77"/>
      <c r="T311" s="77"/>
      <c r="U311" s="77"/>
      <c r="V311" s="77"/>
      <c r="W311" s="77"/>
      <c r="X311" s="77"/>
      <c r="Y311" s="139"/>
    </row>
    <row r="312" spans="1:25">
      <c r="A312" s="1">
        <v>40</v>
      </c>
      <c r="B312" s="173"/>
      <c r="C312" s="77"/>
      <c r="D312" s="41" t="s">
        <v>251</v>
      </c>
      <c r="E312" s="250" t="str">
        <f t="shared" si="69"/>
        <v/>
      </c>
      <c r="F312" s="121" t="str">
        <f t="shared" si="69"/>
        <v/>
      </c>
      <c r="G312" s="207" t="str">
        <f t="shared" si="69"/>
        <v/>
      </c>
      <c r="H312" s="235" t="str">
        <f t="shared" si="69"/>
        <v/>
      </c>
      <c r="I312" s="220" t="str">
        <f t="shared" si="69"/>
        <v/>
      </c>
      <c r="J312" s="77"/>
      <c r="K312" s="41" t="s">
        <v>289</v>
      </c>
      <c r="L312" s="254" t="str">
        <f t="shared" si="68"/>
        <v/>
      </c>
      <c r="M312" s="78"/>
      <c r="N312" s="5"/>
      <c r="O312" s="156"/>
      <c r="P312" s="41" t="s">
        <v>272</v>
      </c>
      <c r="Q312" s="113"/>
      <c r="R312" s="77"/>
      <c r="S312" s="41" t="s">
        <v>177</v>
      </c>
      <c r="T312" s="113"/>
      <c r="U312" s="77"/>
      <c r="V312" s="77"/>
      <c r="W312" s="77"/>
      <c r="X312" s="77"/>
      <c r="Y312" s="139"/>
    </row>
    <row r="313" spans="1:25" ht="16.5" thickBot="1">
      <c r="A313" s="1">
        <v>41</v>
      </c>
      <c r="B313" s="173"/>
      <c r="C313" s="77"/>
      <c r="D313" s="41" t="s">
        <v>291</v>
      </c>
      <c r="E313" s="444" t="str">
        <f t="shared" si="69"/>
        <v/>
      </c>
      <c r="F313" s="445" t="str">
        <f t="shared" si="69"/>
        <v/>
      </c>
      <c r="G313" s="445" t="str">
        <f t="shared" si="69"/>
        <v/>
      </c>
      <c r="H313" s="445" t="str">
        <f t="shared" si="69"/>
        <v/>
      </c>
      <c r="I313" s="447" t="str">
        <f t="shared" si="69"/>
        <v/>
      </c>
      <c r="J313" s="77"/>
      <c r="K313" s="77"/>
      <c r="L313" s="77"/>
      <c r="M313" s="78"/>
      <c r="N313" s="5"/>
      <c r="O313" s="156"/>
      <c r="P313" s="77"/>
      <c r="Q313" s="77"/>
      <c r="R313" s="77"/>
      <c r="S313" s="41" t="s">
        <v>270</v>
      </c>
      <c r="T313" s="113"/>
      <c r="U313" s="77"/>
      <c r="V313" s="77"/>
      <c r="W313" s="77"/>
      <c r="X313" s="77"/>
      <c r="Y313" s="139"/>
    </row>
    <row r="314" spans="1:25">
      <c r="A314" s="1">
        <v>42</v>
      </c>
      <c r="B314" s="173"/>
      <c r="C314" s="77"/>
      <c r="D314" s="77"/>
      <c r="E314" s="77"/>
      <c r="F314" s="77"/>
      <c r="G314" s="77"/>
      <c r="H314" s="77"/>
      <c r="I314" s="77"/>
      <c r="J314" s="77"/>
      <c r="K314" s="41" t="s">
        <v>293</v>
      </c>
      <c r="L314" s="254" t="str">
        <f>IF(X322="","",X322)</f>
        <v/>
      </c>
      <c r="M314" s="78"/>
      <c r="N314" s="5"/>
      <c r="O314" s="156"/>
      <c r="P314" s="77"/>
      <c r="Q314" s="5"/>
      <c r="R314" s="5"/>
      <c r="S314" s="600" t="s">
        <v>236</v>
      </c>
      <c r="T314" s="5"/>
      <c r="U314" s="5" t="s">
        <v>275</v>
      </c>
      <c r="V314" s="77"/>
      <c r="W314" s="77"/>
      <c r="X314" s="77"/>
      <c r="Y314" s="139"/>
    </row>
    <row r="315" spans="1:25" ht="16.5" thickBot="1">
      <c r="A315" s="1">
        <v>43</v>
      </c>
      <c r="B315" s="173"/>
      <c r="C315" s="77"/>
      <c r="D315" s="77"/>
      <c r="E315" s="77"/>
      <c r="F315" s="77"/>
      <c r="G315" s="77"/>
      <c r="H315" s="77"/>
      <c r="I315" s="77"/>
      <c r="J315" s="77"/>
      <c r="K315" s="77"/>
      <c r="L315" s="77"/>
      <c r="M315" s="78"/>
      <c r="N315" s="5"/>
      <c r="O315" s="156"/>
      <c r="P315" s="77"/>
      <c r="Q315" s="600" t="s">
        <v>50</v>
      </c>
      <c r="R315" s="600" t="s">
        <v>241</v>
      </c>
      <c r="S315" s="600" t="s">
        <v>242</v>
      </c>
      <c r="T315" s="600" t="s">
        <v>278</v>
      </c>
      <c r="U315" s="600" t="s">
        <v>279</v>
      </c>
      <c r="V315" s="77"/>
      <c r="W315" s="41" t="s">
        <v>280</v>
      </c>
      <c r="X315" s="115" t="str">
        <f>IF(T312="","",VLOOKUP(T312,Tables!B85:C91,2))</f>
        <v/>
      </c>
      <c r="Y315" s="139"/>
    </row>
    <row r="316" spans="1:25">
      <c r="A316" s="1">
        <v>44</v>
      </c>
      <c r="B316" s="173"/>
      <c r="C316" s="77"/>
      <c r="D316" s="77"/>
      <c r="E316" s="703" t="str">
        <f>O323&amp;" "&amp;P324&amp;" "&amp;Q324</f>
        <v xml:space="preserve">Combo Mode 3D Target/Filter: </v>
      </c>
      <c r="F316" s="703"/>
      <c r="G316" s="703"/>
      <c r="H316" s="703"/>
      <c r="I316" s="703"/>
      <c r="J316" s="77"/>
      <c r="K316" s="77"/>
      <c r="L316" s="77"/>
      <c r="M316" s="78"/>
      <c r="N316" s="5"/>
      <c r="O316" s="156"/>
      <c r="P316" s="77"/>
      <c r="Q316" s="111"/>
      <c r="R316" s="111"/>
      <c r="S316" s="111"/>
      <c r="T316" s="235" t="str">
        <f>IF(Q316="","",Q316/$T$313)</f>
        <v/>
      </c>
      <c r="U316" s="207" t="str">
        <f>IF(Q316="","",($T$312^2*Tables!D80+Tables!D81)*Q316)</f>
        <v/>
      </c>
      <c r="V316" s="77"/>
      <c r="W316" s="41" t="s">
        <v>283</v>
      </c>
      <c r="X316" s="115" t="str">
        <f>IF(U320="","",Q320*($T$312^2*Tables!D80+Tables!D81))</f>
        <v/>
      </c>
      <c r="Y316" s="139"/>
    </row>
    <row r="317" spans="1:25">
      <c r="A317" s="1">
        <v>45</v>
      </c>
      <c r="B317" s="173"/>
      <c r="C317" s="77"/>
      <c r="D317" s="77"/>
      <c r="E317" s="13"/>
      <c r="F317" s="5"/>
      <c r="G317" s="16" t="s">
        <v>236</v>
      </c>
      <c r="H317" s="5"/>
      <c r="I317" s="42" t="s">
        <v>275</v>
      </c>
      <c r="J317" s="77"/>
      <c r="K317" s="41" t="s">
        <v>177</v>
      </c>
      <c r="L317" s="115" t="str">
        <f>IF(T324="","",T324)</f>
        <v/>
      </c>
      <c r="M317" s="78"/>
      <c r="N317" s="5"/>
      <c r="O317" s="156"/>
      <c r="P317" s="77"/>
      <c r="Q317" s="111"/>
      <c r="R317" s="111"/>
      <c r="S317" s="111"/>
      <c r="T317" s="235" t="str">
        <f>IF(Q317="","",Q317/$T$313)</f>
        <v/>
      </c>
      <c r="U317" s="207" t="str">
        <f>IF(Q317="","",($T$312^2*Tables!D80+Tables!D81)*Q317)</f>
        <v/>
      </c>
      <c r="V317" s="77"/>
      <c r="W317" s="41" t="s">
        <v>285</v>
      </c>
      <c r="X317" s="237" t="str">
        <f>IF(Q312="","",HLOOKUP(Q312,Tables!G101:I102,2,FALSE))</f>
        <v/>
      </c>
      <c r="Y317" s="139"/>
    </row>
    <row r="318" spans="1:25" ht="16.5" thickBot="1">
      <c r="A318" s="1">
        <v>46</v>
      </c>
      <c r="B318" s="173"/>
      <c r="C318" s="40"/>
      <c r="D318" s="77"/>
      <c r="E318" s="231" t="s">
        <v>50</v>
      </c>
      <c r="F318" s="16" t="s">
        <v>241</v>
      </c>
      <c r="G318" s="16" t="s">
        <v>242</v>
      </c>
      <c r="H318" s="16" t="s">
        <v>278</v>
      </c>
      <c r="I318" s="260" t="s">
        <v>279</v>
      </c>
      <c r="J318" s="77"/>
      <c r="K318" s="41" t="s">
        <v>280</v>
      </c>
      <c r="L318" s="115" t="str">
        <f t="shared" ref="L318:L323" si="70">IF(X327="","",X327)</f>
        <v/>
      </c>
      <c r="M318" s="78"/>
      <c r="N318" s="5"/>
      <c r="O318" s="156"/>
      <c r="P318" s="77"/>
      <c r="Q318" s="111"/>
      <c r="R318" s="111"/>
      <c r="S318" s="111"/>
      <c r="T318" s="235" t="str">
        <f>IF(Q318="","",Q318/$T$313)</f>
        <v/>
      </c>
      <c r="U318" s="207" t="str">
        <f>IF(Q318="","",($T$312^2*Tables!D80+Tables!D81)*Q318)</f>
        <v/>
      </c>
      <c r="V318" s="77"/>
      <c r="W318" s="41" t="s">
        <v>286</v>
      </c>
      <c r="X318" s="115" t="str">
        <f>IF($O$34=2,"NA",IF(OR(X316="",X317=""),"",(X317*(X316/8.76))/100))</f>
        <v/>
      </c>
      <c r="Y318" s="139"/>
    </row>
    <row r="319" spans="1:25">
      <c r="A319" s="1">
        <v>47</v>
      </c>
      <c r="B319" s="173"/>
      <c r="C319" s="77"/>
      <c r="D319" s="77"/>
      <c r="E319" s="248" t="str">
        <f t="shared" ref="E319:I324" si="71">IF(Q328="","",Q328)</f>
        <v/>
      </c>
      <c r="F319" s="183" t="str">
        <f t="shared" si="71"/>
        <v/>
      </c>
      <c r="G319" s="183" t="str">
        <f t="shared" si="71"/>
        <v/>
      </c>
      <c r="H319" s="249" t="str">
        <f t="shared" si="71"/>
        <v/>
      </c>
      <c r="I319" s="261" t="str">
        <f t="shared" si="71"/>
        <v/>
      </c>
      <c r="J319" s="77"/>
      <c r="K319" s="41" t="s">
        <v>283</v>
      </c>
      <c r="L319" s="115" t="str">
        <f t="shared" si="70"/>
        <v/>
      </c>
      <c r="M319" s="78"/>
      <c r="N319" s="5"/>
      <c r="O319" s="156"/>
      <c r="P319" s="77"/>
      <c r="Q319" s="111"/>
      <c r="R319" s="111"/>
      <c r="S319" s="111"/>
      <c r="T319" s="235" t="str">
        <f>IF(Q319="","",Q319/$T$313)</f>
        <v/>
      </c>
      <c r="U319" s="207" t="str">
        <f>IF(Q319="","",($T$312^2*Tables!D80+Tables!D81)*Q319)</f>
        <v/>
      </c>
      <c r="V319" s="77"/>
      <c r="W319" s="41" t="s">
        <v>287</v>
      </c>
      <c r="X319" s="239" t="str">
        <f>IF(AB90="","",AB90)</f>
        <v/>
      </c>
      <c r="Y319" s="139"/>
    </row>
    <row r="320" spans="1:25">
      <c r="A320" s="1">
        <v>48</v>
      </c>
      <c r="B320" s="173"/>
      <c r="C320" s="77"/>
      <c r="D320" s="77"/>
      <c r="E320" s="250" t="str">
        <f t="shared" si="71"/>
        <v/>
      </c>
      <c r="F320" s="121" t="str">
        <f t="shared" si="71"/>
        <v/>
      </c>
      <c r="G320" s="121" t="str">
        <f t="shared" si="71"/>
        <v/>
      </c>
      <c r="H320" s="235" t="str">
        <f t="shared" si="71"/>
        <v/>
      </c>
      <c r="I320" s="264" t="str">
        <f t="shared" si="71"/>
        <v/>
      </c>
      <c r="J320" s="77"/>
      <c r="K320" s="41" t="s">
        <v>285</v>
      </c>
      <c r="L320" s="115" t="str">
        <f t="shared" si="70"/>
        <v/>
      </c>
      <c r="M320" s="78"/>
      <c r="N320" s="5"/>
      <c r="O320" s="156"/>
      <c r="P320" s="41" t="s">
        <v>251</v>
      </c>
      <c r="Q320" s="209" t="str">
        <f>IF(OR(Q316="",Q317="",Q318="",Q319=""),"",AVERAGE(Q316:Q319))</f>
        <v/>
      </c>
      <c r="R320" s="210" t="str">
        <f>IF(OR(R316="",R317="",R318="",R319=""),"",AVERAGE(R316:R319))</f>
        <v/>
      </c>
      <c r="S320" s="207" t="str">
        <f>IF(OR(S316="",S317="",S318="",S319=""),"",AVERAGE(S316:S319))</f>
        <v/>
      </c>
      <c r="T320" s="235" t="str">
        <f>IF(OR(T316="",T317="",T318="",T319=""),"",AVERAGE(T316:T319))</f>
        <v/>
      </c>
      <c r="U320" s="207" t="str">
        <f>IF(OR(U316="",U317="",U318="",U319=""),"",AVERAGE(U316:U319))</f>
        <v/>
      </c>
      <c r="V320" s="77"/>
      <c r="W320" s="41" t="s">
        <v>289</v>
      </c>
      <c r="X320" s="240" t="str">
        <f>IF(OR(X318="",X319=""),"",(X318-X319)/X319)</f>
        <v/>
      </c>
      <c r="Y320" s="139"/>
    </row>
    <row r="321" spans="1:25">
      <c r="A321" s="1">
        <v>49</v>
      </c>
      <c r="B321" s="173"/>
      <c r="C321" s="77"/>
      <c r="D321" s="77"/>
      <c r="E321" s="250" t="str">
        <f t="shared" si="71"/>
        <v/>
      </c>
      <c r="F321" s="121" t="str">
        <f t="shared" si="71"/>
        <v/>
      </c>
      <c r="G321" s="121" t="str">
        <f t="shared" si="71"/>
        <v/>
      </c>
      <c r="H321" s="235" t="str">
        <f t="shared" si="71"/>
        <v/>
      </c>
      <c r="I321" s="264" t="str">
        <f t="shared" si="71"/>
        <v/>
      </c>
      <c r="J321" s="77"/>
      <c r="K321" s="41" t="s">
        <v>286</v>
      </c>
      <c r="L321" s="115" t="str">
        <f t="shared" si="70"/>
        <v/>
      </c>
      <c r="M321" s="78"/>
      <c r="N321" s="5"/>
      <c r="O321" s="156"/>
      <c r="P321" s="41" t="s">
        <v>291</v>
      </c>
      <c r="Q321" s="284" t="str">
        <f>IF(Q320="","",STDEV(Q316:Q319)/Q320)</f>
        <v/>
      </c>
      <c r="R321" s="284" t="str">
        <f>IF(R320="","",STDEV(R316:R319)/R320)</f>
        <v/>
      </c>
      <c r="S321" s="284" t="str">
        <f>IF(S320="","",STDEV(S316:S319)/S320)</f>
        <v/>
      </c>
      <c r="T321" s="284" t="str">
        <f>IF(T320="","",STDEV(T316:T319)/T320)</f>
        <v/>
      </c>
      <c r="U321" s="284" t="str">
        <f>IF(U320="","",STDEV(U316:U319)/U320)</f>
        <v/>
      </c>
      <c r="V321" s="77"/>
      <c r="W321" s="77"/>
      <c r="X321" s="77"/>
      <c r="Y321" s="139"/>
    </row>
    <row r="322" spans="1:25" ht="16.5" thickBot="1">
      <c r="A322" s="1">
        <v>50</v>
      </c>
      <c r="B322" s="173"/>
      <c r="C322" s="77"/>
      <c r="D322" s="77"/>
      <c r="E322" s="252" t="str">
        <f t="shared" si="71"/>
        <v/>
      </c>
      <c r="F322" s="189" t="str">
        <f t="shared" si="71"/>
        <v/>
      </c>
      <c r="G322" s="189" t="str">
        <f t="shared" si="71"/>
        <v/>
      </c>
      <c r="H322" s="253" t="str">
        <f t="shared" si="71"/>
        <v/>
      </c>
      <c r="I322" s="266" t="str">
        <f t="shared" si="71"/>
        <v/>
      </c>
      <c r="J322" s="77"/>
      <c r="K322" s="226" t="s">
        <v>287</v>
      </c>
      <c r="L322" s="115" t="str">
        <f t="shared" si="70"/>
        <v/>
      </c>
      <c r="M322" s="78"/>
      <c r="N322" s="5"/>
      <c r="O322" s="156"/>
      <c r="P322" s="77"/>
      <c r="Q322" s="77"/>
      <c r="R322" s="77"/>
      <c r="S322" s="77"/>
      <c r="T322" s="77"/>
      <c r="U322" s="77"/>
      <c r="V322" s="77"/>
      <c r="W322" s="41" t="s">
        <v>293</v>
      </c>
      <c r="X322" s="240" t="str">
        <f>IF(X318="","",(X318-AVERAGE(S316:S319))/AVERAGE(S316:S319))</f>
        <v/>
      </c>
      <c r="Y322" s="139"/>
    </row>
    <row r="323" spans="1:25">
      <c r="A323" s="1">
        <v>51</v>
      </c>
      <c r="B323" s="173"/>
      <c r="C323" s="77"/>
      <c r="D323" s="41" t="s">
        <v>251</v>
      </c>
      <c r="E323" s="250" t="str">
        <f t="shared" si="71"/>
        <v/>
      </c>
      <c r="F323" s="121" t="str">
        <f t="shared" si="71"/>
        <v/>
      </c>
      <c r="G323" s="207" t="str">
        <f t="shared" si="71"/>
        <v/>
      </c>
      <c r="H323" s="235" t="str">
        <f t="shared" si="71"/>
        <v/>
      </c>
      <c r="I323" s="264" t="str">
        <f t="shared" si="71"/>
        <v/>
      </c>
      <c r="J323" s="77"/>
      <c r="K323" s="41" t="s">
        <v>289</v>
      </c>
      <c r="L323" s="254" t="str">
        <f t="shared" si="70"/>
        <v/>
      </c>
      <c r="M323" s="78"/>
      <c r="N323" s="5"/>
      <c r="O323" s="259" t="s">
        <v>300</v>
      </c>
      <c r="P323" s="77"/>
      <c r="Q323" s="77"/>
      <c r="R323" s="77"/>
      <c r="S323" s="77"/>
      <c r="T323" s="77"/>
      <c r="U323" s="77"/>
      <c r="V323" s="77"/>
      <c r="W323" s="77"/>
      <c r="X323" s="77"/>
      <c r="Y323" s="139"/>
    </row>
    <row r="324" spans="1:25" ht="16.5" thickBot="1">
      <c r="A324" s="1">
        <v>52</v>
      </c>
      <c r="B324" s="173"/>
      <c r="C324" s="77"/>
      <c r="D324" s="41" t="s">
        <v>291</v>
      </c>
      <c r="E324" s="444" t="str">
        <f t="shared" si="71"/>
        <v/>
      </c>
      <c r="F324" s="445" t="str">
        <f t="shared" si="71"/>
        <v/>
      </c>
      <c r="G324" s="445" t="str">
        <f t="shared" si="71"/>
        <v/>
      </c>
      <c r="H324" s="445" t="str">
        <f t="shared" si="71"/>
        <v/>
      </c>
      <c r="I324" s="457" t="str">
        <f t="shared" si="71"/>
        <v/>
      </c>
      <c r="J324" s="77"/>
      <c r="K324" s="77"/>
      <c r="L324" s="77"/>
      <c r="M324" s="78"/>
      <c r="N324" s="5"/>
      <c r="O324" s="156"/>
      <c r="P324" s="41" t="s">
        <v>272</v>
      </c>
      <c r="Q324" s="113"/>
      <c r="R324" s="77"/>
      <c r="S324" s="41" t="s">
        <v>177</v>
      </c>
      <c r="T324" s="113"/>
      <c r="U324" s="77"/>
      <c r="V324" s="77"/>
      <c r="W324" s="77"/>
      <c r="X324" s="77"/>
      <c r="Y324" s="139"/>
    </row>
    <row r="325" spans="1:25">
      <c r="A325" s="1">
        <v>53</v>
      </c>
      <c r="B325" s="173"/>
      <c r="C325" s="77"/>
      <c r="D325" s="84" t="s">
        <v>163</v>
      </c>
      <c r="E325" s="47" t="s">
        <v>292</v>
      </c>
      <c r="F325" s="77"/>
      <c r="G325" s="77"/>
      <c r="H325" s="77"/>
      <c r="I325" s="77"/>
      <c r="J325" s="77"/>
      <c r="K325" s="41" t="s">
        <v>293</v>
      </c>
      <c r="L325" s="254" t="str">
        <f>IF(X334="","",X334)</f>
        <v/>
      </c>
      <c r="M325" s="78"/>
      <c r="N325" s="5"/>
      <c r="O325" s="156"/>
      <c r="P325" s="77"/>
      <c r="Q325" s="77"/>
      <c r="R325" s="77"/>
      <c r="S325" s="41" t="s">
        <v>270</v>
      </c>
      <c r="T325" s="113"/>
      <c r="U325" s="77"/>
      <c r="V325" s="77"/>
      <c r="W325" s="77"/>
      <c r="X325" s="77"/>
      <c r="Y325" s="139"/>
    </row>
    <row r="326" spans="1:25">
      <c r="A326" s="1">
        <v>54</v>
      </c>
      <c r="B326" s="173"/>
      <c r="C326" s="77"/>
      <c r="D326" s="5"/>
      <c r="E326" s="47" t="s">
        <v>294</v>
      </c>
      <c r="F326" s="77"/>
      <c r="G326" s="77"/>
      <c r="H326" s="77"/>
      <c r="I326" s="77"/>
      <c r="J326" s="77"/>
      <c r="K326" s="77"/>
      <c r="L326" s="77"/>
      <c r="M326" s="78"/>
      <c r="N326" s="5"/>
      <c r="O326" s="156"/>
      <c r="P326" s="77"/>
      <c r="Q326" s="5"/>
      <c r="R326" s="5"/>
      <c r="S326" s="600" t="s">
        <v>236</v>
      </c>
      <c r="T326" s="5"/>
      <c r="U326" s="5" t="s">
        <v>275</v>
      </c>
      <c r="V326" s="77"/>
      <c r="W326" s="77"/>
      <c r="X326" s="77"/>
      <c r="Y326" s="139"/>
    </row>
    <row r="327" spans="1:25">
      <c r="A327" s="1">
        <v>55</v>
      </c>
      <c r="B327" s="173"/>
      <c r="C327" s="77"/>
      <c r="D327" s="77"/>
      <c r="E327" s="77"/>
      <c r="F327" s="77"/>
      <c r="G327" s="77"/>
      <c r="H327" s="77"/>
      <c r="I327" s="77"/>
      <c r="J327" s="77"/>
      <c r="K327" s="268" t="s">
        <v>313</v>
      </c>
      <c r="L327" s="269" t="str">
        <f>IF(X335="","",X335)</f>
        <v/>
      </c>
      <c r="M327" s="78"/>
      <c r="N327" s="5"/>
      <c r="O327" s="156"/>
      <c r="P327" s="77"/>
      <c r="Q327" s="600" t="s">
        <v>50</v>
      </c>
      <c r="R327" s="600" t="s">
        <v>241</v>
      </c>
      <c r="S327" s="600" t="s">
        <v>242</v>
      </c>
      <c r="T327" s="600" t="s">
        <v>278</v>
      </c>
      <c r="U327" s="600" t="s">
        <v>279</v>
      </c>
      <c r="V327" s="77"/>
      <c r="W327" s="41" t="s">
        <v>280</v>
      </c>
      <c r="X327" s="115" t="str">
        <f>IF(T324="","",VLOOKUP(T324,Tables!H85:I89,2))</f>
        <v/>
      </c>
      <c r="Y327" s="139"/>
    </row>
    <row r="328" spans="1:25">
      <c r="A328" s="1">
        <v>56</v>
      </c>
      <c r="B328" s="173"/>
      <c r="C328" s="77"/>
      <c r="D328" s="77"/>
      <c r="E328" s="77"/>
      <c r="F328" s="77"/>
      <c r="G328" s="77"/>
      <c r="H328" s="77"/>
      <c r="I328" s="77"/>
      <c r="J328" s="77"/>
      <c r="K328" s="268" t="s">
        <v>302</v>
      </c>
      <c r="L328" s="270" t="str">
        <f>IF(X336="","",X336)</f>
        <v/>
      </c>
      <c r="M328" s="78"/>
      <c r="N328" s="5"/>
      <c r="O328" s="156"/>
      <c r="P328" s="77"/>
      <c r="Q328" s="111"/>
      <c r="R328" s="111"/>
      <c r="S328" s="111"/>
      <c r="T328" s="235" t="str">
        <f>IF(Q328="","",Q328/$T$325)</f>
        <v/>
      </c>
      <c r="U328" s="207" t="str">
        <f>IF(Q328="","",($T$324^2*Tables!D80+Tables!D81)*Q328)</f>
        <v/>
      </c>
      <c r="V328" s="77"/>
      <c r="W328" s="41" t="s">
        <v>283</v>
      </c>
      <c r="X328" s="115" t="str">
        <f>IF(U332="","",Q332*($T$324^2*Tables!P78+Tables!P79))</f>
        <v/>
      </c>
      <c r="Y328" s="139"/>
    </row>
    <row r="329" spans="1:25">
      <c r="A329" s="1">
        <v>57</v>
      </c>
      <c r="B329" s="173"/>
      <c r="C329" s="77"/>
      <c r="D329" s="77"/>
      <c r="E329" s="77"/>
      <c r="F329" s="77"/>
      <c r="G329" s="77"/>
      <c r="H329" s="77"/>
      <c r="I329" s="77"/>
      <c r="J329" s="77"/>
      <c r="K329" s="77"/>
      <c r="L329" s="77"/>
      <c r="M329" s="78"/>
      <c r="N329" s="5"/>
      <c r="O329" s="156"/>
      <c r="P329" s="77"/>
      <c r="Q329" s="111"/>
      <c r="R329" s="111"/>
      <c r="S329" s="111"/>
      <c r="T329" s="235" t="str">
        <f>IF(Q329="","",Q329/$T$325)</f>
        <v/>
      </c>
      <c r="U329" s="207" t="str">
        <f>IF(Q329="","",($T$324^2*Tables!D80+Tables!D81)*Q329)</f>
        <v/>
      </c>
      <c r="V329" s="77"/>
      <c r="W329" s="41" t="s">
        <v>285</v>
      </c>
      <c r="X329" s="237" t="str">
        <f>IF(Q324="","",HLOOKUP(Q324,Tables!G101:I102,2,FALSE))</f>
        <v/>
      </c>
      <c r="Y329" s="139"/>
    </row>
    <row r="330" spans="1:25" ht="16.5" thickBot="1">
      <c r="A330" s="1">
        <v>58</v>
      </c>
      <c r="B330" s="140"/>
      <c r="C330" s="21"/>
      <c r="D330" s="21"/>
      <c r="E330" s="21"/>
      <c r="F330" s="21"/>
      <c r="G330" s="21"/>
      <c r="H330" s="21"/>
      <c r="I330" s="21"/>
      <c r="J330" s="21"/>
      <c r="K330" s="21"/>
      <c r="L330" s="21"/>
      <c r="M330" s="141"/>
      <c r="N330" s="5"/>
      <c r="O330" s="156"/>
      <c r="P330" s="77"/>
      <c r="Q330" s="111"/>
      <c r="R330" s="111"/>
      <c r="S330" s="111"/>
      <c r="T330" s="235" t="str">
        <f>IF(Q330="","",Q330/$T$325)</f>
        <v/>
      </c>
      <c r="U330" s="207" t="str">
        <f>IF(Q330="","",($T$324^2*Tables!D80+Tables!D81)*Q330)</f>
        <v/>
      </c>
      <c r="V330" s="77"/>
      <c r="W330" s="41" t="s">
        <v>286</v>
      </c>
      <c r="X330" s="115" t="str">
        <f>IF($O$34=2,"NA",IF(OR(X328="",X329=""),"",(X329*(X328/8.76))/100))</f>
        <v/>
      </c>
      <c r="Y330" s="139"/>
    </row>
    <row r="331" spans="1:25">
      <c r="A331" s="1">
        <v>59</v>
      </c>
      <c r="B331" s="271"/>
      <c r="C331" s="272" t="s">
        <v>314</v>
      </c>
      <c r="D331" s="273"/>
      <c r="E331" s="273"/>
      <c r="F331" s="273"/>
      <c r="G331" s="273"/>
      <c r="H331" s="273"/>
      <c r="I331" s="273"/>
      <c r="J331" s="273"/>
      <c r="K331" s="273"/>
      <c r="L331" s="273"/>
      <c r="M331" s="274"/>
      <c r="N331" s="5"/>
      <c r="O331" s="156"/>
      <c r="P331" s="77"/>
      <c r="Q331" s="111"/>
      <c r="R331" s="111"/>
      <c r="S331" s="111"/>
      <c r="T331" s="235" t="str">
        <f>IF(Q331="","",Q331/$T$325)</f>
        <v/>
      </c>
      <c r="U331" s="207" t="str">
        <f>IF(Q331="","",($T$324^2*Tables!D80+Tables!D81)*Q331)</f>
        <v/>
      </c>
      <c r="V331" s="77"/>
      <c r="W331" s="41" t="s">
        <v>287</v>
      </c>
      <c r="X331" s="239" t="str">
        <f>IF(AB91="","",AB91)</f>
        <v/>
      </c>
      <c r="Y331" s="139"/>
    </row>
    <row r="332" spans="1:25" ht="16.5" thickBot="1">
      <c r="A332" s="1">
        <v>60</v>
      </c>
      <c r="B332" s="39"/>
      <c r="C332" s="5"/>
      <c r="D332" s="41" t="s">
        <v>177</v>
      </c>
      <c r="E332" s="119">
        <f>IF(Q454="","",Q454)</f>
        <v>0</v>
      </c>
      <c r="F332" s="5"/>
      <c r="G332" s="5"/>
      <c r="H332" s="5" t="s">
        <v>315</v>
      </c>
      <c r="I332" s="5" t="s">
        <v>316</v>
      </c>
      <c r="J332" s="5" t="s">
        <v>257</v>
      </c>
      <c r="K332" s="5" t="s">
        <v>258</v>
      </c>
      <c r="L332" s="5"/>
      <c r="M332" s="42"/>
      <c r="N332" s="5"/>
      <c r="O332" s="156"/>
      <c r="P332" s="41" t="s">
        <v>251</v>
      </c>
      <c r="Q332" s="209" t="str">
        <f>IF(OR(Q328="",Q329="",Q330="",Q331=""),"",AVERAGE(Q328:Q331))</f>
        <v/>
      </c>
      <c r="R332" s="210" t="str">
        <f>IF(OR(R328="",R329="",R330="",R331=""),"",AVERAGE(R328:R331))</f>
        <v/>
      </c>
      <c r="S332" s="207" t="str">
        <f>IF(OR(S328="",S329="",S330="",S331=""),"",AVERAGE(S328:S331))</f>
        <v/>
      </c>
      <c r="T332" s="235" t="str">
        <f>IF(OR(T328="",T329="",T330="",T331=""),"",AVERAGE(T328:T331))</f>
        <v/>
      </c>
      <c r="U332" s="207" t="str">
        <f>IF(OR(U328="",U329="",U330="",U331=""),"",AVERAGE(U328:U331))</f>
        <v/>
      </c>
      <c r="V332" s="77"/>
      <c r="W332" s="41" t="s">
        <v>289</v>
      </c>
      <c r="X332" s="240" t="str">
        <f>IF(OR(X330="",X331=""),"",(X330-X331)/X331)</f>
        <v/>
      </c>
      <c r="Y332" s="139"/>
    </row>
    <row r="333" spans="1:25" ht="16.5" thickBot="1">
      <c r="A333" s="1">
        <v>61</v>
      </c>
      <c r="B333" s="39"/>
      <c r="C333" s="5"/>
      <c r="D333" s="41" t="s">
        <v>178</v>
      </c>
      <c r="E333" s="119">
        <f>IF(Q455="","",Q455)</f>
        <v>0</v>
      </c>
      <c r="F333" s="5"/>
      <c r="G333" s="41" t="s">
        <v>317</v>
      </c>
      <c r="H333" s="275" t="str">
        <f t="shared" ref="H333:K334" si="72">IF(T458="","",T458)</f>
        <v/>
      </c>
      <c r="I333" s="121" t="str">
        <f t="shared" si="72"/>
        <v/>
      </c>
      <c r="J333" s="284" t="str">
        <f t="shared" si="72"/>
        <v/>
      </c>
      <c r="K333" s="276" t="str">
        <f t="shared" si="72"/>
        <v>Pass</v>
      </c>
      <c r="L333" s="5"/>
      <c r="M333" s="42"/>
      <c r="N333" s="5"/>
      <c r="O333" s="156"/>
      <c r="P333" s="41" t="s">
        <v>291</v>
      </c>
      <c r="Q333" s="284" t="str">
        <f>IF(Q332="","",STDEV(Q328:Q331)/Q332)</f>
        <v/>
      </c>
      <c r="R333" s="284" t="str">
        <f>IF(R332="","",STDEV(R328:R331)/R332)</f>
        <v/>
      </c>
      <c r="S333" s="284" t="str">
        <f>IF(S332="","",STDEV(S328:S331)/S332)</f>
        <v/>
      </c>
      <c r="T333" s="284" t="str">
        <f>IF(T332="","",STDEV(T328:T331)/T332)</f>
        <v/>
      </c>
      <c r="U333" s="284" t="str">
        <f>IF(U332="","",STDEV(U328:U331)/U332)</f>
        <v/>
      </c>
      <c r="V333" s="77"/>
      <c r="W333" s="77"/>
      <c r="X333" s="77"/>
      <c r="Y333" s="139"/>
    </row>
    <row r="334" spans="1:25" ht="16.5" thickBot="1">
      <c r="A334" s="1">
        <v>62</v>
      </c>
      <c r="B334" s="39"/>
      <c r="C334" s="5"/>
      <c r="D334" s="41" t="s">
        <v>29</v>
      </c>
      <c r="E334" s="119" t="str">
        <f>IF(Q456="","",Q456)</f>
        <v/>
      </c>
      <c r="F334" s="5"/>
      <c r="G334" s="41" t="s">
        <v>319</v>
      </c>
      <c r="H334" s="275" t="str">
        <f t="shared" si="72"/>
        <v/>
      </c>
      <c r="I334" s="121" t="str">
        <f t="shared" si="72"/>
        <v/>
      </c>
      <c r="J334" s="284" t="str">
        <f t="shared" si="72"/>
        <v/>
      </c>
      <c r="K334" s="121" t="str">
        <f t="shared" si="72"/>
        <v>NA</v>
      </c>
      <c r="L334" s="5"/>
      <c r="M334" s="42"/>
      <c r="N334" s="5"/>
      <c r="O334" s="156"/>
      <c r="P334" s="77"/>
      <c r="Q334" s="77"/>
      <c r="R334" s="77"/>
      <c r="S334" s="77"/>
      <c r="T334" s="77"/>
      <c r="U334" s="77"/>
      <c r="V334" s="77"/>
      <c r="W334" s="41" t="s">
        <v>293</v>
      </c>
      <c r="X334" s="240" t="str">
        <f>IF(X330="","",(X330-AVERAGE(S328:S331))/AVERAGE(S328:S331))</f>
        <v/>
      </c>
      <c r="Y334" s="139"/>
    </row>
    <row r="335" spans="1:25">
      <c r="A335" s="1">
        <v>63</v>
      </c>
      <c r="B335" s="39"/>
      <c r="C335" s="5"/>
      <c r="D335" s="41" t="s">
        <v>31</v>
      </c>
      <c r="E335" s="119" t="str">
        <f>IF(Q457="","",Q457)</f>
        <v/>
      </c>
      <c r="F335" s="5"/>
      <c r="G335" s="5"/>
      <c r="H335" s="5"/>
      <c r="I335" s="5"/>
      <c r="J335" s="5"/>
      <c r="K335" s="5"/>
      <c r="L335" s="5"/>
      <c r="M335" s="42"/>
      <c r="N335" s="5"/>
      <c r="O335" s="156"/>
      <c r="P335" s="77"/>
      <c r="Q335" s="77"/>
      <c r="R335" s="77"/>
      <c r="S335" s="77"/>
      <c r="T335" s="77"/>
      <c r="U335" s="77"/>
      <c r="V335" s="77"/>
      <c r="W335" s="41" t="s">
        <v>301</v>
      </c>
      <c r="X335" s="115" t="str">
        <f>IF($O$34=2,"NA",IF(OR(X318="",X330=""),"",X318+X330))</f>
        <v/>
      </c>
      <c r="Y335" s="139"/>
    </row>
    <row r="336" spans="1:25" ht="16.5" thickBot="1">
      <c r="A336" s="1">
        <v>64</v>
      </c>
      <c r="B336" s="39"/>
      <c r="C336" s="5"/>
      <c r="D336" s="84" t="s">
        <v>163</v>
      </c>
      <c r="E336" s="176" t="s">
        <v>320</v>
      </c>
      <c r="F336" s="5"/>
      <c r="G336" s="5"/>
      <c r="H336" s="5"/>
      <c r="I336" s="5"/>
      <c r="J336" s="5"/>
      <c r="K336" s="5"/>
      <c r="L336" s="5"/>
      <c r="M336" s="42"/>
      <c r="N336" s="5"/>
      <c r="O336" s="262"/>
      <c r="P336" s="242"/>
      <c r="Q336" s="242"/>
      <c r="R336" s="242"/>
      <c r="S336" s="242"/>
      <c r="T336" s="242"/>
      <c r="U336" s="242"/>
      <c r="V336" s="242"/>
      <c r="W336" s="246" t="s">
        <v>302</v>
      </c>
      <c r="X336" s="239" t="str">
        <f>IF(AB92="","",AB92)</f>
        <v/>
      </c>
      <c r="Y336" s="263"/>
    </row>
    <row r="337" spans="1:25">
      <c r="A337" s="1">
        <v>65</v>
      </c>
      <c r="B337" s="39"/>
      <c r="C337" s="5"/>
      <c r="D337" s="5"/>
      <c r="E337" s="10" t="s">
        <v>321</v>
      </c>
      <c r="F337" s="5"/>
      <c r="G337" s="5"/>
      <c r="H337" s="5"/>
      <c r="I337" s="5"/>
      <c r="J337" s="5"/>
      <c r="K337" s="5"/>
      <c r="L337" s="5"/>
      <c r="M337" s="42"/>
      <c r="N337" s="5"/>
      <c r="O337" s="110" t="s">
        <v>303</v>
      </c>
      <c r="P337" s="265"/>
      <c r="Q337" s="265"/>
      <c r="R337" s="7"/>
      <c r="S337" s="7"/>
      <c r="T337" s="265"/>
      <c r="U337" s="265"/>
      <c r="V337" s="7"/>
      <c r="W337" s="7"/>
      <c r="X337" s="7"/>
      <c r="Y337" s="8"/>
    </row>
    <row r="338" spans="1:25" ht="16.5" thickBot="1">
      <c r="A338" s="1">
        <v>66</v>
      </c>
      <c r="B338" s="140"/>
      <c r="C338" s="21"/>
      <c r="D338" s="21"/>
      <c r="E338" s="21"/>
      <c r="F338" s="21"/>
      <c r="G338" s="21"/>
      <c r="H338" s="21"/>
      <c r="I338" s="21"/>
      <c r="J338" s="21"/>
      <c r="K338" s="21"/>
      <c r="L338" s="21"/>
      <c r="M338" s="141"/>
      <c r="N338" s="5"/>
      <c r="O338" s="13" t="s">
        <v>304</v>
      </c>
      <c r="P338" s="187" t="s">
        <v>588</v>
      </c>
      <c r="Q338" s="5"/>
      <c r="R338" s="77"/>
      <c r="S338" s="41" t="s">
        <v>305</v>
      </c>
      <c r="T338" s="608">
        <v>43014</v>
      </c>
      <c r="U338" s="601"/>
      <c r="V338" s="5"/>
      <c r="W338" s="5"/>
      <c r="X338" s="5"/>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t="s">
        <v>306</v>
      </c>
      <c r="P339" s="267" t="s">
        <v>589</v>
      </c>
      <c r="Q339" s="5"/>
      <c r="R339" s="77"/>
      <c r="S339" s="41" t="s">
        <v>307</v>
      </c>
      <c r="T339" s="608">
        <v>43744</v>
      </c>
      <c r="U339" s="601"/>
      <c r="V339" s="5"/>
      <c r="W339" s="5"/>
      <c r="X339" s="5"/>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5"/>
      <c r="Q340" s="5"/>
      <c r="R340" s="5"/>
      <c r="S340" s="5"/>
      <c r="T340" s="5"/>
      <c r="U340" s="5"/>
      <c r="V340" s="5"/>
      <c r="W340" s="5"/>
      <c r="X340" s="5"/>
      <c r="Y340" s="15"/>
    </row>
    <row r="341" spans="1:25">
      <c r="A341" s="1">
        <v>1</v>
      </c>
      <c r="B341" s="5"/>
      <c r="C341" s="5"/>
      <c r="D341" s="5"/>
      <c r="E341" s="5"/>
      <c r="F341" s="5"/>
      <c r="G341" s="5"/>
      <c r="H341" s="5"/>
      <c r="I341" s="5"/>
      <c r="J341" s="5"/>
      <c r="K341" s="5"/>
      <c r="L341" s="5"/>
      <c r="M341" s="83" t="str">
        <f>$H$2</f>
        <v>Medical University of South Carolina</v>
      </c>
      <c r="N341" s="5"/>
      <c r="O341" s="13"/>
      <c r="P341" s="5"/>
      <c r="Q341" s="5"/>
      <c r="R341" s="5"/>
      <c r="S341" s="5"/>
      <c r="T341" s="600" t="s">
        <v>308</v>
      </c>
      <c r="U341" s="600"/>
      <c r="V341" s="600"/>
      <c r="W341" s="600"/>
      <c r="X341" s="600"/>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600" t="s">
        <v>29</v>
      </c>
      <c r="Q342" s="600" t="s">
        <v>239</v>
      </c>
      <c r="R342" s="600" t="s">
        <v>240</v>
      </c>
      <c r="S342" s="600" t="s">
        <v>50</v>
      </c>
      <c r="T342" s="600" t="s">
        <v>49</v>
      </c>
      <c r="U342" s="600" t="s">
        <v>309</v>
      </c>
      <c r="V342" s="600" t="s">
        <v>310</v>
      </c>
      <c r="W342" s="600" t="s">
        <v>311</v>
      </c>
      <c r="X342" s="600" t="s">
        <v>312</v>
      </c>
      <c r="Y342" s="15"/>
    </row>
    <row r="343" spans="1:25" ht="16.5" thickTop="1">
      <c r="A343" s="1">
        <v>3</v>
      </c>
      <c r="B343" s="32"/>
      <c r="C343" s="277" t="s">
        <v>304</v>
      </c>
      <c r="D343" s="278" t="str">
        <f>IF(P338="","",P338)</f>
        <v>Piranha</v>
      </c>
      <c r="E343" s="277"/>
      <c r="F343" s="279"/>
      <c r="G343" s="33"/>
      <c r="H343" s="277" t="s">
        <v>305</v>
      </c>
      <c r="I343" s="698">
        <f>IF(T338="","",T338)</f>
        <v>43014</v>
      </c>
      <c r="J343" s="698"/>
      <c r="K343" s="33"/>
      <c r="L343" s="33"/>
      <c r="M343" s="35"/>
      <c r="N343" s="5"/>
      <c r="O343" s="13"/>
      <c r="P343" s="121" t="str">
        <f>IF(AK10="","",AK10)</f>
        <v/>
      </c>
      <c r="Q343" s="121" t="str">
        <f>IF(AL10="","",AL10)</f>
        <v/>
      </c>
      <c r="R343" s="121">
        <f>IF(AH10="","",AH10)</f>
        <v>24</v>
      </c>
      <c r="S343" s="121">
        <f>IF(AI10="","",AI10)</f>
        <v>50</v>
      </c>
      <c r="T343" s="207" t="str">
        <f>IF(AM10="","",AVERAGE(AM10,AM11))</f>
        <v/>
      </c>
      <c r="U343" s="209" t="str">
        <f>IF(AN10="","",AVERAGE(AN10,AN11))</f>
        <v/>
      </c>
      <c r="V343" s="207" t="str">
        <f>IF(AO10="","",AVERAGE(AO10,AO11))</f>
        <v/>
      </c>
      <c r="W343" s="235" t="str">
        <f t="shared" ref="W343:W349" si="73">IF(V343="","",V343/S343)</f>
        <v/>
      </c>
      <c r="X343" s="207" t="str">
        <f t="shared" ref="X343:X349" si="74">IF(OR(V343="",U343=""),"",V343/(U343/1000))</f>
        <v/>
      </c>
      <c r="Y343" s="15"/>
    </row>
    <row r="344" spans="1:25">
      <c r="A344" s="1">
        <v>4</v>
      </c>
      <c r="B344" s="39"/>
      <c r="C344" s="226" t="s">
        <v>322</v>
      </c>
      <c r="D344" s="247" t="str">
        <f>IF(P339="","",P339)</f>
        <v>CB2-17090320</v>
      </c>
      <c r="E344" s="47"/>
      <c r="F344" s="47"/>
      <c r="G344" s="47"/>
      <c r="H344" s="226" t="s">
        <v>307</v>
      </c>
      <c r="I344" s="699">
        <f>IF(T339="","",T339)</f>
        <v>43744</v>
      </c>
      <c r="J344" s="699"/>
      <c r="K344" s="47"/>
      <c r="L344" s="5"/>
      <c r="M344" s="42"/>
      <c r="N344" s="5"/>
      <c r="O344" s="13"/>
      <c r="P344" s="121" t="str">
        <f>IF(AK18="","",AK18)</f>
        <v/>
      </c>
      <c r="Q344" s="121" t="str">
        <f>IF(AL18="","",AL18)</f>
        <v/>
      </c>
      <c r="R344" s="121">
        <f>IF(AH18="","",AH18)</f>
        <v>25</v>
      </c>
      <c r="S344" s="121">
        <f>IF(AI18="","",AI18)</f>
        <v>50</v>
      </c>
      <c r="T344" s="207" t="str">
        <f>IF(AM18="","",AVERAGE(AM18,AM19))</f>
        <v/>
      </c>
      <c r="U344" s="209" t="str">
        <f>IF(AN18="","",AVERAGE(AN18,AN19))</f>
        <v/>
      </c>
      <c r="V344" s="207" t="str">
        <f>IF(AO18="","",AVERAGE(AO18,AO19))</f>
        <v/>
      </c>
      <c r="W344" s="235" t="str">
        <f t="shared" si="73"/>
        <v/>
      </c>
      <c r="X344" s="207" t="str">
        <f t="shared" si="74"/>
        <v/>
      </c>
      <c r="Y344" s="15"/>
    </row>
    <row r="345" spans="1:25">
      <c r="A345" s="1">
        <v>5</v>
      </c>
      <c r="B345" s="39"/>
      <c r="C345" s="125" t="s">
        <v>323</v>
      </c>
      <c r="D345" s="40"/>
      <c r="E345" s="40"/>
      <c r="F345" s="40"/>
      <c r="G345" s="40"/>
      <c r="H345" s="40"/>
      <c r="I345" s="40"/>
      <c r="J345" s="40"/>
      <c r="K345" s="40"/>
      <c r="L345" s="5"/>
      <c r="M345" s="42"/>
      <c r="N345" s="5"/>
      <c r="O345" s="13"/>
      <c r="P345" s="121" t="str">
        <f>IF(AK26="","",AK26)</f>
        <v/>
      </c>
      <c r="Q345" s="121" t="str">
        <f>IF(AL26="","",AL26)</f>
        <v/>
      </c>
      <c r="R345" s="121">
        <f>IF(AH26="","",AH26)</f>
        <v>26</v>
      </c>
      <c r="S345" s="121">
        <f>IF(AI26="","",AI26)</f>
        <v>50</v>
      </c>
      <c r="T345" s="207" t="str">
        <f>IF(AM26="","",AM26)</f>
        <v/>
      </c>
      <c r="U345" s="209" t="str">
        <f>IF(AN26="","",AN26)</f>
        <v/>
      </c>
      <c r="V345" s="207" t="str">
        <f>IF(AO26="","",AO26)</f>
        <v/>
      </c>
      <c r="W345" s="235" t="str">
        <f t="shared" si="73"/>
        <v/>
      </c>
      <c r="X345" s="207" t="str">
        <f t="shared" si="74"/>
        <v/>
      </c>
      <c r="Y345" s="15"/>
    </row>
    <row r="346" spans="1:25">
      <c r="A346" s="1">
        <v>6</v>
      </c>
      <c r="B346" s="39"/>
      <c r="C346" s="41" t="s">
        <v>29</v>
      </c>
      <c r="D346" s="119" t="str">
        <f>IF(P343="","",P343)</f>
        <v/>
      </c>
      <c r="E346" s="77"/>
      <c r="F346" s="77"/>
      <c r="G346" s="41" t="s">
        <v>29</v>
      </c>
      <c r="H346" s="119" t="str">
        <f>IF(P354="","",P354)</f>
        <v/>
      </c>
      <c r="I346" s="77"/>
      <c r="J346" s="77"/>
      <c r="K346" s="41" t="s">
        <v>29</v>
      </c>
      <c r="L346" s="119" t="str">
        <f>IF(P365="","",P364)</f>
        <v/>
      </c>
      <c r="M346" s="78"/>
      <c r="N346" s="5"/>
      <c r="O346" s="13"/>
      <c r="P346" s="121" t="str">
        <f>IF(AK28="","",AK28)</f>
        <v/>
      </c>
      <c r="Q346" s="121" t="str">
        <f>IF(AL28="","",AL28)</f>
        <v/>
      </c>
      <c r="R346" s="121">
        <f>IF(AH28="","",AH28)</f>
        <v>28</v>
      </c>
      <c r="S346" s="121">
        <f>IF(AI28="","",AI28)</f>
        <v>50</v>
      </c>
      <c r="T346" s="207" t="str">
        <f>IF(AM28="","",AVERAGE(AM28:AM31))</f>
        <v/>
      </c>
      <c r="U346" s="209" t="str">
        <f>IF(AN28="","",AVERAGE(AN28:AN31))</f>
        <v/>
      </c>
      <c r="V346" s="207" t="str">
        <f>IF(AO28="","",AVERAGE(AO28:AO31))</f>
        <v/>
      </c>
      <c r="W346" s="235" t="str">
        <f t="shared" si="73"/>
        <v/>
      </c>
      <c r="X346" s="207" t="str">
        <f t="shared" si="74"/>
        <v/>
      </c>
      <c r="Y346" s="15"/>
    </row>
    <row r="347" spans="1:25">
      <c r="A347" s="1">
        <v>7</v>
      </c>
      <c r="B347" s="39"/>
      <c r="C347" s="41" t="s">
        <v>31</v>
      </c>
      <c r="D347" s="119" t="str">
        <f>IF(Q343="","",Q343)</f>
        <v/>
      </c>
      <c r="E347" s="77"/>
      <c r="F347" s="5"/>
      <c r="G347" s="41" t="s">
        <v>31</v>
      </c>
      <c r="H347" s="119" t="str">
        <f>IF(Q354="","",Q354)</f>
        <v/>
      </c>
      <c r="I347" s="77"/>
      <c r="J347" s="77"/>
      <c r="K347" s="41" t="s">
        <v>31</v>
      </c>
      <c r="L347" s="119" t="str">
        <f>IF(Q364="","",Q364)</f>
        <v/>
      </c>
      <c r="M347" s="78"/>
      <c r="N347" s="5"/>
      <c r="O347" s="13"/>
      <c r="P347" s="121" t="str">
        <f>IF(AK41="","",AK41)</f>
        <v/>
      </c>
      <c r="Q347" s="121" t="str">
        <f>IF(AL41="","",AL41)</f>
        <v/>
      </c>
      <c r="R347" s="121">
        <f>IF(AH41="","",AH41)</f>
        <v>30</v>
      </c>
      <c r="S347" s="121">
        <f>IF(AI41="","",AI41)</f>
        <v>50</v>
      </c>
      <c r="T347" s="207" t="str">
        <f>IF(AM41="","",AM41)</f>
        <v/>
      </c>
      <c r="U347" s="209" t="str">
        <f>IF(AN41="","",AN41)</f>
        <v/>
      </c>
      <c r="V347" s="207" t="str">
        <f>IF(AO41="","",AO41)</f>
        <v/>
      </c>
      <c r="W347" s="235" t="str">
        <f t="shared" si="73"/>
        <v/>
      </c>
      <c r="X347" s="207" t="str">
        <f t="shared" si="74"/>
        <v/>
      </c>
      <c r="Y347" s="15"/>
    </row>
    <row r="348" spans="1:25">
      <c r="A348" s="1">
        <v>8</v>
      </c>
      <c r="B348" s="39"/>
      <c r="C348" s="41" t="s">
        <v>178</v>
      </c>
      <c r="D348" s="119">
        <f>IF(S343="","",S343)</f>
        <v>50</v>
      </c>
      <c r="E348" s="5"/>
      <c r="F348" s="5"/>
      <c r="G348" s="41" t="s">
        <v>178</v>
      </c>
      <c r="H348" s="280">
        <f>IF(S354="","",S354)</f>
        <v>50</v>
      </c>
      <c r="I348" s="5"/>
      <c r="J348" s="77"/>
      <c r="K348" s="41" t="s">
        <v>178</v>
      </c>
      <c r="L348" s="280">
        <f>IF(S364="","",S364)</f>
        <v>50</v>
      </c>
      <c r="M348" s="42"/>
      <c r="N348" s="5"/>
      <c r="O348" s="13"/>
      <c r="P348" s="121" t="str">
        <f>IF(AK42="","",AK42)</f>
        <v/>
      </c>
      <c r="Q348" s="121" t="str">
        <f>IF(AL42="","",AL42)</f>
        <v/>
      </c>
      <c r="R348" s="121">
        <f>IF(AH42="","",AH42)</f>
        <v>32</v>
      </c>
      <c r="S348" s="121">
        <f>IF(AI42="","",AI42)</f>
        <v>50</v>
      </c>
      <c r="T348" s="207" t="str">
        <f>IF(AM42="","",AVERAGE(AM42,AM43))</f>
        <v/>
      </c>
      <c r="U348" s="209" t="str">
        <f>IF(AN42="","",AVERAGE(AN42,AN43))</f>
        <v/>
      </c>
      <c r="V348" s="207" t="str">
        <f>IF(AO42="","",AVERAGE(AO42,AO43))</f>
        <v/>
      </c>
      <c r="W348" s="235" t="str">
        <f t="shared" si="73"/>
        <v/>
      </c>
      <c r="X348" s="207" t="str">
        <f t="shared" si="74"/>
        <v/>
      </c>
      <c r="Y348" s="15"/>
    </row>
    <row r="349" spans="1:25">
      <c r="A349" s="1">
        <v>9</v>
      </c>
      <c r="B349" s="39"/>
      <c r="C349" s="143" t="s">
        <v>157</v>
      </c>
      <c r="D349" s="143" t="s">
        <v>158</v>
      </c>
      <c r="E349" s="143"/>
      <c r="F349" s="5"/>
      <c r="G349" s="143" t="s">
        <v>157</v>
      </c>
      <c r="H349" s="143" t="s">
        <v>158</v>
      </c>
      <c r="I349" s="143"/>
      <c r="J349" s="77"/>
      <c r="K349" s="143" t="s">
        <v>157</v>
      </c>
      <c r="L349" s="143" t="s">
        <v>158</v>
      </c>
      <c r="M349" s="281"/>
      <c r="N349" s="5"/>
      <c r="O349" s="13"/>
      <c r="P349" s="121" t="str">
        <f>IF(AK50="","",AK50)</f>
        <v/>
      </c>
      <c r="Q349" s="121" t="str">
        <f>IF(AL50="","",AL50)</f>
        <v/>
      </c>
      <c r="R349" s="121">
        <f>IF(AH50="","",AH50)</f>
        <v>34</v>
      </c>
      <c r="S349" s="121">
        <f>IF(AI50="","",AI50)</f>
        <v>50</v>
      </c>
      <c r="T349" s="207" t="str">
        <f>IF(AM50="","",AVERAGE(AM50,AM51))</f>
        <v/>
      </c>
      <c r="U349" s="209" t="str">
        <f>IF(AN50="","",AVERAGE(AN50,AN51))</f>
        <v/>
      </c>
      <c r="V349" s="207" t="str">
        <f>IF(AO50="","",AVERAGE(AO50,AO51))</f>
        <v/>
      </c>
      <c r="W349" s="235" t="str">
        <f t="shared" si="73"/>
        <v/>
      </c>
      <c r="X349" s="207" t="str">
        <f t="shared" si="74"/>
        <v/>
      </c>
      <c r="Y349" s="15"/>
    </row>
    <row r="350" spans="1:25" ht="16.5" thickBot="1">
      <c r="A350" s="1">
        <v>10</v>
      </c>
      <c r="B350" s="39"/>
      <c r="C350" s="282" t="s">
        <v>49</v>
      </c>
      <c r="D350" s="282" t="s">
        <v>49</v>
      </c>
      <c r="E350" s="282" t="s">
        <v>324</v>
      </c>
      <c r="F350" s="5"/>
      <c r="G350" s="282" t="s">
        <v>49</v>
      </c>
      <c r="H350" s="282" t="s">
        <v>49</v>
      </c>
      <c r="I350" s="282" t="s">
        <v>324</v>
      </c>
      <c r="J350" s="77"/>
      <c r="K350" s="282" t="s">
        <v>49</v>
      </c>
      <c r="L350" s="282" t="s">
        <v>49</v>
      </c>
      <c r="M350" s="283" t="s">
        <v>324</v>
      </c>
      <c r="N350" s="5"/>
      <c r="O350" s="138"/>
      <c r="P350" s="84" t="s">
        <v>163</v>
      </c>
      <c r="Q350" s="10" t="s">
        <v>318</v>
      </c>
      <c r="R350" s="5"/>
      <c r="S350" s="41"/>
      <c r="T350" s="600"/>
      <c r="U350" s="600"/>
      <c r="V350" s="600"/>
      <c r="W350" s="600"/>
      <c r="X350" s="600"/>
      <c r="Y350" s="15"/>
    </row>
    <row r="351" spans="1:25">
      <c r="A351" s="1">
        <v>11</v>
      </c>
      <c r="B351" s="39"/>
      <c r="C351" s="121">
        <f t="shared" ref="C351:C357" si="75">IF(R343="","",R343)</f>
        <v>24</v>
      </c>
      <c r="D351" s="207" t="str">
        <f t="shared" ref="D351:D357" si="76">IF(T343="","",T343)</f>
        <v/>
      </c>
      <c r="E351" s="284" t="str">
        <f t="shared" ref="E351:E357" si="77">IF(OR(C351="",D351=""),"",IF(AND(C351&gt;0,D351&gt;0),(D351-C351)/C351,""))</f>
        <v/>
      </c>
      <c r="F351" s="5"/>
      <c r="G351" s="121">
        <f t="shared" ref="G351:G356" si="78">IF(R354="","",R354)</f>
        <v>28</v>
      </c>
      <c r="H351" s="207" t="str">
        <f t="shared" ref="H351:H356" si="79">IF(T354="","",T354)</f>
        <v/>
      </c>
      <c r="I351" s="284" t="str">
        <f t="shared" ref="I351:I356" si="80">IF(OR(G351="",H351=""),"",IF(AND(G351&gt;0,H351&gt;0),(H351-G351)/G351,""))</f>
        <v/>
      </c>
      <c r="J351" s="77"/>
      <c r="K351" s="121">
        <f>IF(R364="","",R364)</f>
        <v>28</v>
      </c>
      <c r="L351" s="207" t="str">
        <f>IF(T364="","",T364)</f>
        <v/>
      </c>
      <c r="M351" s="285" t="str">
        <f>IF(OR(K351="",L351=""),"",IF(AND(K351&gt;0,L351&gt;0),(L351-K351)/K351,""))</f>
        <v/>
      </c>
      <c r="N351" s="5"/>
      <c r="O351" s="13"/>
      <c r="P351" s="77"/>
      <c r="Q351" s="77"/>
      <c r="R351" s="77"/>
      <c r="S351" s="77"/>
      <c r="T351" s="77"/>
      <c r="U351" s="77"/>
      <c r="V351" s="77"/>
      <c r="W351" s="77"/>
      <c r="X351" s="77"/>
      <c r="Y351" s="15"/>
    </row>
    <row r="352" spans="1:25">
      <c r="A352" s="1">
        <v>12</v>
      </c>
      <c r="B352" s="39"/>
      <c r="C352" s="121">
        <f t="shared" si="75"/>
        <v>25</v>
      </c>
      <c r="D352" s="207" t="str">
        <f t="shared" si="76"/>
        <v/>
      </c>
      <c r="E352" s="284" t="str">
        <f t="shared" si="77"/>
        <v/>
      </c>
      <c r="F352" s="5"/>
      <c r="G352" s="121">
        <f t="shared" si="78"/>
        <v>30</v>
      </c>
      <c r="H352" s="207" t="str">
        <f t="shared" si="79"/>
        <v/>
      </c>
      <c r="I352" s="284" t="str">
        <f t="shared" si="80"/>
        <v/>
      </c>
      <c r="J352" s="77"/>
      <c r="K352" s="121">
        <f>IF(R365="","",R365)</f>
        <v>30</v>
      </c>
      <c r="L352" s="207" t="str">
        <f>IF(T365="","",T365)</f>
        <v/>
      </c>
      <c r="M352" s="285" t="str">
        <f>IF(OR(K352="",L352=""),"",IF(AND(K352&gt;0,L352&gt;0),(L352-K352)/K352,""))</f>
        <v/>
      </c>
      <c r="N352" s="5"/>
      <c r="O352" s="13"/>
      <c r="P352" s="5"/>
      <c r="Q352" s="5"/>
      <c r="R352" s="5"/>
      <c r="S352" s="41"/>
      <c r="T352" s="600" t="s">
        <v>308</v>
      </c>
      <c r="U352" s="600"/>
      <c r="V352" s="600"/>
      <c r="W352" s="600"/>
      <c r="X352" s="600"/>
      <c r="Y352" s="15"/>
    </row>
    <row r="353" spans="1:25">
      <c r="A353" s="1">
        <v>13</v>
      </c>
      <c r="B353" s="39"/>
      <c r="C353" s="121">
        <f t="shared" si="75"/>
        <v>26</v>
      </c>
      <c r="D353" s="207" t="str">
        <f t="shared" si="76"/>
        <v/>
      </c>
      <c r="E353" s="284" t="str">
        <f t="shared" si="77"/>
        <v/>
      </c>
      <c r="F353" s="5"/>
      <c r="G353" s="121">
        <f t="shared" si="78"/>
        <v>32</v>
      </c>
      <c r="H353" s="207" t="str">
        <f t="shared" si="79"/>
        <v/>
      </c>
      <c r="I353" s="284" t="str">
        <f t="shared" si="80"/>
        <v/>
      </c>
      <c r="J353" s="77"/>
      <c r="K353" s="121">
        <f>IF(R366="","",R366)</f>
        <v>32</v>
      </c>
      <c r="L353" s="207" t="str">
        <f>IF(T366="","",T366)</f>
        <v/>
      </c>
      <c r="M353" s="285" t="str">
        <f>IF(OR(K353="",L353=""),"",IF(AND(K353&gt;0,L353&gt;0),(L353-K353)/K353,""))</f>
        <v/>
      </c>
      <c r="N353" s="5"/>
      <c r="O353" s="13"/>
      <c r="P353" s="600" t="s">
        <v>29</v>
      </c>
      <c r="Q353" s="600" t="s">
        <v>239</v>
      </c>
      <c r="R353" s="600" t="s">
        <v>240</v>
      </c>
      <c r="S353" s="600" t="s">
        <v>50</v>
      </c>
      <c r="T353" s="600" t="s">
        <v>49</v>
      </c>
      <c r="U353" s="600" t="s">
        <v>309</v>
      </c>
      <c r="V353" s="600" t="s">
        <v>310</v>
      </c>
      <c r="W353" s="600" t="s">
        <v>311</v>
      </c>
      <c r="X353" s="600" t="s">
        <v>312</v>
      </c>
      <c r="Y353" s="15"/>
    </row>
    <row r="354" spans="1:25">
      <c r="A354" s="1">
        <v>14</v>
      </c>
      <c r="B354" s="39"/>
      <c r="C354" s="121">
        <f t="shared" si="75"/>
        <v>28</v>
      </c>
      <c r="D354" s="207" t="str">
        <f t="shared" si="76"/>
        <v/>
      </c>
      <c r="E354" s="284" t="str">
        <f t="shared" si="77"/>
        <v/>
      </c>
      <c r="F354" s="5"/>
      <c r="G354" s="121">
        <f t="shared" si="78"/>
        <v>34</v>
      </c>
      <c r="H354" s="207" t="str">
        <f t="shared" si="79"/>
        <v/>
      </c>
      <c r="I354" s="284" t="str">
        <f t="shared" si="80"/>
        <v/>
      </c>
      <c r="J354" s="77"/>
      <c r="K354" s="121">
        <f>IF(R367="","",R367)</f>
        <v>34</v>
      </c>
      <c r="L354" s="207" t="str">
        <f>IF(T367="","",T367)</f>
        <v/>
      </c>
      <c r="M354" s="285" t="str">
        <f>IF(OR(K354="",L354=""),"",IF(AND(K354&gt;0,L354&gt;0),(L354-K354)/K354,""))</f>
        <v/>
      </c>
      <c r="N354" s="5"/>
      <c r="O354" s="13"/>
      <c r="P354" s="121" t="str">
        <f>IF(AK58="","",AK58)</f>
        <v/>
      </c>
      <c r="Q354" s="121" t="str">
        <f>IF(AL58="","",AL58)</f>
        <v/>
      </c>
      <c r="R354" s="121">
        <f>IF(AH58="","",AH58)</f>
        <v>28</v>
      </c>
      <c r="S354" s="121">
        <f>IF(AI58="","",AI58)</f>
        <v>50</v>
      </c>
      <c r="T354" s="207" t="str">
        <f>IF(AM58="","",AVERAGE(AM58,AM59))</f>
        <v/>
      </c>
      <c r="U354" s="209" t="str">
        <f>IF(AN58="","",AVERAGE(AN58,AN59))</f>
        <v/>
      </c>
      <c r="V354" s="207" t="str">
        <f>IF(AO58="","",AVERAGE(AO58,AO59))</f>
        <v/>
      </c>
      <c r="W354" s="235" t="str">
        <f t="shared" ref="W354:W359" si="81">IF(V354="","",V354/S354)</f>
        <v/>
      </c>
      <c r="X354" s="207" t="str">
        <f t="shared" ref="X354:X359" si="82">IF(OR(V354="",U354=""),"",V354/(U354/1000))</f>
        <v/>
      </c>
      <c r="Y354" s="15"/>
    </row>
    <row r="355" spans="1:25">
      <c r="A355" s="1">
        <v>15</v>
      </c>
      <c r="B355" s="39"/>
      <c r="C355" s="121">
        <f t="shared" si="75"/>
        <v>30</v>
      </c>
      <c r="D355" s="207" t="str">
        <f t="shared" si="76"/>
        <v/>
      </c>
      <c r="E355" s="284" t="str">
        <f t="shared" si="77"/>
        <v/>
      </c>
      <c r="F355" s="5"/>
      <c r="G355" s="121">
        <f t="shared" si="78"/>
        <v>36</v>
      </c>
      <c r="H355" s="207" t="str">
        <f t="shared" si="79"/>
        <v/>
      </c>
      <c r="I355" s="284" t="str">
        <f t="shared" si="80"/>
        <v/>
      </c>
      <c r="J355" s="77"/>
      <c r="K355" s="121">
        <f>IF(R368="","",R368)</f>
        <v>38</v>
      </c>
      <c r="L355" s="207" t="str">
        <f>IF(T368="","",T368)</f>
        <v/>
      </c>
      <c r="M355" s="285" t="str">
        <f>IF(OR(K355="",L355=""),"",IF(AND(K355&gt;0,L355&gt;0),(L355-K355)/K355,""))</f>
        <v/>
      </c>
      <c r="N355" s="5"/>
      <c r="O355" s="13"/>
      <c r="P355" s="121" t="str">
        <f>IF(AK66="","",AK66)</f>
        <v/>
      </c>
      <c r="Q355" s="121" t="str">
        <f>IF(AL66="","",AL66)</f>
        <v/>
      </c>
      <c r="R355" s="121">
        <f>IF(AH66="","",AH66)</f>
        <v>30</v>
      </c>
      <c r="S355" s="121">
        <f>IF(AI66="","",AI66)</f>
        <v>50</v>
      </c>
      <c r="T355" s="207" t="str">
        <f>IF(AM66="","",AVERAGE(AM66,AM67))</f>
        <v/>
      </c>
      <c r="U355" s="209" t="str">
        <f>IF(AN66="","",AVERAGE(AN66,AN67))</f>
        <v/>
      </c>
      <c r="V355" s="207" t="str">
        <f>IF(AO66="","",AVERAGE(AO66,AO67))</f>
        <v/>
      </c>
      <c r="W355" s="235" t="str">
        <f t="shared" si="81"/>
        <v/>
      </c>
      <c r="X355" s="207" t="str">
        <f t="shared" si="82"/>
        <v/>
      </c>
      <c r="Y355" s="15"/>
    </row>
    <row r="356" spans="1:25">
      <c r="A356" s="1">
        <v>16</v>
      </c>
      <c r="B356" s="39"/>
      <c r="C356" s="121">
        <f t="shared" si="75"/>
        <v>32</v>
      </c>
      <c r="D356" s="207" t="str">
        <f t="shared" si="76"/>
        <v/>
      </c>
      <c r="E356" s="284" t="str">
        <f t="shared" si="77"/>
        <v/>
      </c>
      <c r="F356" s="5"/>
      <c r="G356" s="121">
        <f t="shared" si="78"/>
        <v>38</v>
      </c>
      <c r="H356" s="207" t="str">
        <f t="shared" si="79"/>
        <v/>
      </c>
      <c r="I356" s="284" t="str">
        <f t="shared" si="80"/>
        <v/>
      </c>
      <c r="J356" s="77"/>
      <c r="K356" s="5"/>
      <c r="L356" s="5"/>
      <c r="M356" s="42"/>
      <c r="N356" s="5"/>
      <c r="O356" s="13"/>
      <c r="P356" s="121" t="str">
        <f>IF(AK74="","",AK74)</f>
        <v/>
      </c>
      <c r="Q356" s="121" t="str">
        <f>IF(AL74="","",AL74)</f>
        <v/>
      </c>
      <c r="R356" s="121">
        <f>IF(AH74="","",AH74)</f>
        <v>32</v>
      </c>
      <c r="S356" s="121">
        <f>IF(AI74="","",AI74)</f>
        <v>50</v>
      </c>
      <c r="T356" s="207" t="str">
        <f>IF(AM74="","",AVERAGE(AM74,AM75))</f>
        <v/>
      </c>
      <c r="U356" s="209" t="str">
        <f>IF(AN74="","",AVERAGE(AN74,AN75))</f>
        <v/>
      </c>
      <c r="V356" s="207" t="str">
        <f>IF(AO74="","",AVERAGE(AO74,AO75))</f>
        <v/>
      </c>
      <c r="W356" s="235" t="str">
        <f t="shared" si="81"/>
        <v/>
      </c>
      <c r="X356" s="207" t="str">
        <f t="shared" si="82"/>
        <v/>
      </c>
      <c r="Y356" s="15"/>
    </row>
    <row r="357" spans="1:25" ht="16.5" thickBot="1">
      <c r="A357" s="1">
        <v>17</v>
      </c>
      <c r="B357" s="39"/>
      <c r="C357" s="121">
        <f t="shared" si="75"/>
        <v>34</v>
      </c>
      <c r="D357" s="207" t="str">
        <f t="shared" si="76"/>
        <v/>
      </c>
      <c r="E357" s="284" t="str">
        <f t="shared" si="77"/>
        <v/>
      </c>
      <c r="F357" s="5"/>
      <c r="G357" s="5"/>
      <c r="H357" s="5"/>
      <c r="I357" s="5"/>
      <c r="J357" s="77"/>
      <c r="K357" s="77"/>
      <c r="L357" s="77"/>
      <c r="M357" s="78"/>
      <c r="N357" s="5"/>
      <c r="O357" s="13"/>
      <c r="P357" s="121" t="str">
        <f>IF(AK82="","",AK82)</f>
        <v/>
      </c>
      <c r="Q357" s="121" t="str">
        <f>IF(AL82="","",AL82)</f>
        <v/>
      </c>
      <c r="R357" s="121">
        <f>IF(AH82="","",AH82)</f>
        <v>34</v>
      </c>
      <c r="S357" s="121">
        <f>IF(AI82="","",AI82)</f>
        <v>50</v>
      </c>
      <c r="T357" s="207" t="str">
        <f>IF(AM82="","",AVERAGE(AM82,AM83))</f>
        <v/>
      </c>
      <c r="U357" s="209" t="str">
        <f>IF(AN82="","",AVERAGE(AN82,AN83))</f>
        <v/>
      </c>
      <c r="V357" s="207" t="str">
        <f>IF(AO82="","",AVERAGE(AO82,AO83))</f>
        <v/>
      </c>
      <c r="W357" s="235" t="str">
        <f t="shared" si="81"/>
        <v/>
      </c>
      <c r="X357" s="207" t="str">
        <f t="shared" si="82"/>
        <v/>
      </c>
      <c r="Y357" s="15"/>
    </row>
    <row r="358" spans="1:25" ht="16.5" thickBot="1">
      <c r="A358" s="1">
        <v>18</v>
      </c>
      <c r="B358" s="39"/>
      <c r="C358" s="5"/>
      <c r="D358" s="290" t="s">
        <v>180</v>
      </c>
      <c r="E358" s="291" t="str">
        <f>IF(E353="","",IF(AND(ABS(MAX(E353:E357))&lt;=0.05,ABS(MIN(E353:E357))&lt;=0.05),"YES","NO"))</f>
        <v/>
      </c>
      <c r="F358" s="5"/>
      <c r="G358" s="5"/>
      <c r="H358" s="290" t="s">
        <v>180</v>
      </c>
      <c r="I358" s="291" t="str">
        <f>IF(I351="","",IF(AND(ABS(MAX(I351:I356))&lt;=0.05,ABS(MIN(I351:I356))&lt;=0.05),"YES","NO"))</f>
        <v/>
      </c>
      <c r="J358" s="77"/>
      <c r="K358" s="5"/>
      <c r="L358" s="290" t="s">
        <v>180</v>
      </c>
      <c r="M358" s="292" t="str">
        <f>IF(M351="","",IF(AND(ABS(MAX(M351:M355))&lt;=0.05,ABS(MIN(M351:M355))&lt;=0.05),"YES","NO"))</f>
        <v/>
      </c>
      <c r="N358" s="5"/>
      <c r="O358" s="13"/>
      <c r="P358" s="121" t="str">
        <f>IF(AK90="","",AK90)</f>
        <v/>
      </c>
      <c r="Q358" s="121" t="str">
        <f>IF(AL90="","",AL90)</f>
        <v/>
      </c>
      <c r="R358" s="121">
        <f>IF(AH90="","",AH90)</f>
        <v>36</v>
      </c>
      <c r="S358" s="121">
        <f>IF(AI90="","",AI90)</f>
        <v>50</v>
      </c>
      <c r="T358" s="207" t="str">
        <f t="shared" ref="T358:V359" si="83">IF(AM90="","",AM90)</f>
        <v/>
      </c>
      <c r="U358" s="209" t="str">
        <f t="shared" si="83"/>
        <v/>
      </c>
      <c r="V358" s="207" t="str">
        <f t="shared" si="83"/>
        <v/>
      </c>
      <c r="W358" s="235" t="str">
        <f t="shared" si="81"/>
        <v/>
      </c>
      <c r="X358" s="207" t="str">
        <f t="shared" si="82"/>
        <v/>
      </c>
      <c r="Y358" s="15"/>
    </row>
    <row r="359" spans="1:25">
      <c r="A359" s="1">
        <v>19</v>
      </c>
      <c r="B359" s="39"/>
      <c r="C359" s="77"/>
      <c r="D359" s="77"/>
      <c r="E359" s="77"/>
      <c r="F359" s="77"/>
      <c r="G359" s="77"/>
      <c r="H359" s="5"/>
      <c r="I359" s="47"/>
      <c r="J359" s="47"/>
      <c r="K359" s="5"/>
      <c r="L359" s="5"/>
      <c r="M359" s="42"/>
      <c r="N359" s="5"/>
      <c r="O359" s="13"/>
      <c r="P359" s="121" t="str">
        <f>IF(AK91="","",AK91)</f>
        <v/>
      </c>
      <c r="Q359" s="121" t="str">
        <f>IF(AL91="","",AL91)</f>
        <v/>
      </c>
      <c r="R359" s="121">
        <f>IF(AH91="","",AH91)</f>
        <v>38</v>
      </c>
      <c r="S359" s="121">
        <f>IF(AI91="","",AI91)</f>
        <v>50</v>
      </c>
      <c r="T359" s="207" t="str">
        <f t="shared" si="83"/>
        <v/>
      </c>
      <c r="U359" s="209" t="str">
        <f t="shared" si="83"/>
        <v/>
      </c>
      <c r="V359" s="207" t="str">
        <f t="shared" si="83"/>
        <v/>
      </c>
      <c r="W359" s="235" t="str">
        <f t="shared" si="81"/>
        <v/>
      </c>
      <c r="X359" s="207" t="str">
        <f t="shared" si="82"/>
        <v/>
      </c>
      <c r="Y359" s="15"/>
    </row>
    <row r="360" spans="1:25">
      <c r="A360" s="1">
        <v>20</v>
      </c>
      <c r="B360" s="39"/>
      <c r="C360" s="5"/>
      <c r="D360" s="84" t="s">
        <v>163</v>
      </c>
      <c r="E360" s="10" t="s">
        <v>326</v>
      </c>
      <c r="F360" s="5"/>
      <c r="G360" s="5"/>
      <c r="H360" s="5"/>
      <c r="I360" s="5"/>
      <c r="J360" s="5"/>
      <c r="K360" s="5"/>
      <c r="L360" s="5"/>
      <c r="M360" s="42"/>
      <c r="N360" s="5"/>
      <c r="O360" s="13"/>
      <c r="P360" s="84" t="s">
        <v>163</v>
      </c>
      <c r="Q360" s="10" t="s">
        <v>318</v>
      </c>
      <c r="R360" s="5"/>
      <c r="S360" s="5"/>
      <c r="T360" s="5"/>
      <c r="U360" s="5"/>
      <c r="V360" s="5"/>
      <c r="W360" s="5"/>
      <c r="X360" s="5"/>
      <c r="Y360" s="15"/>
    </row>
    <row r="361" spans="1:25">
      <c r="A361" s="1">
        <v>21</v>
      </c>
      <c r="B361" s="39"/>
      <c r="C361" s="5"/>
      <c r="D361" s="47"/>
      <c r="E361" s="47"/>
      <c r="F361" s="5"/>
      <c r="G361" s="5"/>
      <c r="H361" s="5"/>
      <c r="I361" s="293"/>
      <c r="J361" s="293"/>
      <c r="K361" s="5"/>
      <c r="L361" s="5"/>
      <c r="M361" s="42"/>
      <c r="N361" s="5"/>
      <c r="O361" s="13"/>
      <c r="P361" s="77"/>
      <c r="Q361" s="77"/>
      <c r="R361" s="77"/>
      <c r="S361" s="77"/>
      <c r="T361" s="77"/>
      <c r="U361" s="77"/>
      <c r="V361" s="77"/>
      <c r="W361" s="77"/>
      <c r="X361" s="77"/>
      <c r="Y361" s="15"/>
    </row>
    <row r="362" spans="1:25">
      <c r="A362" s="1">
        <v>22</v>
      </c>
      <c r="B362" s="39"/>
      <c r="C362" s="45" t="s">
        <v>327</v>
      </c>
      <c r="D362" s="5"/>
      <c r="E362" s="5"/>
      <c r="F362" s="5"/>
      <c r="G362" s="5"/>
      <c r="H362" s="5"/>
      <c r="I362" s="45"/>
      <c r="J362" s="45"/>
      <c r="K362" s="5"/>
      <c r="L362" s="5"/>
      <c r="M362" s="42"/>
      <c r="N362" s="5"/>
      <c r="O362" s="13"/>
      <c r="P362" s="5"/>
      <c r="Q362" s="5"/>
      <c r="R362" s="5"/>
      <c r="S362" s="41"/>
      <c r="T362" s="600" t="s">
        <v>308</v>
      </c>
      <c r="U362" s="600"/>
      <c r="V362" s="600"/>
      <c r="W362" s="600"/>
      <c r="X362" s="600"/>
      <c r="Y362" s="15"/>
    </row>
    <row r="363" spans="1:25">
      <c r="A363" s="1">
        <v>23</v>
      </c>
      <c r="B363" s="39"/>
      <c r="C363" s="41" t="s">
        <v>29</v>
      </c>
      <c r="D363" s="119" t="str">
        <f>IF(P375="","",P375)</f>
        <v/>
      </c>
      <c r="E363" s="41" t="s">
        <v>31</v>
      </c>
      <c r="F363" s="119" t="str">
        <f>IF(Q375="","",Q375)</f>
        <v/>
      </c>
      <c r="G363" s="5"/>
      <c r="H363" s="5"/>
      <c r="I363" s="294"/>
      <c r="J363" s="294"/>
      <c r="K363" s="5"/>
      <c r="L363" s="5"/>
      <c r="M363" s="42"/>
      <c r="N363" s="5"/>
      <c r="O363" s="13"/>
      <c r="P363" s="600" t="s">
        <v>29</v>
      </c>
      <c r="Q363" s="600" t="s">
        <v>239</v>
      </c>
      <c r="R363" s="600" t="s">
        <v>240</v>
      </c>
      <c r="S363" s="600" t="s">
        <v>50</v>
      </c>
      <c r="T363" s="600" t="s">
        <v>49</v>
      </c>
      <c r="U363" s="600" t="s">
        <v>309</v>
      </c>
      <c r="V363" s="600" t="s">
        <v>310</v>
      </c>
      <c r="W363" s="600" t="s">
        <v>311</v>
      </c>
      <c r="X363" s="600" t="s">
        <v>312</v>
      </c>
      <c r="Y363" s="15"/>
    </row>
    <row r="364" spans="1:25">
      <c r="A364" s="1">
        <v>24</v>
      </c>
      <c r="B364" s="39"/>
      <c r="C364" s="41" t="s">
        <v>178</v>
      </c>
      <c r="D364" s="119">
        <f>IF(S375="","",S375)</f>
        <v>50</v>
      </c>
      <c r="E364" s="5"/>
      <c r="F364" s="5"/>
      <c r="G364" s="5"/>
      <c r="H364" s="5"/>
      <c r="I364" s="294"/>
      <c r="J364" s="5"/>
      <c r="K364" s="5"/>
      <c r="L364" s="5"/>
      <c r="M364" s="42"/>
      <c r="N364" s="5"/>
      <c r="O364" s="13"/>
      <c r="P364" s="121" t="str">
        <f>IF(AK92="","",AK92)</f>
        <v/>
      </c>
      <c r="Q364" s="121" t="str">
        <f>IF(AL92="","",AL92)</f>
        <v/>
      </c>
      <c r="R364" s="121">
        <f>IF(AH92="","",AH92)</f>
        <v>28</v>
      </c>
      <c r="S364" s="121">
        <f>IF(AI92="","",AI92)</f>
        <v>50</v>
      </c>
      <c r="T364" s="207" t="str">
        <f>IF(AM92="","",AVERAGE(AM92:AM93))</f>
        <v/>
      </c>
      <c r="U364" s="209" t="str">
        <f>IF(AN92="","",AVERAGE(AN92:AN93))</f>
        <v/>
      </c>
      <c r="V364" s="207" t="str">
        <f>IF(AO92="","",AVERAGE(AO92:AO93))</f>
        <v/>
      </c>
      <c r="W364" s="235" t="str">
        <f>IF(V364="","",V364/S364)</f>
        <v/>
      </c>
      <c r="X364" s="207" t="str">
        <f>IF(OR(V364="",U364=""),"",V364/(U364/1000))</f>
        <v/>
      </c>
      <c r="Y364" s="15"/>
    </row>
    <row r="365" spans="1:25">
      <c r="A365" s="1">
        <v>25</v>
      </c>
      <c r="B365" s="39"/>
      <c r="C365" s="143" t="s">
        <v>157</v>
      </c>
      <c r="D365" s="143" t="s">
        <v>158</v>
      </c>
      <c r="E365" s="16"/>
      <c r="F365" s="16"/>
      <c r="G365" s="16"/>
      <c r="H365" s="5"/>
      <c r="I365" s="5"/>
      <c r="J365" s="5"/>
      <c r="K365" s="5"/>
      <c r="L365" s="5"/>
      <c r="M365" s="42"/>
      <c r="N365" s="5"/>
      <c r="O365" s="13"/>
      <c r="P365" s="121" t="str">
        <f>IF(AK100="","",AK100)</f>
        <v/>
      </c>
      <c r="Q365" s="121" t="str">
        <f>IF(AL100="","",AL100)</f>
        <v/>
      </c>
      <c r="R365" s="121">
        <f>IF(AH100="","",AH100)</f>
        <v>30</v>
      </c>
      <c r="S365" s="121">
        <f>IF(AI100="","",AI100)</f>
        <v>50</v>
      </c>
      <c r="T365" s="207" t="str">
        <f>IF(AM100="","",AVERAGE(AM100:AM101))</f>
        <v/>
      </c>
      <c r="U365" s="209" t="str">
        <f>IF(AN100="","",AVERAGE(AN100:AN101))</f>
        <v/>
      </c>
      <c r="V365" s="207" t="str">
        <f>IF(AO100="","",AVERAGE(AO100:AO101))</f>
        <v/>
      </c>
      <c r="W365" s="235" t="str">
        <f>IF(V365="","",V365/S365)</f>
        <v/>
      </c>
      <c r="X365" s="207" t="str">
        <f>IF(OR(V365="",U365=""),"",V365/(U365/1000))</f>
        <v/>
      </c>
      <c r="Y365" s="15"/>
    </row>
    <row r="366" spans="1:25" ht="16.5" thickBot="1">
      <c r="A366" s="1">
        <v>26</v>
      </c>
      <c r="B366" s="39"/>
      <c r="C366" s="282" t="s">
        <v>49</v>
      </c>
      <c r="D366" s="282" t="s">
        <v>49</v>
      </c>
      <c r="E366" s="282" t="s">
        <v>329</v>
      </c>
      <c r="F366" s="282" t="s">
        <v>311</v>
      </c>
      <c r="G366" s="282" t="s">
        <v>312</v>
      </c>
      <c r="H366" s="5"/>
      <c r="I366" s="5"/>
      <c r="J366" s="5"/>
      <c r="K366" s="5"/>
      <c r="L366" s="5"/>
      <c r="M366" s="42"/>
      <c r="N366" s="5"/>
      <c r="O366" s="13"/>
      <c r="P366" s="121" t="str">
        <f>IF(AK108="","",AK108)</f>
        <v/>
      </c>
      <c r="Q366" s="121" t="str">
        <f>IF(AL108="","",AL108)</f>
        <v/>
      </c>
      <c r="R366" s="121">
        <f>IF(AH108="","",AH108)</f>
        <v>32</v>
      </c>
      <c r="S366" s="121">
        <f>IF(AI108="","",AI108)</f>
        <v>50</v>
      </c>
      <c r="T366" s="207" t="str">
        <f>IF(AM108="","",AVERAGE(AM108:AM109))</f>
        <v/>
      </c>
      <c r="U366" s="209" t="str">
        <f>IF(AN108="","",AVERAGE(AN108:AN109))</f>
        <v/>
      </c>
      <c r="V366" s="207" t="str">
        <f>IF(AO108="","",AVERAGE(AO108:AO109))</f>
        <v/>
      </c>
      <c r="W366" s="235" t="str">
        <f>IF(V366="","",V366/S366)</f>
        <v/>
      </c>
      <c r="X366" s="207" t="str">
        <f>IF(OR(V366="",U366=""),"",V366/(U366/1000))</f>
        <v/>
      </c>
      <c r="Y366" s="15"/>
    </row>
    <row r="367" spans="1:25">
      <c r="A367" s="1">
        <v>27</v>
      </c>
      <c r="B367" s="39"/>
      <c r="C367" s="121">
        <f>IF(R375="","",R375)</f>
        <v>28</v>
      </c>
      <c r="D367" s="207" t="str">
        <f t="shared" ref="D367:D373" si="84">IF(T375="","",T375)</f>
        <v/>
      </c>
      <c r="E367" s="207" t="str">
        <f t="shared" ref="E367:G373" si="85">IF(V375="","",V375)</f>
        <v/>
      </c>
      <c r="F367" s="235" t="str">
        <f t="shared" si="85"/>
        <v/>
      </c>
      <c r="G367" s="207" t="str">
        <f t="shared" si="85"/>
        <v/>
      </c>
      <c r="H367" s="5"/>
      <c r="I367" s="47"/>
      <c r="J367" s="47"/>
      <c r="K367" s="5"/>
      <c r="L367" s="5"/>
      <c r="M367" s="42"/>
      <c r="N367" s="5"/>
      <c r="O367" s="13"/>
      <c r="P367" s="121" t="str">
        <f>IF(AK116="","",AK116)</f>
        <v/>
      </c>
      <c r="Q367" s="121" t="str">
        <f>IF(AL116="","",AL116)</f>
        <v/>
      </c>
      <c r="R367" s="121">
        <f>IF(AH116="","",AH116)</f>
        <v>34</v>
      </c>
      <c r="S367" s="121">
        <f>IF(AI116="","",AI116)</f>
        <v>50</v>
      </c>
      <c r="T367" s="207" t="str">
        <f>IF(AM116="","",AVERAGE(AM116:AM117))</f>
        <v/>
      </c>
      <c r="U367" s="209" t="str">
        <f>IF(AN116="","",AVERAGE(AN116:AN117))</f>
        <v/>
      </c>
      <c r="V367" s="207" t="str">
        <f>IF(AO116="","",AVERAGE(AO116:AO117))</f>
        <v/>
      </c>
      <c r="W367" s="235" t="str">
        <f>IF(V367="","",V367/S367)</f>
        <v/>
      </c>
      <c r="X367" s="207" t="str">
        <f>IF(OR(V367="",U367=""),"",V367/(U367/1000))</f>
        <v/>
      </c>
      <c r="Y367" s="15"/>
    </row>
    <row r="368" spans="1:25">
      <c r="A368" s="1">
        <v>28</v>
      </c>
      <c r="B368" s="39"/>
      <c r="C368" s="5"/>
      <c r="D368" s="207" t="str">
        <f t="shared" si="84"/>
        <v/>
      </c>
      <c r="E368" s="207" t="str">
        <f t="shared" si="85"/>
        <v/>
      </c>
      <c r="F368" s="235" t="str">
        <f t="shared" si="85"/>
        <v/>
      </c>
      <c r="G368" s="207" t="str">
        <f t="shared" si="85"/>
        <v/>
      </c>
      <c r="H368" s="5"/>
      <c r="I368" s="47"/>
      <c r="J368" s="47"/>
      <c r="K368" s="5"/>
      <c r="L368" s="5"/>
      <c r="M368" s="42"/>
      <c r="N368" s="5"/>
      <c r="O368" s="13"/>
      <c r="P368" s="121" t="str">
        <f>IF(AK124="","",AK124)</f>
        <v/>
      </c>
      <c r="Q368" s="121" t="str">
        <f>IF(AL124="","",AL124)</f>
        <v/>
      </c>
      <c r="R368" s="121">
        <f>IF(AH124="","",AH124)</f>
        <v>38</v>
      </c>
      <c r="S368" s="121">
        <f>IF(AI124="","",AI124)</f>
        <v>50</v>
      </c>
      <c r="T368" s="207" t="str">
        <f>IF(AM124="","",AVERAGE(AM124:AM125))</f>
        <v/>
      </c>
      <c r="U368" s="209" t="str">
        <f>IF(AN124="","",AVERAGE(AN124:AN125))</f>
        <v/>
      </c>
      <c r="V368" s="207" t="str">
        <f>IF(AO124="","",AVERAGE(AO124:AO125))</f>
        <v/>
      </c>
      <c r="W368" s="235" t="str">
        <f>IF(V368="","",V368/S368)</f>
        <v/>
      </c>
      <c r="X368" s="207" t="str">
        <f>IF(OR(V368="",U368=""),"",V368/(U368/1000))</f>
        <v/>
      </c>
      <c r="Y368" s="15"/>
    </row>
    <row r="369" spans="1:25">
      <c r="A369" s="1">
        <v>29</v>
      </c>
      <c r="B369" s="39"/>
      <c r="C369" s="5"/>
      <c r="D369" s="207" t="str">
        <f t="shared" si="84"/>
        <v/>
      </c>
      <c r="E369" s="207" t="str">
        <f t="shared" si="85"/>
        <v/>
      </c>
      <c r="F369" s="235" t="str">
        <f t="shared" si="85"/>
        <v/>
      </c>
      <c r="G369" s="207" t="str">
        <f t="shared" si="85"/>
        <v/>
      </c>
      <c r="H369" s="5"/>
      <c r="I369" s="47"/>
      <c r="J369" s="47"/>
      <c r="K369" s="5"/>
      <c r="L369" s="5"/>
      <c r="M369" s="42"/>
      <c r="N369" s="5"/>
      <c r="O369" s="13"/>
      <c r="P369" s="84" t="s">
        <v>163</v>
      </c>
      <c r="Q369" s="10" t="s">
        <v>318</v>
      </c>
      <c r="R369" s="286"/>
      <c r="S369" s="286"/>
      <c r="T369" s="287"/>
      <c r="U369" s="288"/>
      <c r="V369" s="287"/>
      <c r="W369" s="289"/>
      <c r="X369" s="287"/>
      <c r="Y369" s="15"/>
    </row>
    <row r="370" spans="1:25" ht="16.5" thickBot="1">
      <c r="A370" s="1">
        <v>30</v>
      </c>
      <c r="B370" s="39"/>
      <c r="C370" s="5"/>
      <c r="D370" s="207" t="str">
        <f t="shared" si="84"/>
        <v/>
      </c>
      <c r="E370" s="207" t="str">
        <f t="shared" si="85"/>
        <v/>
      </c>
      <c r="F370" s="235" t="str">
        <f t="shared" si="85"/>
        <v/>
      </c>
      <c r="G370" s="207" t="str">
        <f t="shared" si="85"/>
        <v/>
      </c>
      <c r="H370" s="5"/>
      <c r="I370" s="5"/>
      <c r="J370" s="5"/>
      <c r="K370" s="5"/>
      <c r="L370" s="5"/>
      <c r="M370" s="42"/>
      <c r="N370" s="5"/>
      <c r="O370" s="20"/>
      <c r="P370" s="21"/>
      <c r="Q370" s="21"/>
      <c r="R370" s="21"/>
      <c r="S370" s="21"/>
      <c r="T370" s="21"/>
      <c r="U370" s="21"/>
      <c r="V370" s="21"/>
      <c r="W370" s="21"/>
      <c r="X370" s="21"/>
      <c r="Y370" s="22"/>
    </row>
    <row r="371" spans="1:25">
      <c r="A371" s="1">
        <v>31</v>
      </c>
      <c r="B371" s="39"/>
      <c r="C371" s="41" t="s">
        <v>169</v>
      </c>
      <c r="D371" s="207" t="str">
        <f t="shared" si="84"/>
        <v/>
      </c>
      <c r="E371" s="207" t="str">
        <f t="shared" si="85"/>
        <v/>
      </c>
      <c r="F371" s="235" t="str">
        <f t="shared" si="85"/>
        <v/>
      </c>
      <c r="G371" s="207" t="str">
        <f t="shared" si="85"/>
        <v/>
      </c>
      <c r="H371" s="5"/>
      <c r="I371" s="5"/>
      <c r="J371" s="5"/>
      <c r="K371" s="5"/>
      <c r="L371" s="5"/>
      <c r="M371" s="42"/>
      <c r="N371" s="5"/>
      <c r="O371" s="110" t="s">
        <v>325</v>
      </c>
      <c r="P371" s="7"/>
      <c r="Q371" s="7"/>
      <c r="R371" s="7"/>
      <c r="S371" s="7"/>
      <c r="T371" s="7"/>
      <c r="U371" s="7"/>
      <c r="V371" s="7"/>
      <c r="W371" s="7"/>
      <c r="X371" s="7"/>
      <c r="Y371" s="8"/>
    </row>
    <row r="372" spans="1:25">
      <c r="A372" s="1">
        <v>32</v>
      </c>
      <c r="B372" s="39"/>
      <c r="C372" s="41" t="s">
        <v>328</v>
      </c>
      <c r="D372" s="207" t="str">
        <f t="shared" si="84"/>
        <v/>
      </c>
      <c r="E372" s="207" t="str">
        <f t="shared" si="85"/>
        <v/>
      </c>
      <c r="F372" s="235" t="str">
        <f t="shared" si="85"/>
        <v/>
      </c>
      <c r="G372" s="207" t="str">
        <f t="shared" si="85"/>
        <v/>
      </c>
      <c r="H372" s="5"/>
      <c r="I372" s="5"/>
      <c r="J372" s="5"/>
      <c r="K372" s="5"/>
      <c r="L372" s="5"/>
      <c r="M372" s="42"/>
      <c r="N372" s="5"/>
      <c r="O372" s="13"/>
      <c r="P372" s="5"/>
      <c r="Q372" s="5"/>
      <c r="R372" s="5"/>
      <c r="S372" s="41"/>
      <c r="T372" s="5"/>
      <c r="U372" s="5"/>
      <c r="V372" s="5"/>
      <c r="W372" s="5"/>
      <c r="X372" s="5"/>
      <c r="Y372" s="15"/>
    </row>
    <row r="373" spans="1:25" ht="16.5" thickBot="1">
      <c r="A373" s="1">
        <v>33</v>
      </c>
      <c r="B373" s="39"/>
      <c r="C373" s="41" t="s">
        <v>291</v>
      </c>
      <c r="D373" s="284" t="str">
        <f t="shared" si="84"/>
        <v/>
      </c>
      <c r="E373" s="284" t="str">
        <f t="shared" si="85"/>
        <v/>
      </c>
      <c r="F373" s="284" t="str">
        <f t="shared" si="85"/>
        <v/>
      </c>
      <c r="G373" s="284" t="str">
        <f t="shared" si="85"/>
        <v/>
      </c>
      <c r="H373" s="5"/>
      <c r="I373" s="5"/>
      <c r="J373" s="5"/>
      <c r="K373" s="5"/>
      <c r="L373" s="5"/>
      <c r="M373" s="42"/>
      <c r="N373" s="5"/>
      <c r="O373" s="13"/>
      <c r="P373" s="5"/>
      <c r="Q373" s="5"/>
      <c r="R373" s="5"/>
      <c r="S373" s="41"/>
      <c r="T373" s="600" t="s">
        <v>308</v>
      </c>
      <c r="U373" s="600"/>
      <c r="V373" s="600"/>
      <c r="W373" s="600"/>
      <c r="X373" s="600"/>
      <c r="Y373" s="15"/>
    </row>
    <row r="374" spans="1:25" ht="16.5" thickBot="1">
      <c r="A374" s="1">
        <v>34</v>
      </c>
      <c r="B374" s="39"/>
      <c r="C374" s="41" t="s">
        <v>180</v>
      </c>
      <c r="D374" s="122" t="str">
        <f>IF(D373="","",IF(ABS(D373)&lt;=0.02,"YES","NO"))</f>
        <v/>
      </c>
      <c r="E374" s="122" t="str">
        <f>IF(E373="","",IF(ABS(E373)&lt;=0.02,"YES","NO"))</f>
        <v/>
      </c>
      <c r="F374" s="122" t="str">
        <f>IF(F373="","",IF(ABS(F373)&lt;=0.02,"YES","NO"))</f>
        <v/>
      </c>
      <c r="G374" s="295" t="str">
        <f>IF(D363="","",IF(D363="Mo",IF(AND(ABS(G373)&lt;=0.02,G371&gt;=7),"YES","NO"),IF(D363="W",IF(AND(ABS(G373)&lt;=0.02,G371&gt;=2),"YES","NO"))))</f>
        <v/>
      </c>
      <c r="H374" s="5"/>
      <c r="I374" s="5"/>
      <c r="J374" s="5"/>
      <c r="K374" s="5"/>
      <c r="L374" s="5"/>
      <c r="M374" s="42"/>
      <c r="N374" s="5"/>
      <c r="O374" s="13"/>
      <c r="P374" s="600" t="s">
        <v>29</v>
      </c>
      <c r="Q374" s="600" t="s">
        <v>239</v>
      </c>
      <c r="R374" s="600" t="s">
        <v>240</v>
      </c>
      <c r="S374" s="600" t="s">
        <v>50</v>
      </c>
      <c r="T374" s="600" t="s">
        <v>49</v>
      </c>
      <c r="U374" s="600" t="s">
        <v>309</v>
      </c>
      <c r="V374" s="600" t="s">
        <v>310</v>
      </c>
      <c r="W374" s="600" t="s">
        <v>311</v>
      </c>
      <c r="X374" s="600" t="s">
        <v>312</v>
      </c>
      <c r="Y374" s="15"/>
    </row>
    <row r="375" spans="1:25">
      <c r="A375" s="1">
        <v>35</v>
      </c>
      <c r="B375" s="39"/>
      <c r="C375" s="5"/>
      <c r="D375" s="84" t="s">
        <v>163</v>
      </c>
      <c r="E375" s="10" t="s">
        <v>330</v>
      </c>
      <c r="F375" s="5"/>
      <c r="G375" s="5"/>
      <c r="H375" s="5"/>
      <c r="I375" s="5"/>
      <c r="J375" s="5"/>
      <c r="K375" s="5"/>
      <c r="L375" s="5"/>
      <c r="M375" s="42"/>
      <c r="N375" s="5"/>
      <c r="O375" s="13"/>
      <c r="P375" s="121" t="str">
        <f>IF($AK$28="","",$AK$28)</f>
        <v/>
      </c>
      <c r="Q375" s="121" t="str">
        <f>IF($AL$28="","",$AL$28)</f>
        <v/>
      </c>
      <c r="R375" s="121">
        <f t="shared" ref="R375:S378" si="86">IF(AH28="","",AH28)</f>
        <v>28</v>
      </c>
      <c r="S375" s="121">
        <f t="shared" si="86"/>
        <v>50</v>
      </c>
      <c r="T375" s="207" t="str">
        <f t="shared" ref="T375:V378" si="87">IF(AM28="","",AM28)</f>
        <v/>
      </c>
      <c r="U375" s="209" t="str">
        <f t="shared" si="87"/>
        <v/>
      </c>
      <c r="V375" s="207" t="str">
        <f t="shared" si="87"/>
        <v/>
      </c>
      <c r="W375" s="235" t="str">
        <f>IF(V375="","",V375/S375)</f>
        <v/>
      </c>
      <c r="X375" s="207" t="str">
        <f>IF(OR(V375="",U375=""),"",V375/(U375/1000))</f>
        <v/>
      </c>
      <c r="Y375" s="15"/>
    </row>
    <row r="376" spans="1:25">
      <c r="A376" s="1">
        <v>36</v>
      </c>
      <c r="B376" s="39"/>
      <c r="C376" s="5"/>
      <c r="D376" s="5"/>
      <c r="E376" s="10" t="s">
        <v>331</v>
      </c>
      <c r="F376" s="5"/>
      <c r="G376" s="5"/>
      <c r="H376" s="5"/>
      <c r="I376" s="5"/>
      <c r="J376" s="5"/>
      <c r="K376" s="5"/>
      <c r="L376" s="5"/>
      <c r="M376" s="42"/>
      <c r="N376" s="5"/>
      <c r="O376" s="13"/>
      <c r="P376" s="121" t="str">
        <f>IF($AK$28="","",$AK$28)</f>
        <v/>
      </c>
      <c r="Q376" s="121" t="str">
        <f>IF($AL$28="","",$AL$28)</f>
        <v/>
      </c>
      <c r="R376" s="121">
        <f t="shared" si="86"/>
        <v>28</v>
      </c>
      <c r="S376" s="121">
        <f t="shared" si="86"/>
        <v>50</v>
      </c>
      <c r="T376" s="207" t="str">
        <f t="shared" si="87"/>
        <v/>
      </c>
      <c r="U376" s="209" t="str">
        <f t="shared" si="87"/>
        <v/>
      </c>
      <c r="V376" s="207" t="str">
        <f t="shared" si="87"/>
        <v/>
      </c>
      <c r="W376" s="235" t="str">
        <f>IF(V376="","",V376/S376)</f>
        <v/>
      </c>
      <c r="X376" s="207" t="str">
        <f>IF(OR(V376="",U376=""),"",V376/(U376/1000))</f>
        <v/>
      </c>
      <c r="Y376" s="15"/>
    </row>
    <row r="377" spans="1:25">
      <c r="A377" s="1">
        <v>37</v>
      </c>
      <c r="B377" s="39"/>
      <c r="C377" s="5"/>
      <c r="D377" s="40"/>
      <c r="E377" s="176" t="s">
        <v>332</v>
      </c>
      <c r="F377" s="5"/>
      <c r="G377" s="5"/>
      <c r="H377" s="5"/>
      <c r="I377" s="5"/>
      <c r="J377" s="5"/>
      <c r="K377" s="5"/>
      <c r="L377" s="5"/>
      <c r="M377" s="42"/>
      <c r="N377" s="5"/>
      <c r="O377" s="13"/>
      <c r="P377" s="121" t="str">
        <f>IF($AK$28="","",$AK$28)</f>
        <v/>
      </c>
      <c r="Q377" s="121" t="str">
        <f>IF($AL$28="","",$AL$28)</f>
        <v/>
      </c>
      <c r="R377" s="121">
        <f t="shared" si="86"/>
        <v>28</v>
      </c>
      <c r="S377" s="121">
        <f t="shared" si="86"/>
        <v>50</v>
      </c>
      <c r="T377" s="207" t="str">
        <f t="shared" si="87"/>
        <v/>
      </c>
      <c r="U377" s="209" t="str">
        <f t="shared" si="87"/>
        <v/>
      </c>
      <c r="V377" s="207" t="str">
        <f t="shared" si="87"/>
        <v/>
      </c>
      <c r="W377" s="235" t="str">
        <f>IF(V377="","",V377/S377)</f>
        <v/>
      </c>
      <c r="X377" s="207" t="str">
        <f>IF(OR(V377="",U377=""),"",V377/(U377/1000))</f>
        <v/>
      </c>
      <c r="Y377" s="15"/>
    </row>
    <row r="378" spans="1:25">
      <c r="A378" s="1">
        <v>38</v>
      </c>
      <c r="B378" s="39"/>
      <c r="C378" s="47"/>
      <c r="D378" s="47"/>
      <c r="E378" s="47"/>
      <c r="F378" s="47"/>
      <c r="G378" s="47"/>
      <c r="H378" s="5"/>
      <c r="I378" s="5"/>
      <c r="J378" s="5"/>
      <c r="K378" s="5"/>
      <c r="L378" s="5"/>
      <c r="M378" s="42"/>
      <c r="N378" s="5"/>
      <c r="O378" s="13"/>
      <c r="P378" s="121" t="str">
        <f>IF($AK$28="","",$AK$28)</f>
        <v/>
      </c>
      <c r="Q378" s="121" t="str">
        <f>IF($AL$28="","",$AL$28)</f>
        <v/>
      </c>
      <c r="R378" s="121">
        <f t="shared" si="86"/>
        <v>28</v>
      </c>
      <c r="S378" s="121">
        <f t="shared" si="86"/>
        <v>50</v>
      </c>
      <c r="T378" s="585" t="str">
        <f t="shared" si="87"/>
        <v/>
      </c>
      <c r="U378" s="586" t="str">
        <f t="shared" si="87"/>
        <v/>
      </c>
      <c r="V378" s="585" t="str">
        <f t="shared" si="87"/>
        <v/>
      </c>
      <c r="W378" s="587" t="str">
        <f>IF(V378="","",V378/S378)</f>
        <v/>
      </c>
      <c r="X378" s="585" t="str">
        <f>IF(OR(V378="",U378=""),"",V378/(U378/1000))</f>
        <v/>
      </c>
      <c r="Y378" s="15"/>
    </row>
    <row r="379" spans="1:25">
      <c r="A379" s="1">
        <v>39</v>
      </c>
      <c r="B379" s="39"/>
      <c r="C379" s="45" t="s">
        <v>333</v>
      </c>
      <c r="D379" s="5"/>
      <c r="E379" s="5"/>
      <c r="F379" s="5"/>
      <c r="G379" s="5"/>
      <c r="H379" s="5"/>
      <c r="I379" s="5"/>
      <c r="J379" s="5"/>
      <c r="K379" s="5"/>
      <c r="L379" s="5"/>
      <c r="M379" s="42"/>
      <c r="N379" s="5"/>
      <c r="O379" s="13"/>
      <c r="P379" s="5"/>
      <c r="Q379" s="5"/>
      <c r="R379" s="5"/>
      <c r="S379" s="41" t="s">
        <v>169</v>
      </c>
      <c r="T379" s="207" t="str">
        <f>IF(OR(T375="",T376="",T377="",T378=""),"",AVERAGE(T375:T378))</f>
        <v/>
      </c>
      <c r="U379" s="209" t="str">
        <f>IF(OR(U375="",U376="",U377="",U378=""),"",AVERAGE(U375:U378))</f>
        <v/>
      </c>
      <c r="V379" s="207" t="str">
        <f>IF(OR(V375="",V376="",V377="",V378=""),"",AVERAGE(V375:V378))</f>
        <v/>
      </c>
      <c r="W379" s="235" t="str">
        <f>IF(OR(W375="",W376="",W377="",W378=""),"",AVERAGE(W375:W378))</f>
        <v/>
      </c>
      <c r="X379" s="207" t="str">
        <f>IF(OR(X375="",X376="",X377="",X378=""),"",AVERAGE(X375:X378))</f>
        <v/>
      </c>
      <c r="Y379" s="15"/>
    </row>
    <row r="380" spans="1:25">
      <c r="A380" s="1">
        <v>40</v>
      </c>
      <c r="B380" s="39"/>
      <c r="C380" s="41" t="s">
        <v>29</v>
      </c>
      <c r="D380" s="119" t="str">
        <f>IF(P389="","",P389)</f>
        <v/>
      </c>
      <c r="E380" s="41" t="s">
        <v>31</v>
      </c>
      <c r="F380" s="119" t="str">
        <f>IF(Q389="","",Q389)</f>
        <v/>
      </c>
      <c r="G380" s="5"/>
      <c r="H380" s="5"/>
      <c r="I380" s="5"/>
      <c r="J380" s="5"/>
      <c r="K380" s="5"/>
      <c r="L380" s="5"/>
      <c r="M380" s="42"/>
      <c r="N380" s="5"/>
      <c r="O380" s="112"/>
      <c r="P380" s="5"/>
      <c r="Q380" s="5"/>
      <c r="R380" s="5"/>
      <c r="S380" s="41" t="s">
        <v>328</v>
      </c>
      <c r="T380" s="207" t="str">
        <f>IF(OR(T375="",T376="",T377="",T378=""),"",STDEV(T375:T378))</f>
        <v/>
      </c>
      <c r="U380" s="207" t="str">
        <f>IF(OR(U375="",U376="",U377="",U378=""),"",STDEV(U375:U378))</f>
        <v/>
      </c>
      <c r="V380" s="207" t="str">
        <f>IF(OR(V375="",V376="",V377="",V378=""),"",STDEV(V375:V378))</f>
        <v/>
      </c>
      <c r="W380" s="207" t="str">
        <f>IF(OR(W375="",W376="",W377="",W378=""),"",STDEV(W375:W378))</f>
        <v/>
      </c>
      <c r="X380" s="207" t="str">
        <f>IF(OR(X375="",X376="",X377="",X378=""),"",STDEV(X375:X378))</f>
        <v/>
      </c>
      <c r="Y380" s="15"/>
    </row>
    <row r="381" spans="1:25">
      <c r="A381" s="1">
        <v>41</v>
      </c>
      <c r="B381" s="39"/>
      <c r="C381" s="5"/>
      <c r="D381" s="162"/>
      <c r="E381" s="5"/>
      <c r="F381" s="5"/>
      <c r="G381" s="5"/>
      <c r="H381" s="5"/>
      <c r="I381" s="5"/>
      <c r="J381" s="5"/>
      <c r="K381" s="5"/>
      <c r="L381" s="5"/>
      <c r="M381" s="42"/>
      <c r="N381" s="5"/>
      <c r="O381" s="13"/>
      <c r="P381" s="5"/>
      <c r="Q381" s="5"/>
      <c r="R381" s="5"/>
      <c r="S381" s="41" t="s">
        <v>291</v>
      </c>
      <c r="T381" s="284" t="str">
        <f>IF(OR(T379="",T380=""),"",T380/T379)</f>
        <v/>
      </c>
      <c r="U381" s="284" t="str">
        <f>IF(OR(U379="",U380=""),"",U380/U379)</f>
        <v/>
      </c>
      <c r="V381" s="284" t="str">
        <f>IF(OR(V379="",V380=""),"",V380/V379)</f>
        <v/>
      </c>
      <c r="W381" s="284" t="str">
        <f>IF(OR(W379="",W380=""),"",W380/W379)</f>
        <v/>
      </c>
      <c r="X381" s="284" t="str">
        <f>IF(OR(X379="",X380=""),"",X380/X379)</f>
        <v/>
      </c>
      <c r="Y381" s="15"/>
    </row>
    <row r="382" spans="1:25" ht="16.5" thickBot="1">
      <c r="A382" s="1">
        <v>42</v>
      </c>
      <c r="B382" s="39"/>
      <c r="C382" s="282" t="s">
        <v>339</v>
      </c>
      <c r="D382" s="282" t="s">
        <v>49</v>
      </c>
      <c r="E382" s="282" t="s">
        <v>329</v>
      </c>
      <c r="F382" s="282" t="s">
        <v>311</v>
      </c>
      <c r="G382" s="282" t="s">
        <v>312</v>
      </c>
      <c r="H382" s="5"/>
      <c r="I382" s="5"/>
      <c r="J382" s="5"/>
      <c r="K382" s="5"/>
      <c r="L382" s="5"/>
      <c r="M382" s="42"/>
      <c r="N382" s="5"/>
      <c r="O382" s="13"/>
      <c r="P382" s="5"/>
      <c r="Q382" s="5"/>
      <c r="R382" s="5"/>
      <c r="S382" s="41" t="s">
        <v>244</v>
      </c>
      <c r="T382" s="286"/>
      <c r="U382" s="286"/>
      <c r="V382" s="592"/>
      <c r="W382" s="588" t="str">
        <f>IF(AB87="","",AB87)</f>
        <v/>
      </c>
      <c r="X382" s="589" t="str">
        <f>IF(AB88="","",AB88)</f>
        <v/>
      </c>
      <c r="Y382" s="15"/>
    </row>
    <row r="383" spans="1:25">
      <c r="A383" s="1">
        <v>43</v>
      </c>
      <c r="B383" s="39"/>
      <c r="C383" s="121">
        <f t="shared" ref="C383:D386" si="88">IF(S389="","",S389)</f>
        <v>20</v>
      </c>
      <c r="D383" s="207" t="str">
        <f t="shared" si="88"/>
        <v/>
      </c>
      <c r="E383" s="207" t="str">
        <f t="shared" ref="E383:G386" si="89">IF(V389="","",V389)</f>
        <v/>
      </c>
      <c r="F383" s="235" t="str">
        <f t="shared" si="89"/>
        <v/>
      </c>
      <c r="G383" s="207" t="str">
        <f t="shared" si="89"/>
        <v/>
      </c>
      <c r="H383" s="5"/>
      <c r="I383" s="5"/>
      <c r="J383" s="5"/>
      <c r="K383" s="5"/>
      <c r="L383" s="5"/>
      <c r="M383" s="42"/>
      <c r="N383" s="5"/>
      <c r="O383" s="13"/>
      <c r="P383" s="84" t="s">
        <v>163</v>
      </c>
      <c r="Q383" s="10" t="s">
        <v>330</v>
      </c>
      <c r="R383" s="5"/>
      <c r="S383" s="5"/>
      <c r="T383" s="5"/>
      <c r="U383" s="5"/>
      <c r="V383" s="5"/>
      <c r="W383" s="5"/>
      <c r="X383" s="5"/>
      <c r="Y383" s="15"/>
    </row>
    <row r="384" spans="1:25">
      <c r="A384" s="1">
        <v>44</v>
      </c>
      <c r="B384" s="39"/>
      <c r="C384" s="121">
        <f t="shared" si="88"/>
        <v>50</v>
      </c>
      <c r="D384" s="207" t="str">
        <f t="shared" si="88"/>
        <v/>
      </c>
      <c r="E384" s="207" t="str">
        <f t="shared" si="89"/>
        <v/>
      </c>
      <c r="F384" s="235" t="str">
        <f t="shared" si="89"/>
        <v/>
      </c>
      <c r="G384" s="207" t="str">
        <f t="shared" si="89"/>
        <v/>
      </c>
      <c r="H384" s="5"/>
      <c r="I384" s="5"/>
      <c r="J384" s="5"/>
      <c r="K384" s="5"/>
      <c r="L384" s="5"/>
      <c r="M384" s="42"/>
      <c r="N384" s="5"/>
      <c r="O384" s="13"/>
      <c r="P384" s="5"/>
      <c r="Q384" s="10" t="s">
        <v>331</v>
      </c>
      <c r="R384" s="5"/>
      <c r="S384" s="5"/>
      <c r="T384" s="5"/>
      <c r="U384" s="5"/>
      <c r="V384" s="5"/>
      <c r="W384" s="5"/>
      <c r="X384" s="5"/>
      <c r="Y384" s="15"/>
    </row>
    <row r="385" spans="1:25" ht="16.5" thickBot="1">
      <c r="A385" s="1">
        <v>45</v>
      </c>
      <c r="B385" s="39"/>
      <c r="C385" s="121">
        <f t="shared" si="88"/>
        <v>100</v>
      </c>
      <c r="D385" s="207" t="str">
        <f t="shared" si="88"/>
        <v/>
      </c>
      <c r="E385" s="207" t="str">
        <f t="shared" si="89"/>
        <v/>
      </c>
      <c r="F385" s="235" t="str">
        <f t="shared" si="89"/>
        <v/>
      </c>
      <c r="G385" s="207" t="str">
        <f t="shared" si="89"/>
        <v/>
      </c>
      <c r="H385" s="5"/>
      <c r="I385" s="5"/>
      <c r="J385" s="5"/>
      <c r="K385" s="5"/>
      <c r="L385" s="5"/>
      <c r="M385" s="42"/>
      <c r="N385" s="5"/>
      <c r="O385" s="20"/>
      <c r="P385" s="21"/>
      <c r="Q385" s="180" t="s">
        <v>332</v>
      </c>
      <c r="R385" s="21"/>
      <c r="S385" s="21"/>
      <c r="T385" s="21"/>
      <c r="U385" s="21"/>
      <c r="V385" s="21"/>
      <c r="W385" s="21"/>
      <c r="X385" s="21"/>
      <c r="Y385" s="22"/>
    </row>
    <row r="386" spans="1:25" ht="16.5" thickBot="1">
      <c r="A386" s="1">
        <v>46</v>
      </c>
      <c r="B386" s="39"/>
      <c r="C386" s="121">
        <f t="shared" si="88"/>
        <v>300</v>
      </c>
      <c r="D386" s="207" t="str">
        <f t="shared" si="88"/>
        <v/>
      </c>
      <c r="E386" s="207" t="str">
        <f t="shared" si="89"/>
        <v/>
      </c>
      <c r="F386" s="235" t="str">
        <f t="shared" si="89"/>
        <v/>
      </c>
      <c r="G386" s="207" t="str">
        <f t="shared" si="89"/>
        <v/>
      </c>
      <c r="H386" s="5"/>
      <c r="I386" s="5"/>
      <c r="J386" s="5"/>
      <c r="K386" s="5"/>
      <c r="L386" s="5"/>
      <c r="M386" s="42"/>
      <c r="N386" s="5"/>
      <c r="O386" s="110" t="s">
        <v>333</v>
      </c>
      <c r="P386" s="7"/>
      <c r="Q386" s="7"/>
      <c r="R386" s="7"/>
      <c r="S386" s="7"/>
      <c r="T386" s="7"/>
      <c r="U386" s="7"/>
      <c r="V386" s="7"/>
      <c r="W386" s="7"/>
      <c r="X386" s="7"/>
      <c r="Y386" s="8"/>
    </row>
    <row r="387" spans="1:25" ht="16.5" thickBot="1">
      <c r="A387" s="1">
        <v>47</v>
      </c>
      <c r="B387" s="39"/>
      <c r="C387" s="5"/>
      <c r="D387" s="5"/>
      <c r="E387" s="41" t="s">
        <v>335</v>
      </c>
      <c r="F387" s="460" t="str">
        <f>IF(W393="","",W393)</f>
        <v/>
      </c>
      <c r="G387" s="5"/>
      <c r="H387" s="5"/>
      <c r="I387" s="5"/>
      <c r="J387" s="5"/>
      <c r="K387" s="5"/>
      <c r="L387" s="5"/>
      <c r="M387" s="42"/>
      <c r="N387" s="5"/>
      <c r="O387" s="13"/>
      <c r="P387" s="5"/>
      <c r="Q387" s="5"/>
      <c r="R387" s="5"/>
      <c r="S387" s="5"/>
      <c r="T387" s="600" t="s">
        <v>308</v>
      </c>
      <c r="U387" s="600"/>
      <c r="V387" s="600"/>
      <c r="W387" s="600"/>
      <c r="X387" s="600"/>
      <c r="Y387" s="15"/>
    </row>
    <row r="388" spans="1:25">
      <c r="A388" s="1">
        <v>48</v>
      </c>
      <c r="B388" s="39"/>
      <c r="C388" s="5"/>
      <c r="D388" s="84" t="s">
        <v>163</v>
      </c>
      <c r="E388" s="10" t="s">
        <v>334</v>
      </c>
      <c r="F388" s="5"/>
      <c r="G388" s="5"/>
      <c r="H388" s="5"/>
      <c r="I388" s="5"/>
      <c r="J388" s="5"/>
      <c r="K388" s="5"/>
      <c r="L388" s="5"/>
      <c r="M388" s="42"/>
      <c r="N388" s="5"/>
      <c r="O388" s="13"/>
      <c r="P388" s="600" t="s">
        <v>29</v>
      </c>
      <c r="Q388" s="600" t="s">
        <v>239</v>
      </c>
      <c r="R388" s="600" t="s">
        <v>240</v>
      </c>
      <c r="S388" s="600" t="s">
        <v>50</v>
      </c>
      <c r="T388" s="600" t="s">
        <v>49</v>
      </c>
      <c r="U388" s="600" t="s">
        <v>309</v>
      </c>
      <c r="V388" s="600" t="s">
        <v>310</v>
      </c>
      <c r="W388" s="600" t="s">
        <v>311</v>
      </c>
      <c r="X388" s="600" t="s">
        <v>312</v>
      </c>
      <c r="Y388" s="15"/>
    </row>
    <row r="389" spans="1:25">
      <c r="A389" s="1">
        <v>49</v>
      </c>
      <c r="B389" s="39"/>
      <c r="C389" s="5"/>
      <c r="D389" s="5"/>
      <c r="E389" s="5"/>
      <c r="F389" s="5"/>
      <c r="G389" s="5"/>
      <c r="H389" s="5"/>
      <c r="I389" s="5"/>
      <c r="J389" s="5"/>
      <c r="K389" s="5"/>
      <c r="L389" s="5"/>
      <c r="M389" s="42"/>
      <c r="N389" s="5"/>
      <c r="O389" s="13"/>
      <c r="P389" s="121" t="str">
        <f>IF(AK27="","",AK27)</f>
        <v/>
      </c>
      <c r="Q389" s="121" t="str">
        <f>IF(AL27="","",AL27)</f>
        <v/>
      </c>
      <c r="R389" s="121">
        <f>IF(AH27="","",AH27)</f>
        <v>28</v>
      </c>
      <c r="S389" s="121">
        <f>IF(AI27="","",AI27)</f>
        <v>20</v>
      </c>
      <c r="T389" s="207" t="str">
        <f>IF(AM27="","",AM27)</f>
        <v/>
      </c>
      <c r="U389" s="209" t="str">
        <f>IF(AN27="","",AN27)</f>
        <v/>
      </c>
      <c r="V389" s="207" t="str">
        <f>IF(AO27="","",AO27)</f>
        <v/>
      </c>
      <c r="W389" s="235" t="str">
        <f>IF(V389="","",V389/S389)</f>
        <v/>
      </c>
      <c r="X389" s="207" t="str">
        <f>IF(OR(V389="",U389=""),"",V389/(U389/1000))</f>
        <v/>
      </c>
      <c r="Y389" s="15"/>
    </row>
    <row r="390" spans="1:25">
      <c r="A390" s="1">
        <v>50</v>
      </c>
      <c r="B390" s="39"/>
      <c r="C390" s="45" t="s">
        <v>346</v>
      </c>
      <c r="D390" s="5"/>
      <c r="E390" s="5"/>
      <c r="F390" s="5"/>
      <c r="G390" s="5"/>
      <c r="H390" s="5"/>
      <c r="I390" s="5"/>
      <c r="J390" s="5"/>
      <c r="K390" s="5"/>
      <c r="L390" s="5"/>
      <c r="M390" s="42"/>
      <c r="N390" s="5"/>
      <c r="O390" s="13"/>
      <c r="P390" s="121" t="str">
        <f>IF(AK28="","",AK28)</f>
        <v/>
      </c>
      <c r="Q390" s="121" t="str">
        <f>IF(AL28="","",AL28)</f>
        <v/>
      </c>
      <c r="R390" s="121">
        <f>IF(AH28="","",AH28)</f>
        <v>28</v>
      </c>
      <c r="S390" s="121">
        <f>IF(AI28="","",AI28)</f>
        <v>50</v>
      </c>
      <c r="T390" s="207" t="str">
        <f>T379</f>
        <v/>
      </c>
      <c r="U390" s="209" t="str">
        <f>U379</f>
        <v/>
      </c>
      <c r="V390" s="207" t="str">
        <f>V379</f>
        <v/>
      </c>
      <c r="W390" s="235" t="str">
        <f>W379</f>
        <v/>
      </c>
      <c r="X390" s="207" t="str">
        <f>X379</f>
        <v/>
      </c>
      <c r="Y390" s="15"/>
    </row>
    <row r="391" spans="1:25">
      <c r="A391" s="1">
        <v>51</v>
      </c>
      <c r="B391" s="39"/>
      <c r="C391" s="296" t="s">
        <v>48</v>
      </c>
      <c r="D391" s="296" t="str">
        <f>$P$343&amp;"/"&amp;$Q$343</f>
        <v>/</v>
      </c>
      <c r="E391" s="296" t="str">
        <f>$P$343&amp;"/"&amp;$Q$343</f>
        <v>/</v>
      </c>
      <c r="F391" s="296" t="str">
        <f>$P$343&amp;"/"&amp;$Q$343</f>
        <v>/</v>
      </c>
      <c r="G391" s="296" t="str">
        <f>$P$343&amp;"/"&amp;$Q$343</f>
        <v>/</v>
      </c>
      <c r="H391" s="296" t="str">
        <f>$P$354&amp;"/"&amp;$Q$354</f>
        <v>/</v>
      </c>
      <c r="I391" s="296" t="str">
        <f>$P$354&amp;"/"&amp;$Q$354</f>
        <v>/</v>
      </c>
      <c r="J391" s="296" t="str">
        <f>$P$354&amp;"/"&amp;$Q$354</f>
        <v>/</v>
      </c>
      <c r="K391" s="296" t="str">
        <f>$P$354&amp;"/"&amp;$Q$354</f>
        <v>/</v>
      </c>
      <c r="L391" s="5"/>
      <c r="M391" s="42"/>
      <c r="N391" s="5"/>
      <c r="O391" s="13"/>
      <c r="P391" s="121" t="str">
        <f>IF(AK38="","",AK38)</f>
        <v/>
      </c>
      <c r="Q391" s="121" t="str">
        <f>IF(AL38="","",AL38)</f>
        <v/>
      </c>
      <c r="R391" s="121">
        <f>IF(AH38="","",AH38)</f>
        <v>28</v>
      </c>
      <c r="S391" s="121">
        <f>IF(AI38="","",AI38)</f>
        <v>100</v>
      </c>
      <c r="T391" s="207" t="str">
        <f t="shared" ref="T391:V392" si="90">IF(AM38="","",AM38)</f>
        <v/>
      </c>
      <c r="U391" s="209" t="str">
        <f t="shared" si="90"/>
        <v/>
      </c>
      <c r="V391" s="207" t="str">
        <f t="shared" si="90"/>
        <v/>
      </c>
      <c r="W391" s="235" t="str">
        <f>IF(V391="","",V391/S391)</f>
        <v/>
      </c>
      <c r="X391" s="207" t="str">
        <f>IF(OR(V391="",U391=""),"",V391/(U391/1000))</f>
        <v/>
      </c>
      <c r="Y391" s="15"/>
    </row>
    <row r="392" spans="1:25" ht="16.5" thickBot="1">
      <c r="A392" s="1">
        <v>52</v>
      </c>
      <c r="B392" s="39"/>
      <c r="C392" s="65" t="s">
        <v>240</v>
      </c>
      <c r="D392" s="65">
        <f t="shared" ref="D392:K392" si="91">Q399</f>
        <v>24</v>
      </c>
      <c r="E392" s="65">
        <f t="shared" si="91"/>
        <v>25</v>
      </c>
      <c r="F392" s="65">
        <f t="shared" si="91"/>
        <v>28</v>
      </c>
      <c r="G392" s="65">
        <f t="shared" si="91"/>
        <v>32</v>
      </c>
      <c r="H392" s="65">
        <f t="shared" si="91"/>
        <v>28</v>
      </c>
      <c r="I392" s="65">
        <f t="shared" si="91"/>
        <v>30</v>
      </c>
      <c r="J392" s="65">
        <f t="shared" si="91"/>
        <v>32</v>
      </c>
      <c r="K392" s="65">
        <f t="shared" si="91"/>
        <v>34</v>
      </c>
      <c r="L392" s="5"/>
      <c r="M392" s="42"/>
      <c r="N392" s="5"/>
      <c r="O392" s="13"/>
      <c r="P392" s="121" t="str">
        <f>IF(AK39="","",AK39)</f>
        <v/>
      </c>
      <c r="Q392" s="121" t="str">
        <f>IF(AL39="","",AL39)</f>
        <v/>
      </c>
      <c r="R392" s="121">
        <f>IF(AH39="","",AH39)</f>
        <v>28</v>
      </c>
      <c r="S392" s="121">
        <f>IF(AI39="","",AI39)</f>
        <v>300</v>
      </c>
      <c r="T392" s="207" t="str">
        <f t="shared" si="90"/>
        <v/>
      </c>
      <c r="U392" s="209" t="str">
        <f t="shared" si="90"/>
        <v/>
      </c>
      <c r="V392" s="207" t="str">
        <f t="shared" si="90"/>
        <v/>
      </c>
      <c r="W392" s="235" t="str">
        <f>IF(V392="","",V392/S392)</f>
        <v/>
      </c>
      <c r="X392" s="207" t="str">
        <f>IF(OR(V392="",U392=""),"",V392/(U392/1000))</f>
        <v/>
      </c>
      <c r="Y392" s="15"/>
    </row>
    <row r="393" spans="1:25">
      <c r="A393" s="1">
        <v>53</v>
      </c>
      <c r="B393" s="39"/>
      <c r="C393" s="304" t="s">
        <v>342</v>
      </c>
      <c r="D393" s="315" t="str">
        <f t="shared" ref="D393:K394" si="92">IF(Q403="","",Q403)</f>
        <v/>
      </c>
      <c r="E393" s="315" t="str">
        <f t="shared" si="92"/>
        <v/>
      </c>
      <c r="F393" s="315" t="str">
        <f t="shared" si="92"/>
        <v/>
      </c>
      <c r="G393" s="315" t="str">
        <f t="shared" si="92"/>
        <v/>
      </c>
      <c r="H393" s="315" t="str">
        <f t="shared" si="92"/>
        <v/>
      </c>
      <c r="I393" s="315" t="str">
        <f t="shared" si="92"/>
        <v/>
      </c>
      <c r="J393" s="315" t="str">
        <f t="shared" si="92"/>
        <v/>
      </c>
      <c r="K393" s="217" t="str">
        <f t="shared" si="92"/>
        <v/>
      </c>
      <c r="L393" s="5"/>
      <c r="M393" s="42"/>
      <c r="N393" s="5"/>
      <c r="O393" s="13"/>
      <c r="P393" s="84" t="s">
        <v>163</v>
      </c>
      <c r="Q393" s="10" t="s">
        <v>334</v>
      </c>
      <c r="R393" s="5"/>
      <c r="S393" s="5"/>
      <c r="T393" s="5"/>
      <c r="U393" s="5"/>
      <c r="V393" s="41" t="s">
        <v>335</v>
      </c>
      <c r="W393" s="590" t="str">
        <f>IF(OR(W389="",W390="",W391="",W392=""),"",(MAX(W389:W392)-MIN(W389:W392))/(MAX(W389:W392)+MIN(W389:W392)))</f>
        <v/>
      </c>
      <c r="X393" s="5"/>
      <c r="Y393" s="15"/>
    </row>
    <row r="394" spans="1:25" ht="16.5" thickBot="1">
      <c r="A394" s="1">
        <v>54</v>
      </c>
      <c r="B394" s="39"/>
      <c r="C394" s="307" t="s">
        <v>343</v>
      </c>
      <c r="D394" s="445" t="str">
        <f t="shared" si="92"/>
        <v/>
      </c>
      <c r="E394" s="445" t="str">
        <f t="shared" si="92"/>
        <v/>
      </c>
      <c r="F394" s="445" t="str">
        <f t="shared" si="92"/>
        <v/>
      </c>
      <c r="G394" s="445" t="str">
        <f t="shared" si="92"/>
        <v/>
      </c>
      <c r="H394" s="445" t="str">
        <f t="shared" si="92"/>
        <v/>
      </c>
      <c r="I394" s="445" t="str">
        <f t="shared" si="92"/>
        <v/>
      </c>
      <c r="J394" s="445" t="str">
        <f t="shared" si="92"/>
        <v/>
      </c>
      <c r="K394" s="447" t="str">
        <f t="shared" si="92"/>
        <v/>
      </c>
      <c r="L394" s="5"/>
      <c r="M394" s="42"/>
      <c r="N394" s="5"/>
      <c r="O394" s="13"/>
      <c r="P394" s="5"/>
      <c r="Q394" s="5"/>
      <c r="R394" s="5"/>
      <c r="S394" s="5"/>
      <c r="T394" s="5"/>
      <c r="U394" s="5"/>
      <c r="V394" s="5"/>
      <c r="W394" s="5"/>
      <c r="X394" s="5"/>
      <c r="Y394" s="15"/>
    </row>
    <row r="395" spans="1:25">
      <c r="A395" s="1">
        <v>55</v>
      </c>
      <c r="B395" s="39"/>
      <c r="C395" s="304" t="s">
        <v>344</v>
      </c>
      <c r="D395" s="315">
        <f t="shared" ref="D395:K397" si="93">Q405</f>
        <v>0.27</v>
      </c>
      <c r="E395" s="315">
        <f t="shared" si="93"/>
        <v>0.28000000000000003</v>
      </c>
      <c r="F395" s="315">
        <f t="shared" si="93"/>
        <v>0.31000000000000005</v>
      </c>
      <c r="G395" s="315">
        <f t="shared" si="93"/>
        <v>0.35</v>
      </c>
      <c r="H395" s="315">
        <f t="shared" si="93"/>
        <v>0.31000000000000005</v>
      </c>
      <c r="I395" s="315">
        <f t="shared" si="93"/>
        <v>0.32999999999999996</v>
      </c>
      <c r="J395" s="315">
        <f t="shared" si="93"/>
        <v>0.35</v>
      </c>
      <c r="K395" s="217">
        <f t="shared" si="93"/>
        <v>0.37</v>
      </c>
      <c r="L395" s="5"/>
      <c r="M395" s="42"/>
      <c r="N395" s="5"/>
      <c r="O395" s="76" t="str">
        <f>IF(U392="","",IF(U392/1000&gt;=3,1,2))</f>
        <v/>
      </c>
      <c r="P395" s="5" t="s">
        <v>336</v>
      </c>
      <c r="Q395" s="5"/>
      <c r="R395" s="5"/>
      <c r="S395" s="5"/>
      <c r="T395" s="5"/>
      <c r="U395" s="5"/>
      <c r="V395" s="5"/>
      <c r="W395" s="5"/>
      <c r="X395" s="5"/>
      <c r="Y395" s="15"/>
    </row>
    <row r="396" spans="1:25" ht="16.5" thickBot="1">
      <c r="A396" s="1">
        <v>56</v>
      </c>
      <c r="B396" s="39"/>
      <c r="C396" s="307" t="s">
        <v>345</v>
      </c>
      <c r="D396" s="212">
        <f t="shared" si="93"/>
        <v>0.36</v>
      </c>
      <c r="E396" s="212">
        <f t="shared" si="93"/>
        <v>0.37</v>
      </c>
      <c r="F396" s="212">
        <f t="shared" si="93"/>
        <v>0.4</v>
      </c>
      <c r="G396" s="212">
        <f t="shared" si="93"/>
        <v>0.44</v>
      </c>
      <c r="H396" s="212">
        <f t="shared" si="93"/>
        <v>0.47000000000000003</v>
      </c>
      <c r="I396" s="212">
        <f t="shared" si="93"/>
        <v>0.49</v>
      </c>
      <c r="J396" s="212">
        <f t="shared" si="93"/>
        <v>0.51</v>
      </c>
      <c r="K396" s="223">
        <f t="shared" si="93"/>
        <v>0.53</v>
      </c>
      <c r="L396" s="5"/>
      <c r="M396" s="42"/>
      <c r="N396" s="5"/>
      <c r="O396" s="20"/>
      <c r="P396" s="21"/>
      <c r="Q396" s="21"/>
      <c r="R396" s="21"/>
      <c r="S396" s="21"/>
      <c r="T396" s="21"/>
      <c r="U396" s="21"/>
      <c r="V396" s="21"/>
      <c r="W396" s="21"/>
      <c r="X396" s="21"/>
      <c r="Y396" s="22"/>
    </row>
    <row r="397" spans="1:25" ht="16.5" thickBot="1">
      <c r="A397" s="1">
        <v>57</v>
      </c>
      <c r="B397" s="39"/>
      <c r="C397" s="41" t="s">
        <v>180</v>
      </c>
      <c r="D397" s="169" t="str">
        <f t="shared" si="93"/>
        <v/>
      </c>
      <c r="E397" s="170" t="str">
        <f t="shared" si="93"/>
        <v/>
      </c>
      <c r="F397" s="170" t="str">
        <f t="shared" si="93"/>
        <v/>
      </c>
      <c r="G397" s="170" t="str">
        <f t="shared" si="93"/>
        <v/>
      </c>
      <c r="H397" s="170" t="str">
        <f t="shared" si="93"/>
        <v/>
      </c>
      <c r="I397" s="170" t="str">
        <f t="shared" si="93"/>
        <v/>
      </c>
      <c r="J397" s="170" t="str">
        <f t="shared" si="93"/>
        <v/>
      </c>
      <c r="K397" s="172" t="str">
        <f t="shared" si="93"/>
        <v/>
      </c>
      <c r="L397" s="5"/>
      <c r="M397" s="42"/>
      <c r="N397" s="5"/>
      <c r="O397" s="110" t="s">
        <v>337</v>
      </c>
      <c r="P397" s="7"/>
      <c r="Q397" s="113">
        <v>1</v>
      </c>
      <c r="R397" s="7" t="s">
        <v>338</v>
      </c>
      <c r="S397" s="7"/>
      <c r="T397" s="7"/>
      <c r="U397" s="7"/>
      <c r="V397" s="7"/>
      <c r="W397" s="7"/>
      <c r="X397" s="7"/>
      <c r="Y397" s="8"/>
    </row>
    <row r="398" spans="1:25">
      <c r="A398" s="1">
        <v>58</v>
      </c>
      <c r="B398" s="39"/>
      <c r="C398" s="5"/>
      <c r="D398" s="77"/>
      <c r="E398" s="77"/>
      <c r="F398" s="5"/>
      <c r="G398" s="5"/>
      <c r="H398" s="5"/>
      <c r="I398" s="5"/>
      <c r="J398" s="5"/>
      <c r="K398" s="5"/>
      <c r="L398" s="5"/>
      <c r="M398" s="42"/>
      <c r="N398" s="5"/>
      <c r="O398" s="13"/>
      <c r="P398" s="296" t="s">
        <v>48</v>
      </c>
      <c r="Q398" s="296" t="str">
        <f>$P$343&amp;"/"&amp;$Q$343</f>
        <v>/</v>
      </c>
      <c r="R398" s="296" t="str">
        <f>$P$343&amp;"/"&amp;$Q$343</f>
        <v>/</v>
      </c>
      <c r="S398" s="296" t="str">
        <f>$P$343&amp;"/"&amp;$Q$343</f>
        <v>/</v>
      </c>
      <c r="T398" s="296" t="str">
        <f>$P$343&amp;"/"&amp;$Q$343</f>
        <v>/</v>
      </c>
      <c r="U398" s="296" t="str">
        <f>$P$354&amp;"/"&amp;$Q$354</f>
        <v>/</v>
      </c>
      <c r="V398" s="296" t="str">
        <f>$P$354&amp;"/"&amp;$Q$354</f>
        <v>/</v>
      </c>
      <c r="W398" s="296" t="str">
        <f>$P$354&amp;"/"&amp;$Q$354</f>
        <v>/</v>
      </c>
      <c r="X398" s="296" t="str">
        <f>$P$354&amp;"/"&amp;$Q$354</f>
        <v>/</v>
      </c>
      <c r="Y398" s="15"/>
    </row>
    <row r="399" spans="1:25">
      <c r="A399" s="1">
        <v>59</v>
      </c>
      <c r="B399" s="39"/>
      <c r="C399" s="296" t="s">
        <v>48</v>
      </c>
      <c r="D399" s="296" t="str">
        <f>$P$364&amp;"/"&amp;$Q$364</f>
        <v>/</v>
      </c>
      <c r="E399" s="296" t="str">
        <f>$P$364&amp;"/"&amp;$Q$364</f>
        <v>/</v>
      </c>
      <c r="F399" s="296" t="str">
        <f>$P$364&amp;"/"&amp;$Q$364</f>
        <v>/</v>
      </c>
      <c r="G399" s="296" t="str">
        <f>$P$364&amp;"/"&amp;$Q$364</f>
        <v>/</v>
      </c>
      <c r="H399" s="296" t="str">
        <f>$P$364&amp;"/"&amp;$Q$364</f>
        <v>/</v>
      </c>
      <c r="I399" s="5"/>
      <c r="J399" s="5"/>
      <c r="K399" s="5"/>
      <c r="L399" s="5"/>
      <c r="M399" s="42"/>
      <c r="N399" s="5"/>
      <c r="O399" s="13"/>
      <c r="P399" s="65" t="s">
        <v>240</v>
      </c>
      <c r="Q399" s="65">
        <f>HVLProcessing!A1</f>
        <v>24</v>
      </c>
      <c r="R399" s="65">
        <f>HVLProcessing!A9</f>
        <v>25</v>
      </c>
      <c r="S399" s="65">
        <f>HVLProcessing!A17</f>
        <v>28</v>
      </c>
      <c r="T399" s="65">
        <f>HVLProcessing!A25</f>
        <v>32</v>
      </c>
      <c r="U399" s="65">
        <f>HVLProcessing!I1</f>
        <v>28</v>
      </c>
      <c r="V399" s="65">
        <f>HVLProcessing!I9</f>
        <v>30</v>
      </c>
      <c r="W399" s="65">
        <f>HVLProcessing!I17</f>
        <v>32</v>
      </c>
      <c r="X399" s="65">
        <f>HVLProcessing!I25</f>
        <v>34</v>
      </c>
      <c r="Y399" s="15"/>
    </row>
    <row r="400" spans="1:25" ht="16.5" thickBot="1">
      <c r="A400" s="1">
        <v>60</v>
      </c>
      <c r="B400" s="39"/>
      <c r="C400" s="65" t="s">
        <v>240</v>
      </c>
      <c r="D400" s="65">
        <f>Q412</f>
        <v>28</v>
      </c>
      <c r="E400" s="65">
        <f>R412</f>
        <v>30</v>
      </c>
      <c r="F400" s="65">
        <f>S412</f>
        <v>32</v>
      </c>
      <c r="G400" s="65">
        <f>T412</f>
        <v>34</v>
      </c>
      <c r="H400" s="65">
        <f>U412</f>
        <v>38</v>
      </c>
      <c r="I400" s="5"/>
      <c r="J400" s="5"/>
      <c r="K400" s="5"/>
      <c r="L400" s="5"/>
      <c r="M400" s="42"/>
      <c r="N400" s="5"/>
      <c r="O400" s="13"/>
      <c r="P400" s="594" t="s">
        <v>340</v>
      </c>
      <c r="Q400" s="602" t="s">
        <v>341</v>
      </c>
      <c r="R400" s="602"/>
      <c r="S400" s="602"/>
      <c r="T400" s="602"/>
      <c r="U400" s="602"/>
      <c r="V400" s="602"/>
      <c r="W400" s="602"/>
      <c r="X400" s="602"/>
      <c r="Y400" s="15"/>
    </row>
    <row r="401" spans="1:25">
      <c r="A401" s="1">
        <v>61</v>
      </c>
      <c r="B401" s="39"/>
      <c r="C401" s="304" t="s">
        <v>342</v>
      </c>
      <c r="D401" s="315" t="str">
        <f t="shared" ref="D401:H404" si="94">IF(Q416="","",Q416)</f>
        <v/>
      </c>
      <c r="E401" s="315" t="str">
        <f t="shared" si="94"/>
        <v/>
      </c>
      <c r="F401" s="315" t="str">
        <f t="shared" si="94"/>
        <v/>
      </c>
      <c r="G401" s="315" t="str">
        <f t="shared" si="94"/>
        <v/>
      </c>
      <c r="H401" s="315" t="str">
        <f t="shared" si="94"/>
        <v/>
      </c>
      <c r="I401" s="5"/>
      <c r="J401" s="5"/>
      <c r="K401" s="5"/>
      <c r="L401" s="5"/>
      <c r="M401" s="42"/>
      <c r="N401" s="5"/>
      <c r="O401" s="13"/>
      <c r="P401" s="297">
        <v>0</v>
      </c>
      <c r="Q401" s="298" t="str">
        <f>IF(AO10="","",AO10)</f>
        <v/>
      </c>
      <c r="R401" s="298" t="str">
        <f>IF(AO18="","",AO18)</f>
        <v/>
      </c>
      <c r="S401" s="298" t="str">
        <f>IF(AO29="","",AO29)</f>
        <v/>
      </c>
      <c r="T401" s="298" t="str">
        <f>IF(AO42="","",AO42)</f>
        <v/>
      </c>
      <c r="U401" s="298" t="str">
        <f>IF(AO58="","",AO58)</f>
        <v/>
      </c>
      <c r="V401" s="298" t="str">
        <f>IF(AO66="","",AO66)</f>
        <v/>
      </c>
      <c r="W401" s="298" t="str">
        <f>IF(AO74="","",AO74)</f>
        <v/>
      </c>
      <c r="X401" s="299" t="str">
        <f>IF(AO82="","",AO82)</f>
        <v/>
      </c>
      <c r="Y401" s="15"/>
    </row>
    <row r="402" spans="1:25" ht="16.5" thickBot="1">
      <c r="A402" s="1">
        <v>62</v>
      </c>
      <c r="B402" s="39"/>
      <c r="C402" s="307" t="s">
        <v>343</v>
      </c>
      <c r="D402" s="445" t="str">
        <f t="shared" si="94"/>
        <v/>
      </c>
      <c r="E402" s="445" t="str">
        <f t="shared" si="94"/>
        <v/>
      </c>
      <c r="F402" s="445" t="str">
        <f t="shared" si="94"/>
        <v/>
      </c>
      <c r="G402" s="445" t="str">
        <f t="shared" si="94"/>
        <v/>
      </c>
      <c r="H402" s="445" t="str">
        <f t="shared" si="94"/>
        <v/>
      </c>
      <c r="I402" s="5"/>
      <c r="J402" s="5"/>
      <c r="K402" s="5"/>
      <c r="L402" s="5"/>
      <c r="M402" s="42"/>
      <c r="N402" s="5"/>
      <c r="O402" s="13"/>
      <c r="P402" s="300">
        <v>0</v>
      </c>
      <c r="Q402" s="301" t="str">
        <f>IF(AO11="","",AO11)</f>
        <v/>
      </c>
      <c r="R402" s="301" t="str">
        <f>IF(AO19="","",AO19)</f>
        <v/>
      </c>
      <c r="S402" s="301" t="str">
        <f>IF(AO30="","",AO30)</f>
        <v/>
      </c>
      <c r="T402" s="301" t="str">
        <f>IF(AO43="","",AO43)</f>
        <v/>
      </c>
      <c r="U402" s="301" t="str">
        <f>IF(AO58="","",AO58)</f>
        <v/>
      </c>
      <c r="V402" s="302" t="str">
        <f>IF(AO67="","",AO67)</f>
        <v/>
      </c>
      <c r="W402" s="302" t="str">
        <f>IF(AO75="","",AO75)</f>
        <v/>
      </c>
      <c r="X402" s="303" t="str">
        <f>IF(AO83="","",AO83)</f>
        <v/>
      </c>
      <c r="Y402" s="15"/>
    </row>
    <row r="403" spans="1:25">
      <c r="A403" s="1">
        <v>63</v>
      </c>
      <c r="B403" s="39"/>
      <c r="C403" s="304" t="s">
        <v>344</v>
      </c>
      <c r="D403" s="315">
        <f t="shared" si="94"/>
        <v>0.31000000000000005</v>
      </c>
      <c r="E403" s="315">
        <f t="shared" si="94"/>
        <v>0.32999999999999996</v>
      </c>
      <c r="F403" s="315">
        <f t="shared" si="94"/>
        <v>0.35</v>
      </c>
      <c r="G403" s="315">
        <f t="shared" si="94"/>
        <v>0.37</v>
      </c>
      <c r="H403" s="315">
        <f t="shared" si="94"/>
        <v>0.41000000000000003</v>
      </c>
      <c r="I403" s="5"/>
      <c r="J403" s="5"/>
      <c r="K403" s="5"/>
      <c r="L403" s="5"/>
      <c r="M403" s="42"/>
      <c r="N403" s="5"/>
      <c r="O403" s="13"/>
      <c r="P403" s="304" t="s">
        <v>342</v>
      </c>
      <c r="Q403" s="305" t="str">
        <f>IF(AQ10="","",AVERAGE(AQ10:AQ11))</f>
        <v/>
      </c>
      <c r="R403" s="305" t="str">
        <f>IF(AQ18="","",AVERAGE(AQ18:AQ19))</f>
        <v/>
      </c>
      <c r="S403" s="305" t="str">
        <f>IF(AQ27="","",AVERAGE(AQ27:AQ31))</f>
        <v/>
      </c>
      <c r="T403" s="305" t="str">
        <f>IF(AQ42="","",AVERAGE(AQ42:AQ43))</f>
        <v/>
      </c>
      <c r="U403" s="305" t="str">
        <f>IF(AQ58="","",AVERAGE(AQ58:AQ59))</f>
        <v/>
      </c>
      <c r="V403" s="305" t="str">
        <f>IF(AQ66="","",AVERAGE(AQ66:AQ67))</f>
        <v/>
      </c>
      <c r="W403" s="305" t="str">
        <f>IF(AQ74="","",AVERAGE(AQ74:AQ75))</f>
        <v/>
      </c>
      <c r="X403" s="306" t="str">
        <f>IF(AQ82="","",AVERAGE(AQ82:AQ83))</f>
        <v/>
      </c>
      <c r="Y403" s="15"/>
    </row>
    <row r="404" spans="1:25" ht="16.5" thickBot="1">
      <c r="A404" s="1">
        <v>64</v>
      </c>
      <c r="B404" s="39"/>
      <c r="C404" s="307" t="s">
        <v>345</v>
      </c>
      <c r="D404" s="212">
        <f t="shared" si="94"/>
        <v>0.4</v>
      </c>
      <c r="E404" s="212">
        <f t="shared" si="94"/>
        <v>0.42</v>
      </c>
      <c r="F404" s="212">
        <f t="shared" si="94"/>
        <v>0.44</v>
      </c>
      <c r="G404" s="212">
        <f t="shared" si="94"/>
        <v>0.46</v>
      </c>
      <c r="H404" s="212">
        <f t="shared" si="94"/>
        <v>0.57000000000000006</v>
      </c>
      <c r="I404" s="5"/>
      <c r="J404" s="5"/>
      <c r="K404" s="5"/>
      <c r="L404" s="5"/>
      <c r="M404" s="42"/>
      <c r="N404" s="5"/>
      <c r="O404" s="13"/>
      <c r="P404" s="307" t="s">
        <v>343</v>
      </c>
      <c r="Q404" s="458" t="str">
        <f t="shared" ref="Q404:X404" si="95">IF(OR(Q401="",Q402=""),"",ABS(Q402-Q401)/Q401)</f>
        <v/>
      </c>
      <c r="R404" s="458" t="str">
        <f t="shared" si="95"/>
        <v/>
      </c>
      <c r="S404" s="458" t="str">
        <f t="shared" si="95"/>
        <v/>
      </c>
      <c r="T404" s="458" t="str">
        <f t="shared" si="95"/>
        <v/>
      </c>
      <c r="U404" s="458" t="str">
        <f t="shared" si="95"/>
        <v/>
      </c>
      <c r="V404" s="458" t="str">
        <f t="shared" si="95"/>
        <v/>
      </c>
      <c r="W404" s="458" t="str">
        <f t="shared" si="95"/>
        <v/>
      </c>
      <c r="X404" s="459" t="str">
        <f t="shared" si="95"/>
        <v/>
      </c>
      <c r="Y404" s="15"/>
    </row>
    <row r="405" spans="1:25" ht="16.5" thickBot="1">
      <c r="A405" s="1">
        <v>65</v>
      </c>
      <c r="B405" s="39"/>
      <c r="C405" s="41" t="s">
        <v>180</v>
      </c>
      <c r="D405" s="169" t="str">
        <f>IF($O$34=2,"NA",IF(Q420="","",Q420))</f>
        <v/>
      </c>
      <c r="E405" s="170" t="str">
        <f>IF($O$34=2,"NA",IF(R420="","",R420))</f>
        <v/>
      </c>
      <c r="F405" s="170" t="str">
        <f>IF($O$34=2,"NA",IF(S420="","",S420))</f>
        <v/>
      </c>
      <c r="G405" s="170" t="str">
        <f>IF($O$34=2,"NA",IF(T420="","",T420))</f>
        <v/>
      </c>
      <c r="H405" s="170" t="str">
        <f>IF($O$34=2,"NA",IF(U420="","",U420))</f>
        <v/>
      </c>
      <c r="I405" s="5"/>
      <c r="J405" s="5"/>
      <c r="K405" s="5"/>
      <c r="L405" s="5"/>
      <c r="M405" s="42"/>
      <c r="N405" s="5"/>
      <c r="O405" s="13"/>
      <c r="P405" s="304" t="s">
        <v>344</v>
      </c>
      <c r="Q405" s="308">
        <f t="shared" ref="Q405:X405" si="96">IF($Q$397=1,Q399/100+0.03,Q399/100)</f>
        <v>0.27</v>
      </c>
      <c r="R405" s="308">
        <f t="shared" si="96"/>
        <v>0.28000000000000003</v>
      </c>
      <c r="S405" s="308">
        <f t="shared" si="96"/>
        <v>0.31000000000000005</v>
      </c>
      <c r="T405" s="308">
        <f t="shared" si="96"/>
        <v>0.35</v>
      </c>
      <c r="U405" s="308">
        <f t="shared" si="96"/>
        <v>0.31000000000000005</v>
      </c>
      <c r="V405" s="308">
        <f t="shared" si="96"/>
        <v>0.32999999999999996</v>
      </c>
      <c r="W405" s="308">
        <f t="shared" si="96"/>
        <v>0.35</v>
      </c>
      <c r="X405" s="309">
        <f t="shared" si="96"/>
        <v>0.37</v>
      </c>
      <c r="Y405" s="15"/>
    </row>
    <row r="406" spans="1:25" ht="16.5" thickBot="1">
      <c r="A406" s="1">
        <v>66</v>
      </c>
      <c r="B406" s="48"/>
      <c r="C406" s="49"/>
      <c r="D406" s="224" t="s">
        <v>163</v>
      </c>
      <c r="E406" s="324" t="str">
        <f>IF(V21="W",Q422,Q421)</f>
        <v>Mo/Rh targets – HVL is between the minimum and maximum limits</v>
      </c>
      <c r="F406" s="49"/>
      <c r="G406" s="49"/>
      <c r="H406" s="49"/>
      <c r="I406" s="49"/>
      <c r="J406" s="49"/>
      <c r="K406" s="49"/>
      <c r="L406" s="49"/>
      <c r="M406" s="50"/>
      <c r="N406" s="5"/>
      <c r="O406" s="13"/>
      <c r="P406" s="310" t="s">
        <v>345</v>
      </c>
      <c r="Q406" s="311">
        <f>Q399/100+0.12</f>
        <v>0.36</v>
      </c>
      <c r="R406" s="311">
        <f>R399/100+0.12</f>
        <v>0.37</v>
      </c>
      <c r="S406" s="311">
        <f>S399/100+0.12</f>
        <v>0.4</v>
      </c>
      <c r="T406" s="311">
        <f>T399/100+0.12</f>
        <v>0.44</v>
      </c>
      <c r="U406" s="311">
        <f>U399/100+0.19</f>
        <v>0.47000000000000003</v>
      </c>
      <c r="V406" s="311">
        <f>V399/100+0.19</f>
        <v>0.49</v>
      </c>
      <c r="W406" s="311">
        <f>W399/100+0.19</f>
        <v>0.51</v>
      </c>
      <c r="X406" s="312">
        <f>X399/100+0.19</f>
        <v>0.53</v>
      </c>
      <c r="Y406" s="15"/>
    </row>
    <row r="407" spans="1:25" ht="17.25" thickTop="1" thickBot="1">
      <c r="A407" s="1">
        <v>67</v>
      </c>
      <c r="B407" s="5"/>
      <c r="C407" s="79" t="s">
        <v>3</v>
      </c>
      <c r="D407" s="80" t="str">
        <f>IF($P$7="","",$P$7)</f>
        <v/>
      </c>
      <c r="E407" s="10"/>
      <c r="F407" s="10"/>
      <c r="G407" s="10"/>
      <c r="H407" s="10"/>
      <c r="I407" s="10"/>
      <c r="J407" s="10"/>
      <c r="K407" s="10"/>
      <c r="L407" s="79" t="s">
        <v>4</v>
      </c>
      <c r="M407" s="81" t="str">
        <f>IF($X$7="","",$X$7)</f>
        <v>Eugene Mah</v>
      </c>
      <c r="N407" s="5"/>
      <c r="O407" s="13"/>
      <c r="P407" s="313"/>
      <c r="Q407" s="314" t="str">
        <f>IF(Q403="","",IF($P$343="Mo",IF(AND(Q403&gt;Q405,Q403&lt;Q406),"Pass","Fail"),IF($P$343="W",IF(Q403&gt;Q405,"Pass","Fail"),"")))</f>
        <v/>
      </c>
      <c r="R407" s="314" t="str">
        <f>IF(R403="","",IF($P$343="Mo",IF(AND(R403&gt;R405,R403&lt;R406),"Pass","Fail"),IF($P$343="W",IF(R403&gt;R405,"Pass","Fail"),"")))</f>
        <v/>
      </c>
      <c r="S407" s="314" t="str">
        <f>IF(S403="","",IF($P$343="Mo",IF(AND(S403&gt;S405,S403&lt;S406),"Pass","Fail"),IF($P$343="W",IF(S403&gt;S405,"Pass","Fail"),"")))</f>
        <v/>
      </c>
      <c r="T407" s="314" t="str">
        <f>IF(T403="","",IF($P$343="Mo",IF(AND(T403&gt;T405,T403&lt;T406),"Pass","Fail"),IF($P$343="W",IF(T403&gt;T405,"Pass","Fail"),"")))</f>
        <v/>
      </c>
      <c r="U407" s="314" t="str">
        <f>IF(U403="","",IF($P$354="Mo",IF(AND(U403&gt;U405,U403&lt;U406),"Pass","Fail"),IF($P$354="W",IF(U403&gt;U405,"Pass","Fail"),"")))</f>
        <v/>
      </c>
      <c r="V407" s="314" t="str">
        <f>IF(V403="","",IF($P$354="Mo",IF(AND(V403&gt;V405,V403&lt;V406),"Pass","Fail"),IF($P$354="W",IF(V403&gt;V405,"Pass","Fail"),"")))</f>
        <v/>
      </c>
      <c r="W407" s="314" t="str">
        <f>IF(W403="","",IF($P$354="Mo",IF(AND(W403&gt;W405,W403&lt;W406),"Pass","Fail"),IF($P$354="W",IF(W403&gt;W405,"Pass","Fail"),"")))</f>
        <v/>
      </c>
      <c r="X407" s="314" t="str">
        <f>IF(X403="","",IF($P$354="Mo",IF(AND(X403&gt;X405,X403&lt;X406),"Pass","Fail"),IF($P$354="W",IF(X403&gt;X405,"Pass","Fail"),"")))</f>
        <v/>
      </c>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77"/>
      <c r="Q408" s="77"/>
      <c r="R408" s="77"/>
      <c r="S408" s="77"/>
      <c r="T408" s="77"/>
      <c r="U408" s="77"/>
      <c r="V408" s="77"/>
      <c r="W408" s="77"/>
      <c r="X408" s="77"/>
      <c r="Y408" s="15"/>
    </row>
    <row r="409" spans="1:25">
      <c r="A409" s="1">
        <v>1</v>
      </c>
      <c r="B409" s="5"/>
      <c r="C409" s="5"/>
      <c r="D409" s="5"/>
      <c r="E409" s="5"/>
      <c r="F409" s="5"/>
      <c r="G409" s="5"/>
      <c r="H409" s="5"/>
      <c r="I409" s="5"/>
      <c r="J409" s="5"/>
      <c r="K409" s="5"/>
      <c r="L409" s="5"/>
      <c r="M409" s="83" t="str">
        <f>$H$2</f>
        <v>Medical University of South Carolina</v>
      </c>
      <c r="N409" s="5"/>
      <c r="O409" s="13"/>
      <c r="P409" s="84" t="s">
        <v>163</v>
      </c>
      <c r="Q409" s="47" t="s">
        <v>347</v>
      </c>
      <c r="R409" s="47"/>
      <c r="S409" s="47"/>
      <c r="T409" s="47"/>
      <c r="U409" s="47"/>
      <c r="V409" s="77"/>
      <c r="W409" s="77"/>
      <c r="X409" s="77"/>
      <c r="Y409" s="15"/>
    </row>
    <row r="410" spans="1:25" ht="18">
      <c r="A410" s="1">
        <v>2</v>
      </c>
      <c r="B410" s="5"/>
      <c r="C410" s="5"/>
      <c r="D410" s="5"/>
      <c r="E410" s="5"/>
      <c r="F410" s="5"/>
      <c r="G410" s="5"/>
      <c r="H410" s="27" t="s">
        <v>51</v>
      </c>
      <c r="I410" s="5"/>
      <c r="J410" s="5"/>
      <c r="K410" s="5"/>
      <c r="L410" s="5"/>
      <c r="M410" s="84" t="str">
        <f>$H$5</f>
        <v>Mammography System Compliance Inspection</v>
      </c>
      <c r="N410" s="5"/>
      <c r="O410" s="112" t="s">
        <v>348</v>
      </c>
      <c r="P410" s="77"/>
      <c r="Q410" s="77"/>
      <c r="R410" s="77"/>
      <c r="S410" s="77"/>
      <c r="T410" s="77"/>
      <c r="U410" s="77"/>
      <c r="V410" s="77"/>
      <c r="W410" s="77"/>
      <c r="X410" s="77"/>
      <c r="Y410" s="15"/>
    </row>
    <row r="411" spans="1:25">
      <c r="A411" s="1">
        <v>3</v>
      </c>
      <c r="B411" s="5"/>
      <c r="C411" s="5"/>
      <c r="D411" s="5"/>
      <c r="E411" s="5"/>
      <c r="F411" s="5"/>
      <c r="G411" s="5"/>
      <c r="H411" s="5"/>
      <c r="I411" s="5"/>
      <c r="J411" s="5"/>
      <c r="K411" s="5"/>
      <c r="L411" s="5"/>
      <c r="M411" s="5"/>
      <c r="N411" s="5"/>
      <c r="O411" s="13"/>
      <c r="P411" s="296" t="s">
        <v>48</v>
      </c>
      <c r="Q411" s="296" t="str">
        <f>$P$364&amp;"/"&amp;$Q$364</f>
        <v>/</v>
      </c>
      <c r="R411" s="296" t="str">
        <f>$P$364&amp;"/"&amp;$Q$364</f>
        <v>/</v>
      </c>
      <c r="S411" s="296" t="str">
        <f>$P$364&amp;"/"&amp;$Q$364</f>
        <v>/</v>
      </c>
      <c r="T411" s="296" t="str">
        <f>$P$364&amp;"/"&amp;$Q$364</f>
        <v>/</v>
      </c>
      <c r="U411" s="296" t="str">
        <f>$P$364&amp;"/"&amp;$Q$364</f>
        <v>/</v>
      </c>
      <c r="V411" s="77"/>
      <c r="W411" s="77"/>
      <c r="X411" s="77"/>
      <c r="Y411" s="15"/>
    </row>
    <row r="412" spans="1:25">
      <c r="A412" s="1">
        <v>4</v>
      </c>
      <c r="B412" s="5"/>
      <c r="C412" s="5"/>
      <c r="D412" s="5"/>
      <c r="E412" s="5"/>
      <c r="F412" s="5"/>
      <c r="G412" s="5"/>
      <c r="H412" s="5"/>
      <c r="I412" s="5"/>
      <c r="J412" s="5"/>
      <c r="K412" s="5"/>
      <c r="L412" s="5"/>
      <c r="M412" s="5"/>
      <c r="N412" s="5"/>
      <c r="O412" s="13"/>
      <c r="P412" s="65" t="s">
        <v>240</v>
      </c>
      <c r="Q412" s="65">
        <f>HVLProcessing!Q1</f>
        <v>28</v>
      </c>
      <c r="R412" s="65">
        <f>HVLProcessing!Q9</f>
        <v>30</v>
      </c>
      <c r="S412" s="65">
        <f>HVLProcessing!Q17</f>
        <v>32</v>
      </c>
      <c r="T412" s="65">
        <f>HVLProcessing!Q25</f>
        <v>34</v>
      </c>
      <c r="U412" s="65">
        <f>HVLProcessing!Q33</f>
        <v>38</v>
      </c>
      <c r="V412" s="47"/>
      <c r="W412" s="47"/>
      <c r="X412" s="47"/>
      <c r="Y412" s="316"/>
    </row>
    <row r="413" spans="1:25" ht="16.5" thickBot="1">
      <c r="A413" s="1">
        <v>5</v>
      </c>
      <c r="B413" s="5"/>
      <c r="C413" s="5"/>
      <c r="D413" s="5"/>
      <c r="E413" s="5"/>
      <c r="F413" s="5"/>
      <c r="G413" s="5"/>
      <c r="H413" s="5"/>
      <c r="I413" s="5"/>
      <c r="J413" s="5"/>
      <c r="K413" s="5"/>
      <c r="L413" s="5"/>
      <c r="M413" s="5"/>
      <c r="N413" s="5"/>
      <c r="O413" s="13"/>
      <c r="P413" s="594" t="s">
        <v>340</v>
      </c>
      <c r="Q413" s="602" t="s">
        <v>341</v>
      </c>
      <c r="R413" s="602"/>
      <c r="S413" s="602"/>
      <c r="T413" s="602"/>
      <c r="U413" s="602"/>
      <c r="V413" s="77"/>
      <c r="W413" s="77"/>
      <c r="X413" s="77"/>
      <c r="Y413" s="316"/>
    </row>
    <row r="414" spans="1:25">
      <c r="A414" s="1">
        <v>6</v>
      </c>
      <c r="B414" s="5"/>
      <c r="C414" s="5"/>
      <c r="D414" s="5"/>
      <c r="E414" s="5"/>
      <c r="F414" s="5"/>
      <c r="G414" s="5"/>
      <c r="H414" s="5"/>
      <c r="I414" s="5"/>
      <c r="J414" s="5"/>
      <c r="K414" s="5"/>
      <c r="L414" s="5"/>
      <c r="M414" s="5"/>
      <c r="N414" s="5"/>
      <c r="O414" s="13"/>
      <c r="P414" s="297">
        <v>0</v>
      </c>
      <c r="Q414" s="298" t="str">
        <f>IF(AO92="","",AO92)</f>
        <v/>
      </c>
      <c r="R414" s="298" t="str">
        <f>IF(AO100="","",AO100)</f>
        <v/>
      </c>
      <c r="S414" s="298" t="str">
        <f>IF(AO108="","",AO108)</f>
        <v/>
      </c>
      <c r="T414" s="298" t="str">
        <f>IF(AO116="","",AO116)</f>
        <v/>
      </c>
      <c r="U414" s="298" t="str">
        <f>IF(AO124="","",AO124)</f>
        <v/>
      </c>
      <c r="V414" s="317"/>
      <c r="W414" s="594"/>
      <c r="X414" s="594"/>
      <c r="Y414" s="15"/>
    </row>
    <row r="415" spans="1:25" ht="16.5" thickBot="1">
      <c r="A415" s="1">
        <v>7</v>
      </c>
      <c r="B415" s="5"/>
      <c r="C415" s="5"/>
      <c r="D415" s="5"/>
      <c r="E415" s="5"/>
      <c r="F415" s="5"/>
      <c r="G415" s="5"/>
      <c r="H415" s="5"/>
      <c r="I415" s="5"/>
      <c r="J415" s="5"/>
      <c r="K415" s="5"/>
      <c r="L415" s="5"/>
      <c r="M415" s="5"/>
      <c r="N415" s="5"/>
      <c r="O415" s="13"/>
      <c r="P415" s="300">
        <v>0</v>
      </c>
      <c r="Q415" s="301" t="str">
        <f>IF(AO93="","",AO93)</f>
        <v/>
      </c>
      <c r="R415" s="301" t="str">
        <f>IF(AO101="","",AO101)</f>
        <v/>
      </c>
      <c r="S415" s="301" t="str">
        <f>IF(AO109="","",AO109)</f>
        <v/>
      </c>
      <c r="T415" s="301" t="str">
        <f>IF(AO117="","",AO117)</f>
        <v/>
      </c>
      <c r="U415" s="301" t="str">
        <f>IF(AO125="","",AO125)</f>
        <v/>
      </c>
      <c r="V415" s="317"/>
      <c r="W415" s="594"/>
      <c r="X415" s="594"/>
      <c r="Y415" s="15"/>
    </row>
    <row r="416" spans="1:25">
      <c r="A416" s="1">
        <v>8</v>
      </c>
      <c r="B416" s="5"/>
      <c r="C416" s="5"/>
      <c r="D416" s="5"/>
      <c r="E416" s="5"/>
      <c r="F416" s="5"/>
      <c r="G416" s="5"/>
      <c r="H416" s="5"/>
      <c r="I416" s="5"/>
      <c r="J416" s="5"/>
      <c r="K416" s="5"/>
      <c r="L416" s="5"/>
      <c r="M416" s="5"/>
      <c r="N416" s="5"/>
      <c r="O416" s="13"/>
      <c r="P416" s="304" t="s">
        <v>342</v>
      </c>
      <c r="Q416" s="305" t="str">
        <f>IF(AQ92="","",AVERAGE(AQ92:AQ93))</f>
        <v/>
      </c>
      <c r="R416" s="305" t="str">
        <f>IF(AQ100="","",AVERAGE(AQ100:AQ101))</f>
        <v/>
      </c>
      <c r="S416" s="305" t="str">
        <f>IF(AQ108="","",AVERAGE(AQ108:AQ109))</f>
        <v/>
      </c>
      <c r="T416" s="305" t="str">
        <f>IF(AQ116="","",AVERAGE(AQ116:AQ117))</f>
        <v/>
      </c>
      <c r="U416" s="305" t="str">
        <f>IF(AQ124="","",AVERAGE(AQ124:AQ125))</f>
        <v/>
      </c>
      <c r="V416" s="318"/>
      <c r="W416" s="319"/>
      <c r="X416" s="319"/>
      <c r="Y416" s="15"/>
    </row>
    <row r="417" spans="1:25" ht="16.5" thickBot="1">
      <c r="A417" s="1">
        <v>9</v>
      </c>
      <c r="B417" s="5"/>
      <c r="C417" s="5"/>
      <c r="D417" s="5"/>
      <c r="E417" s="5"/>
      <c r="F417" s="5"/>
      <c r="G417" s="5"/>
      <c r="H417" s="5"/>
      <c r="I417" s="5"/>
      <c r="J417" s="5"/>
      <c r="K417" s="5"/>
      <c r="L417" s="5"/>
      <c r="M417" s="5"/>
      <c r="N417" s="5"/>
      <c r="O417" s="13"/>
      <c r="P417" s="307" t="s">
        <v>343</v>
      </c>
      <c r="Q417" s="458" t="str">
        <f>IF(OR(Q414="",Q415=""),"",ABS(Q415-Q414)/Q414)</f>
        <v/>
      </c>
      <c r="R417" s="458" t="str">
        <f>IF(OR(R414="",R415=""),"",ABS(R415-R414)/R414)</f>
        <v/>
      </c>
      <c r="S417" s="458" t="str">
        <f>IF(OR(S414="",S415=""),"",ABS(S415-S414)/S414)</f>
        <v/>
      </c>
      <c r="T417" s="458" t="str">
        <f>IF(OR(T414="",T415=""),"",ABS(T415-T414)/T414)</f>
        <v/>
      </c>
      <c r="U417" s="458" t="str">
        <f>IF(OR(U414="",U415=""),"",ABS(U415-U414)/U414)</f>
        <v/>
      </c>
      <c r="V417" s="320"/>
      <c r="W417" s="321"/>
      <c r="X417" s="321"/>
      <c r="Y417" s="15"/>
    </row>
    <row r="418" spans="1:25">
      <c r="A418" s="1">
        <v>10</v>
      </c>
      <c r="B418" s="5"/>
      <c r="C418" s="5"/>
      <c r="D418" s="5"/>
      <c r="E418" s="5"/>
      <c r="F418" s="5"/>
      <c r="G418" s="5"/>
      <c r="H418" s="5"/>
      <c r="I418" s="5"/>
      <c r="J418" s="5"/>
      <c r="K418" s="5"/>
      <c r="L418" s="5"/>
      <c r="M418" s="5"/>
      <c r="N418" s="5"/>
      <c r="O418" s="13"/>
      <c r="P418" s="304" t="s">
        <v>344</v>
      </c>
      <c r="Q418" s="308">
        <f>IF($Q$397=1,Q412/100+0.03,Q412/100)</f>
        <v>0.31000000000000005</v>
      </c>
      <c r="R418" s="308">
        <f>IF($Q$397=1,R412/100+0.03,R412/100)</f>
        <v>0.32999999999999996</v>
      </c>
      <c r="S418" s="308">
        <f>IF($Q$397=1,S412/100+0.03,S412/100)</f>
        <v>0.35</v>
      </c>
      <c r="T418" s="308">
        <f>IF($Q$397=1,T412/100+0.03,T412/100)</f>
        <v>0.37</v>
      </c>
      <c r="U418" s="308">
        <f>IF($Q$397=1,U412/100+0.03,U412/100)</f>
        <v>0.41000000000000003</v>
      </c>
      <c r="V418" s="322"/>
      <c r="W418" s="323"/>
      <c r="X418" s="323"/>
      <c r="Y418" s="15"/>
    </row>
    <row r="419" spans="1:25" ht="16.5" thickBot="1">
      <c r="A419" s="1">
        <v>11</v>
      </c>
      <c r="B419" s="5"/>
      <c r="C419" s="5"/>
      <c r="D419" s="5"/>
      <c r="E419" s="5"/>
      <c r="F419" s="5"/>
      <c r="G419" s="5"/>
      <c r="H419" s="5"/>
      <c r="I419" s="5"/>
      <c r="J419" s="5"/>
      <c r="K419" s="5"/>
      <c r="L419" s="5"/>
      <c r="M419" s="5"/>
      <c r="N419" s="5"/>
      <c r="O419" s="13"/>
      <c r="P419" s="310" t="s">
        <v>345</v>
      </c>
      <c r="Q419" s="311">
        <f>Q412/100+0.12</f>
        <v>0.4</v>
      </c>
      <c r="R419" s="311">
        <f>R412/100+0.12</f>
        <v>0.42</v>
      </c>
      <c r="S419" s="311">
        <f>S412/100+0.12</f>
        <v>0.44</v>
      </c>
      <c r="T419" s="311">
        <f>T412/100+0.12</f>
        <v>0.46</v>
      </c>
      <c r="U419" s="311">
        <f>U412/100+0.19</f>
        <v>0.57000000000000006</v>
      </c>
      <c r="V419" s="322"/>
      <c r="W419" s="323"/>
      <c r="X419" s="323"/>
      <c r="Y419" s="15"/>
    </row>
    <row r="420" spans="1:25" ht="16.5" thickBot="1">
      <c r="A420" s="1">
        <v>12</v>
      </c>
      <c r="B420" s="5"/>
      <c r="C420" s="5"/>
      <c r="D420" s="5"/>
      <c r="E420" s="5"/>
      <c r="F420" s="5"/>
      <c r="G420" s="5"/>
      <c r="H420" s="5"/>
      <c r="I420" s="5"/>
      <c r="J420" s="5"/>
      <c r="K420" s="5"/>
      <c r="L420" s="5"/>
      <c r="M420" s="5"/>
      <c r="N420" s="5"/>
      <c r="O420" s="13"/>
      <c r="P420" s="313"/>
      <c r="Q420" s="314" t="str">
        <f>IF(Q416="","",IF($P$343="Mo",IF(AND(Q416&gt;Q418,Q416&lt;Q419),"Pass","Fail"),IF($P$343="W",IF(Q416&gt;Q418,"Pass","Fail"),"")))</f>
        <v/>
      </c>
      <c r="R420" s="314" t="str">
        <f>IF(R416="","",IF($P$343="Mo",IF(AND(R416&gt;R418,R416&lt;R419),"Pass","Fail"),IF($P$343="W",IF(R416&gt;R418,"Pass","Fail"),"")))</f>
        <v/>
      </c>
      <c r="S420" s="314" t="str">
        <f>IF(S416="","",IF($P$343="Mo",IF(AND(S416&gt;S418,S416&lt;S419),"Pass","Fail"),IF($P$343="W",IF(S416&gt;S418,"Pass","Fail"),"")))</f>
        <v/>
      </c>
      <c r="T420" s="314" t="str">
        <f>IF(T416="","",IF($P$343="Mo",IF(AND(T416&gt;T418,T416&lt;T419),"Pass","Fail"),IF($P$343="W",IF(T416&gt;T418,"Pass","Fail"),"")))</f>
        <v/>
      </c>
      <c r="U420" s="314" t="str">
        <f>IF(U416="","",IF($P$354="Mo",IF(AND(U416&gt;U418,U416&lt;U419),"Pass","Fail"),IF($P$354="W",IF(U416&gt;U418,"Pass","Fail"),"")))</f>
        <v/>
      </c>
      <c r="V420" s="320"/>
      <c r="W420" s="321"/>
      <c r="X420" s="321"/>
      <c r="Y420" s="15"/>
    </row>
    <row r="421" spans="1:25">
      <c r="A421" s="1">
        <v>13</v>
      </c>
      <c r="B421" s="5"/>
      <c r="C421" s="5"/>
      <c r="D421" s="5"/>
      <c r="E421" s="5"/>
      <c r="F421" s="5"/>
      <c r="G421" s="5"/>
      <c r="H421" s="5"/>
      <c r="I421" s="5"/>
      <c r="J421" s="5"/>
      <c r="K421" s="5"/>
      <c r="L421" s="5"/>
      <c r="M421" s="5"/>
      <c r="N421" s="5"/>
      <c r="O421" s="13"/>
      <c r="P421" s="84" t="s">
        <v>163</v>
      </c>
      <c r="Q421" s="47" t="s">
        <v>349</v>
      </c>
      <c r="R421" s="47"/>
      <c r="S421" s="47"/>
      <c r="T421" s="47"/>
      <c r="U421" s="47"/>
      <c r="V421" s="47"/>
      <c r="W421" s="47"/>
      <c r="X421" s="47"/>
      <c r="Y421" s="316"/>
    </row>
    <row r="422" spans="1:25" ht="16.5" thickBot="1">
      <c r="A422" s="1">
        <v>14</v>
      </c>
      <c r="B422" s="5"/>
      <c r="C422" s="5"/>
      <c r="D422" s="5"/>
      <c r="E422" s="5"/>
      <c r="F422" s="5"/>
      <c r="G422" s="5"/>
      <c r="H422" s="5"/>
      <c r="I422" s="5"/>
      <c r="J422" s="5"/>
      <c r="K422" s="5"/>
      <c r="L422" s="5"/>
      <c r="M422" s="5"/>
      <c r="N422" s="5"/>
      <c r="O422" s="20"/>
      <c r="P422" s="77"/>
      <c r="Q422" s="77" t="s">
        <v>350</v>
      </c>
      <c r="R422" s="77"/>
      <c r="S422" s="77"/>
      <c r="T422" s="77"/>
      <c r="U422" s="77"/>
      <c r="V422" s="21"/>
      <c r="W422" s="21"/>
      <c r="X422" s="21"/>
      <c r="Y422" s="22"/>
    </row>
    <row r="423" spans="1:25">
      <c r="A423" s="1">
        <v>15</v>
      </c>
      <c r="B423" s="5"/>
      <c r="C423" s="5"/>
      <c r="D423" s="5"/>
      <c r="E423" s="5"/>
      <c r="F423" s="5"/>
      <c r="G423" s="5"/>
      <c r="H423" s="5"/>
      <c r="I423" s="5"/>
      <c r="J423" s="5"/>
      <c r="K423" s="5"/>
      <c r="L423" s="5"/>
      <c r="M423" s="5"/>
      <c r="N423" s="5"/>
      <c r="O423" s="110" t="s">
        <v>262</v>
      </c>
      <c r="P423" s="7"/>
      <c r="Q423" s="7"/>
      <c r="R423" s="7"/>
      <c r="S423" s="7"/>
      <c r="T423" s="7"/>
      <c r="U423" s="7"/>
      <c r="V423" s="7"/>
      <c r="W423" s="7"/>
      <c r="X423" s="7"/>
      <c r="Y423" s="8"/>
    </row>
    <row r="424" spans="1:25">
      <c r="A424" s="1">
        <v>16</v>
      </c>
      <c r="B424" s="5"/>
      <c r="C424" s="5"/>
      <c r="D424" s="5"/>
      <c r="E424" s="5"/>
      <c r="F424" s="5"/>
      <c r="G424" s="5"/>
      <c r="H424" s="5"/>
      <c r="I424" s="5"/>
      <c r="J424" s="5"/>
      <c r="K424" s="5"/>
      <c r="L424" s="5"/>
      <c r="M424" s="5"/>
      <c r="N424" s="5"/>
      <c r="O424" s="325" t="s">
        <v>263</v>
      </c>
      <c r="P424" s="41" t="s">
        <v>23</v>
      </c>
      <c r="Q424" s="326"/>
      <c r="R424" s="41" t="s">
        <v>322</v>
      </c>
      <c r="S424" s="113"/>
      <c r="T424" s="5"/>
      <c r="U424" s="41" t="s">
        <v>351</v>
      </c>
      <c r="V424" s="327"/>
      <c r="W424" s="5"/>
      <c r="X424" s="5"/>
      <c r="Y424" s="15"/>
    </row>
    <row r="425" spans="1:25">
      <c r="A425" s="1">
        <v>17</v>
      </c>
      <c r="B425" s="5"/>
      <c r="C425" s="5"/>
      <c r="D425" s="5"/>
      <c r="E425" s="5"/>
      <c r="F425" s="5"/>
      <c r="G425" s="5"/>
      <c r="H425" s="5"/>
      <c r="I425" s="5"/>
      <c r="J425" s="5"/>
      <c r="K425" s="5"/>
      <c r="L425" s="5"/>
      <c r="M425" s="5"/>
      <c r="N425" s="5"/>
      <c r="O425" s="13"/>
      <c r="P425" s="5"/>
      <c r="Q425" s="5"/>
      <c r="R425" s="5"/>
      <c r="S425" s="5"/>
      <c r="T425" s="5"/>
      <c r="U425" s="5"/>
      <c r="V425" s="5"/>
      <c r="W425" s="5"/>
      <c r="X425" s="5"/>
      <c r="Y425" s="15"/>
    </row>
    <row r="426" spans="1:25">
      <c r="A426" s="1">
        <v>18</v>
      </c>
      <c r="B426" s="5"/>
      <c r="C426" s="5"/>
      <c r="D426" s="5"/>
      <c r="E426" s="5"/>
      <c r="F426" s="5"/>
      <c r="G426" s="5"/>
      <c r="H426" s="5"/>
      <c r="I426" s="5"/>
      <c r="J426" s="5"/>
      <c r="K426" s="5"/>
      <c r="L426" s="5"/>
      <c r="M426" s="5"/>
      <c r="N426" s="5"/>
      <c r="O426" s="13"/>
      <c r="P426" s="41"/>
      <c r="Q426" s="5"/>
      <c r="R426" s="5" t="s">
        <v>316</v>
      </c>
      <c r="S426" s="5"/>
      <c r="T426" s="5"/>
      <c r="U426" s="5"/>
      <c r="V426" s="5" t="s">
        <v>316</v>
      </c>
      <c r="W426" s="5"/>
      <c r="X426" s="5"/>
      <c r="Y426" s="15"/>
    </row>
    <row r="427" spans="1:25">
      <c r="A427" s="1">
        <v>19</v>
      </c>
      <c r="B427" s="5"/>
      <c r="C427" s="5"/>
      <c r="D427" s="5"/>
      <c r="E427" s="5"/>
      <c r="F427" s="5"/>
      <c r="G427" s="5"/>
      <c r="H427" s="5"/>
      <c r="I427" s="5"/>
      <c r="J427" s="5"/>
      <c r="K427" s="5"/>
      <c r="L427" s="5"/>
      <c r="M427" s="5"/>
      <c r="N427" s="5"/>
      <c r="O427" s="13"/>
      <c r="P427" s="41" t="s">
        <v>177</v>
      </c>
      <c r="Q427" s="121">
        <f>T277</f>
        <v>0</v>
      </c>
      <c r="R427" s="184" t="str">
        <f t="shared" ref="R427:R432" si="97">IF(AB99="","",AB99)</f>
        <v/>
      </c>
      <c r="S427" s="5"/>
      <c r="T427" s="41" t="s">
        <v>274</v>
      </c>
      <c r="U427" s="111"/>
      <c r="V427" s="184" t="str">
        <f>IF(AB105="","",AB105)</f>
        <v/>
      </c>
      <c r="W427" s="5"/>
      <c r="X427" s="5"/>
      <c r="Y427" s="15"/>
    </row>
    <row r="428" spans="1:25">
      <c r="A428" s="1">
        <v>20</v>
      </c>
      <c r="B428" s="5"/>
      <c r="C428" s="5"/>
      <c r="D428" s="5"/>
      <c r="E428" s="5"/>
      <c r="F428" s="5"/>
      <c r="G428" s="5"/>
      <c r="H428" s="5"/>
      <c r="I428" s="5"/>
      <c r="J428" s="5"/>
      <c r="K428" s="5"/>
      <c r="L428" s="5"/>
      <c r="M428" s="5"/>
      <c r="N428" s="5"/>
      <c r="O428" s="13"/>
      <c r="P428" s="41" t="s">
        <v>178</v>
      </c>
      <c r="Q428" s="121">
        <f>Q284</f>
        <v>0</v>
      </c>
      <c r="R428" s="184" t="str">
        <f t="shared" si="97"/>
        <v/>
      </c>
      <c r="S428" s="5"/>
      <c r="T428" s="41" t="s">
        <v>277</v>
      </c>
      <c r="U428" s="111"/>
      <c r="V428" s="184" t="str">
        <f>IF(AB106="","",AB106)</f>
        <v/>
      </c>
      <c r="W428" s="5"/>
      <c r="X428" s="5"/>
      <c r="Y428" s="15"/>
    </row>
    <row r="429" spans="1:25" ht="16.5" thickBot="1">
      <c r="A429" s="1">
        <v>21</v>
      </c>
      <c r="B429" s="5"/>
      <c r="C429" s="5"/>
      <c r="D429" s="5"/>
      <c r="E429" s="5"/>
      <c r="F429" s="5"/>
      <c r="G429" s="5"/>
      <c r="H429" s="5"/>
      <c r="I429" s="5"/>
      <c r="J429" s="5"/>
      <c r="K429" s="5"/>
      <c r="L429" s="5"/>
      <c r="M429" s="5"/>
      <c r="N429" s="5"/>
      <c r="O429" s="13"/>
      <c r="P429" s="41" t="s">
        <v>273</v>
      </c>
      <c r="Q429" s="111"/>
      <c r="R429" s="184" t="str">
        <f t="shared" si="97"/>
        <v/>
      </c>
      <c r="S429" s="5"/>
      <c r="T429" s="41" t="s">
        <v>282</v>
      </c>
      <c r="U429" s="111"/>
      <c r="V429" s="184" t="str">
        <f>IF(AB107="","",AB107)</f>
        <v/>
      </c>
      <c r="W429" s="5"/>
      <c r="X429" s="5"/>
      <c r="Y429" s="15"/>
    </row>
    <row r="430" spans="1:25" ht="16.5" thickBot="1">
      <c r="A430" s="1">
        <v>22</v>
      </c>
      <c r="B430" s="5"/>
      <c r="C430" s="5"/>
      <c r="D430" s="5"/>
      <c r="E430" s="5"/>
      <c r="F430" s="5"/>
      <c r="G430" s="5"/>
      <c r="H430" s="5"/>
      <c r="I430" s="5"/>
      <c r="J430" s="5"/>
      <c r="K430" s="5"/>
      <c r="L430" s="5"/>
      <c r="M430" s="5"/>
      <c r="N430" s="5"/>
      <c r="O430" s="13"/>
      <c r="P430" s="41" t="s">
        <v>276</v>
      </c>
      <c r="Q430" s="111"/>
      <c r="R430" s="184" t="str">
        <f t="shared" si="97"/>
        <v/>
      </c>
      <c r="S430" s="5"/>
      <c r="T430" s="41" t="s">
        <v>180</v>
      </c>
      <c r="U430" s="599" t="str">
        <f>IF(OR(U427="",U428="",U429=""),"",IF(AND(U427&gt;=5,U428&gt;=4,U429&gt;=4),"Pass","Fail"))</f>
        <v/>
      </c>
      <c r="V430" s="5"/>
      <c r="W430" s="5"/>
      <c r="X430" s="5"/>
      <c r="Y430" s="15"/>
    </row>
    <row r="431" spans="1:25">
      <c r="A431" s="1">
        <v>23</v>
      </c>
      <c r="B431" s="5"/>
      <c r="C431" s="5"/>
      <c r="D431" s="5"/>
      <c r="E431" s="5"/>
      <c r="F431" s="5"/>
      <c r="G431" s="5"/>
      <c r="H431" s="5"/>
      <c r="I431" s="5"/>
      <c r="J431" s="5"/>
      <c r="K431" s="5"/>
      <c r="L431" s="5"/>
      <c r="M431" s="5"/>
      <c r="N431" s="5"/>
      <c r="O431" s="13"/>
      <c r="P431" s="41" t="s">
        <v>281</v>
      </c>
      <c r="Q431" s="111"/>
      <c r="R431" s="184" t="str">
        <f t="shared" si="97"/>
        <v/>
      </c>
      <c r="S431" s="5"/>
      <c r="T431" s="77"/>
      <c r="U431" s="77"/>
      <c r="V431" s="5"/>
      <c r="W431" s="5"/>
      <c r="X431" s="5"/>
      <c r="Y431" s="15"/>
    </row>
    <row r="432" spans="1:25">
      <c r="A432" s="1">
        <v>24</v>
      </c>
      <c r="B432" s="5"/>
      <c r="C432" s="5"/>
      <c r="D432" s="5"/>
      <c r="E432" s="5"/>
      <c r="F432" s="5"/>
      <c r="G432" s="5"/>
      <c r="H432" s="5"/>
      <c r="I432" s="5"/>
      <c r="J432" s="5"/>
      <c r="K432" s="5"/>
      <c r="L432" s="5"/>
      <c r="M432" s="5"/>
      <c r="N432" s="5"/>
      <c r="O432" s="13"/>
      <c r="P432" s="41" t="s">
        <v>284</v>
      </c>
      <c r="Q432" s="121" t="str">
        <f>IF(OR(Q430="",Q431=""),"",Q431-Q430)</f>
        <v/>
      </c>
      <c r="R432" s="184" t="str">
        <f t="shared" si="97"/>
        <v/>
      </c>
      <c r="S432" s="5"/>
      <c r="T432" s="5"/>
      <c r="U432" s="5"/>
      <c r="V432" s="5"/>
      <c r="W432" s="5"/>
      <c r="X432" s="5"/>
      <c r="Y432" s="15"/>
    </row>
    <row r="433" spans="1:25">
      <c r="A433" s="1">
        <v>25</v>
      </c>
      <c r="B433" s="5"/>
      <c r="C433" s="5"/>
      <c r="D433" s="5"/>
      <c r="E433" s="5"/>
      <c r="F433" s="5"/>
      <c r="G433" s="5"/>
      <c r="H433" s="5"/>
      <c r="I433" s="5"/>
      <c r="J433" s="5"/>
      <c r="K433" s="5"/>
      <c r="L433" s="5"/>
      <c r="M433" s="5"/>
      <c r="N433" s="5"/>
      <c r="O433" s="13"/>
      <c r="P433" s="5"/>
      <c r="Q433" s="5"/>
      <c r="R433" s="5"/>
      <c r="S433" s="5"/>
      <c r="T433" s="5"/>
      <c r="U433" s="5"/>
      <c r="V433" s="5"/>
      <c r="W433" s="5"/>
      <c r="X433" s="5"/>
      <c r="Y433" s="15"/>
    </row>
    <row r="434" spans="1:25">
      <c r="A434" s="1">
        <v>26</v>
      </c>
      <c r="B434" s="5"/>
      <c r="C434" s="5"/>
      <c r="D434" s="5"/>
      <c r="E434" s="5"/>
      <c r="F434" s="5"/>
      <c r="G434" s="5"/>
      <c r="H434" s="5"/>
      <c r="I434" s="5"/>
      <c r="J434" s="5"/>
      <c r="K434" s="5"/>
      <c r="L434" s="5"/>
      <c r="M434" s="5"/>
      <c r="N434" s="5"/>
      <c r="O434" s="325" t="s">
        <v>352</v>
      </c>
      <c r="P434" s="5"/>
      <c r="Q434" s="5"/>
      <c r="R434" s="5"/>
      <c r="S434" s="5"/>
      <c r="T434" s="5"/>
      <c r="U434" s="5"/>
      <c r="V434" s="5"/>
      <c r="W434" s="5"/>
      <c r="X434" s="5"/>
      <c r="Y434" s="15"/>
    </row>
    <row r="435" spans="1:25">
      <c r="A435" s="1">
        <v>27</v>
      </c>
      <c r="B435" s="5"/>
      <c r="C435" s="5"/>
      <c r="D435" s="5"/>
      <c r="E435" s="5"/>
      <c r="F435" s="5"/>
      <c r="G435" s="5"/>
      <c r="H435" s="5"/>
      <c r="I435" s="5"/>
      <c r="J435" s="5"/>
      <c r="K435" s="5"/>
      <c r="L435" s="5"/>
      <c r="M435" s="5"/>
      <c r="N435" s="5"/>
      <c r="O435" s="13"/>
      <c r="P435" s="5"/>
      <c r="Q435" s="41" t="s">
        <v>271</v>
      </c>
      <c r="R435" s="327"/>
      <c r="S435" s="5"/>
      <c r="T435" s="5"/>
      <c r="U435" s="41" t="s">
        <v>271</v>
      </c>
      <c r="V435" s="327"/>
      <c r="W435" s="5"/>
      <c r="X435" s="5"/>
      <c r="Y435" s="15"/>
    </row>
    <row r="436" spans="1:25">
      <c r="A436" s="1">
        <v>28</v>
      </c>
      <c r="B436" s="5"/>
      <c r="C436" s="5"/>
      <c r="D436" s="5"/>
      <c r="E436" s="5"/>
      <c r="F436" s="5"/>
      <c r="G436" s="5"/>
      <c r="H436" s="5"/>
      <c r="I436" s="5"/>
      <c r="J436" s="5"/>
      <c r="K436" s="5"/>
      <c r="L436" s="5"/>
      <c r="M436" s="5"/>
      <c r="N436" s="5"/>
      <c r="O436" s="13"/>
      <c r="P436" s="5"/>
      <c r="Q436" s="600" t="s">
        <v>199</v>
      </c>
      <c r="R436" s="600" t="s">
        <v>201</v>
      </c>
      <c r="S436" s="5"/>
      <c r="T436" s="5"/>
      <c r="U436" s="600" t="s">
        <v>199</v>
      </c>
      <c r="V436" s="600" t="s">
        <v>201</v>
      </c>
      <c r="W436" s="5"/>
      <c r="X436" s="5"/>
      <c r="Y436" s="15"/>
    </row>
    <row r="437" spans="1:25">
      <c r="A437" s="1">
        <v>29</v>
      </c>
      <c r="B437" s="5"/>
      <c r="C437" s="5"/>
      <c r="D437" s="5"/>
      <c r="E437" s="5"/>
      <c r="F437" s="5"/>
      <c r="G437" s="5"/>
      <c r="H437" s="5"/>
      <c r="I437" s="5"/>
      <c r="J437" s="5"/>
      <c r="K437" s="5"/>
      <c r="L437" s="5"/>
      <c r="M437" s="5"/>
      <c r="N437" s="5"/>
      <c r="O437" s="138"/>
      <c r="P437" s="41" t="s">
        <v>274</v>
      </c>
      <c r="Q437" s="111"/>
      <c r="R437" s="111"/>
      <c r="S437" s="5"/>
      <c r="T437" s="41" t="s">
        <v>274</v>
      </c>
      <c r="U437" s="111"/>
      <c r="V437" s="111"/>
      <c r="W437" s="5"/>
      <c r="X437" s="5"/>
      <c r="Y437" s="15"/>
    </row>
    <row r="438" spans="1:25">
      <c r="A438" s="1">
        <v>30</v>
      </c>
      <c r="B438" s="5"/>
      <c r="C438" s="5"/>
      <c r="D438" s="5"/>
      <c r="E438" s="5"/>
      <c r="F438" s="5"/>
      <c r="G438" s="5"/>
      <c r="H438" s="5"/>
      <c r="I438" s="5"/>
      <c r="J438" s="5"/>
      <c r="K438" s="5"/>
      <c r="L438" s="5"/>
      <c r="M438" s="5"/>
      <c r="N438" s="5"/>
      <c r="O438" s="138"/>
      <c r="P438" s="41" t="s">
        <v>277</v>
      </c>
      <c r="Q438" s="111"/>
      <c r="R438" s="111"/>
      <c r="S438" s="5"/>
      <c r="T438" s="41" t="s">
        <v>277</v>
      </c>
      <c r="U438" s="111"/>
      <c r="V438" s="111"/>
      <c r="W438" s="5"/>
      <c r="X438" s="5"/>
      <c r="Y438" s="15"/>
    </row>
    <row r="439" spans="1:25">
      <c r="A439" s="1">
        <v>31</v>
      </c>
      <c r="B439" s="5"/>
      <c r="C439" s="5"/>
      <c r="D439" s="5"/>
      <c r="E439" s="5"/>
      <c r="F439" s="5"/>
      <c r="G439" s="5"/>
      <c r="H439" s="5"/>
      <c r="I439" s="5"/>
      <c r="J439" s="5"/>
      <c r="K439" s="5"/>
      <c r="L439" s="5"/>
      <c r="M439" s="5"/>
      <c r="N439" s="5"/>
      <c r="O439" s="138"/>
      <c r="P439" s="41" t="s">
        <v>282</v>
      </c>
      <c r="Q439" s="111"/>
      <c r="R439" s="111"/>
      <c r="S439" s="5"/>
      <c r="T439" s="41" t="s">
        <v>282</v>
      </c>
      <c r="U439" s="111"/>
      <c r="V439" s="111"/>
      <c r="W439" s="5"/>
      <c r="X439" s="5"/>
      <c r="Y439" s="15"/>
    </row>
    <row r="440" spans="1:25">
      <c r="A440" s="1">
        <v>32</v>
      </c>
      <c r="B440" s="5"/>
      <c r="C440" s="5"/>
      <c r="D440" s="5"/>
      <c r="E440" s="5"/>
      <c r="F440" s="5"/>
      <c r="G440" s="5"/>
      <c r="H440" s="5"/>
      <c r="I440" s="5"/>
      <c r="J440" s="5"/>
      <c r="K440" s="5"/>
      <c r="L440" s="5"/>
      <c r="M440" s="5"/>
      <c r="N440" s="5"/>
      <c r="O440" s="13"/>
      <c r="P440" s="5"/>
      <c r="Q440" s="5"/>
      <c r="R440" s="5"/>
      <c r="S440" s="5"/>
      <c r="T440" s="5"/>
      <c r="U440" s="5"/>
      <c r="V440" s="5"/>
      <c r="W440" s="5"/>
      <c r="X440" s="5"/>
      <c r="Y440" s="15"/>
    </row>
    <row r="441" spans="1:25" ht="16.5" thickBot="1">
      <c r="A441" s="1">
        <v>33</v>
      </c>
      <c r="B441" s="5"/>
      <c r="C441" s="5"/>
      <c r="D441" s="5"/>
      <c r="E441" s="5"/>
      <c r="F441" s="5"/>
      <c r="G441" s="5"/>
      <c r="H441" s="5"/>
      <c r="I441" s="5"/>
      <c r="J441" s="5"/>
      <c r="K441" s="5"/>
      <c r="L441" s="5"/>
      <c r="M441" s="5"/>
      <c r="N441" s="5"/>
      <c r="O441" s="325" t="s">
        <v>353</v>
      </c>
      <c r="P441" s="5"/>
      <c r="Q441" s="5"/>
      <c r="R441" s="5"/>
      <c r="S441" s="5"/>
      <c r="T441" s="5"/>
      <c r="U441" s="5"/>
      <c r="V441" s="5"/>
      <c r="W441" s="5"/>
      <c r="X441" s="5"/>
      <c r="Y441" s="15"/>
    </row>
    <row r="442" spans="1:25">
      <c r="A442" s="1">
        <v>34</v>
      </c>
      <c r="B442" s="5"/>
      <c r="C442" s="5"/>
      <c r="D442" s="5"/>
      <c r="E442" s="5"/>
      <c r="F442" s="5"/>
      <c r="G442" s="5"/>
      <c r="H442" s="5"/>
      <c r="I442" s="5"/>
      <c r="J442" s="5"/>
      <c r="K442" s="5"/>
      <c r="L442" s="5"/>
      <c r="M442" s="5"/>
      <c r="N442" s="5"/>
      <c r="O442" s="156"/>
      <c r="P442" s="328" t="s">
        <v>354</v>
      </c>
      <c r="Q442" s="230" t="s">
        <v>316</v>
      </c>
      <c r="R442" s="328" t="s">
        <v>268</v>
      </c>
      <c r="S442" s="230" t="s">
        <v>316</v>
      </c>
      <c r="T442" s="328" t="s">
        <v>355</v>
      </c>
      <c r="U442" s="230" t="s">
        <v>316</v>
      </c>
      <c r="V442" s="77"/>
      <c r="W442" s="77"/>
      <c r="X442" s="77"/>
      <c r="Y442" s="139"/>
    </row>
    <row r="443" spans="1:25">
      <c r="A443" s="1">
        <v>35</v>
      </c>
      <c r="B443" s="5"/>
      <c r="C443" s="5"/>
      <c r="D443" s="5"/>
      <c r="E443" s="5"/>
      <c r="F443" s="5"/>
      <c r="G443" s="5"/>
      <c r="H443" s="5"/>
      <c r="I443" s="5"/>
      <c r="J443" s="5"/>
      <c r="K443" s="5"/>
      <c r="L443" s="5"/>
      <c r="M443" s="5"/>
      <c r="N443" s="5"/>
      <c r="O443" s="138" t="s">
        <v>177</v>
      </c>
      <c r="P443" s="185">
        <f>T277</f>
        <v>0</v>
      </c>
      <c r="Q443" s="329" t="str">
        <f t="shared" ref="Q443:Q448" si="98">IF(AB109="","",AB109)</f>
        <v/>
      </c>
      <c r="R443" s="196"/>
      <c r="S443" s="329" t="str">
        <f t="shared" ref="S443:S448" si="99">IF(AB115="","",AB115)</f>
        <v/>
      </c>
      <c r="T443" s="196"/>
      <c r="U443" s="329" t="str">
        <f t="shared" ref="U443:U448" si="100">IF(AB121="","",AB121)</f>
        <v/>
      </c>
      <c r="V443" s="77"/>
      <c r="W443" s="41"/>
      <c r="X443" s="77"/>
      <c r="Y443" s="139"/>
    </row>
    <row r="444" spans="1:25">
      <c r="A444" s="1">
        <v>36</v>
      </c>
      <c r="B444" s="5"/>
      <c r="C444" s="5"/>
      <c r="D444" s="5"/>
      <c r="E444" s="5"/>
      <c r="F444" s="5"/>
      <c r="G444" s="5"/>
      <c r="H444" s="5"/>
      <c r="I444" s="5"/>
      <c r="J444" s="5"/>
      <c r="K444" s="5"/>
      <c r="L444" s="5"/>
      <c r="M444" s="5"/>
      <c r="N444" s="5"/>
      <c r="O444" s="138" t="s">
        <v>178</v>
      </c>
      <c r="P444" s="185">
        <f>Q284</f>
        <v>0</v>
      </c>
      <c r="Q444" s="329" t="str">
        <f t="shared" si="98"/>
        <v/>
      </c>
      <c r="R444" s="196"/>
      <c r="S444" s="329" t="str">
        <f t="shared" si="99"/>
        <v/>
      </c>
      <c r="T444" s="196"/>
      <c r="U444" s="329" t="str">
        <f t="shared" si="100"/>
        <v/>
      </c>
      <c r="V444" s="77"/>
      <c r="W444" s="41"/>
      <c r="X444" s="77"/>
      <c r="Y444" s="139"/>
    </row>
    <row r="445" spans="1:25">
      <c r="A445" s="1">
        <v>37</v>
      </c>
      <c r="B445" s="5"/>
      <c r="C445" s="5"/>
      <c r="D445" s="5"/>
      <c r="E445" s="5"/>
      <c r="F445" s="5"/>
      <c r="G445" s="5"/>
      <c r="H445" s="5"/>
      <c r="I445" s="5"/>
      <c r="J445" s="5"/>
      <c r="K445" s="5"/>
      <c r="L445" s="5"/>
      <c r="M445" s="5"/>
      <c r="N445" s="5"/>
      <c r="O445" s="138" t="s">
        <v>179</v>
      </c>
      <c r="P445" s="185">
        <f>R284</f>
        <v>0</v>
      </c>
      <c r="Q445" s="329" t="str">
        <f t="shared" si="98"/>
        <v/>
      </c>
      <c r="R445" s="196"/>
      <c r="S445" s="329" t="str">
        <f t="shared" si="99"/>
        <v/>
      </c>
      <c r="T445" s="196"/>
      <c r="U445" s="329" t="str">
        <f t="shared" si="100"/>
        <v/>
      </c>
      <c r="V445" s="77"/>
      <c r="W445" s="41"/>
      <c r="X445" s="77"/>
      <c r="Y445" s="139"/>
    </row>
    <row r="446" spans="1:25">
      <c r="A446" s="1">
        <v>38</v>
      </c>
      <c r="B446" s="5"/>
      <c r="C446" s="5"/>
      <c r="D446" s="5"/>
      <c r="E446" s="5"/>
      <c r="F446" s="5"/>
      <c r="G446" s="5"/>
      <c r="H446" s="5"/>
      <c r="I446" s="5"/>
      <c r="J446" s="5"/>
      <c r="K446" s="5"/>
      <c r="L446" s="5"/>
      <c r="M446" s="5"/>
      <c r="N446" s="5"/>
      <c r="O446" s="138" t="s">
        <v>274</v>
      </c>
      <c r="P446" s="196"/>
      <c r="Q446" s="329" t="str">
        <f t="shared" si="98"/>
        <v/>
      </c>
      <c r="R446" s="196"/>
      <c r="S446" s="329" t="str">
        <f t="shared" si="99"/>
        <v/>
      </c>
      <c r="T446" s="196"/>
      <c r="U446" s="329" t="str">
        <f t="shared" si="100"/>
        <v/>
      </c>
      <c r="V446" s="77"/>
      <c r="W446" s="41"/>
      <c r="X446" s="77"/>
      <c r="Y446" s="139"/>
    </row>
    <row r="447" spans="1:25">
      <c r="A447" s="1">
        <v>39</v>
      </c>
      <c r="B447" s="5"/>
      <c r="C447" s="5"/>
      <c r="D447" s="5"/>
      <c r="E447" s="5"/>
      <c r="F447" s="5"/>
      <c r="G447" s="5"/>
      <c r="H447" s="5"/>
      <c r="I447" s="5"/>
      <c r="J447" s="5"/>
      <c r="K447" s="5"/>
      <c r="L447" s="5"/>
      <c r="M447" s="5"/>
      <c r="N447" s="5"/>
      <c r="O447" s="138" t="s">
        <v>277</v>
      </c>
      <c r="P447" s="196"/>
      <c r="Q447" s="329" t="str">
        <f t="shared" si="98"/>
        <v/>
      </c>
      <c r="R447" s="196"/>
      <c r="S447" s="329" t="str">
        <f t="shared" si="99"/>
        <v/>
      </c>
      <c r="T447" s="196"/>
      <c r="U447" s="329" t="str">
        <f t="shared" si="100"/>
        <v/>
      </c>
      <c r="V447" s="77"/>
      <c r="W447" s="41"/>
      <c r="X447" s="77"/>
      <c r="Y447" s="139"/>
    </row>
    <row r="448" spans="1:25" ht="16.5" thickBot="1">
      <c r="A448" s="1">
        <v>40</v>
      </c>
      <c r="B448" s="5"/>
      <c r="C448" s="5"/>
      <c r="D448" s="5"/>
      <c r="E448" s="5"/>
      <c r="F448" s="5"/>
      <c r="G448" s="5"/>
      <c r="H448" s="5"/>
      <c r="I448" s="5"/>
      <c r="J448" s="5"/>
      <c r="K448" s="5"/>
      <c r="L448" s="5"/>
      <c r="M448" s="5"/>
      <c r="N448" s="5"/>
      <c r="O448" s="138" t="s">
        <v>282</v>
      </c>
      <c r="P448" s="200"/>
      <c r="Q448" s="330" t="str">
        <f t="shared" si="98"/>
        <v/>
      </c>
      <c r="R448" s="200"/>
      <c r="S448" s="330" t="str">
        <f t="shared" si="99"/>
        <v/>
      </c>
      <c r="T448" s="200"/>
      <c r="U448" s="330" t="str">
        <f t="shared" si="100"/>
        <v/>
      </c>
      <c r="V448" s="77"/>
      <c r="W448" s="41"/>
      <c r="X448" s="77"/>
      <c r="Y448" s="139"/>
    </row>
    <row r="449" spans="1:25">
      <c r="A449" s="1">
        <v>41</v>
      </c>
      <c r="B449" s="5"/>
      <c r="C449" s="5"/>
      <c r="D449" s="5"/>
      <c r="E449" s="5"/>
      <c r="F449" s="5"/>
      <c r="G449" s="5"/>
      <c r="H449" s="5"/>
      <c r="I449" s="5"/>
      <c r="J449" s="5"/>
      <c r="K449" s="5"/>
      <c r="L449" s="5"/>
      <c r="M449" s="5"/>
      <c r="N449" s="5"/>
      <c r="O449" s="156"/>
      <c r="P449" s="77"/>
      <c r="Q449" s="77"/>
      <c r="R449" s="77"/>
      <c r="S449" s="77"/>
      <c r="T449" s="77"/>
      <c r="U449" s="77"/>
      <c r="V449" s="77"/>
      <c r="W449" s="77"/>
      <c r="X449" s="77"/>
      <c r="Y449" s="139"/>
    </row>
    <row r="450" spans="1:25">
      <c r="A450" s="1">
        <v>42</v>
      </c>
      <c r="B450" s="5"/>
      <c r="C450" s="5"/>
      <c r="D450" s="5"/>
      <c r="E450" s="5"/>
      <c r="F450" s="5"/>
      <c r="G450" s="5"/>
      <c r="H450" s="5"/>
      <c r="I450" s="5"/>
      <c r="J450" s="5"/>
      <c r="K450" s="5"/>
      <c r="L450" s="5"/>
      <c r="M450" s="5"/>
      <c r="N450" s="5"/>
      <c r="O450" s="156"/>
      <c r="P450" s="84" t="s">
        <v>163</v>
      </c>
      <c r="Q450" s="10" t="s">
        <v>288</v>
      </c>
      <c r="R450" s="77"/>
      <c r="S450" s="77"/>
      <c r="T450" s="77"/>
      <c r="U450" s="77"/>
      <c r="V450" s="77"/>
      <c r="W450" s="77"/>
      <c r="X450" s="77"/>
      <c r="Y450" s="139"/>
    </row>
    <row r="451" spans="1:25" ht="16.5" thickBot="1">
      <c r="A451" s="1">
        <v>43</v>
      </c>
      <c r="B451" s="5"/>
      <c r="C451" s="5"/>
      <c r="D451" s="5"/>
      <c r="E451" s="5"/>
      <c r="F451" s="5"/>
      <c r="G451" s="5"/>
      <c r="H451" s="5"/>
      <c r="I451" s="5"/>
      <c r="J451" s="5"/>
      <c r="K451" s="5"/>
      <c r="L451" s="5"/>
      <c r="M451" s="5"/>
      <c r="N451" s="5"/>
      <c r="O451" s="20"/>
      <c r="P451" s="21"/>
      <c r="Q451" s="180" t="s">
        <v>290</v>
      </c>
      <c r="R451" s="21"/>
      <c r="S451" s="21"/>
      <c r="T451" s="21"/>
      <c r="U451" s="21"/>
      <c r="V451" s="21"/>
      <c r="W451" s="21"/>
      <c r="X451" s="21"/>
      <c r="Y451" s="22"/>
    </row>
    <row r="452" spans="1:25">
      <c r="A452" s="1">
        <v>44</v>
      </c>
      <c r="B452" s="5"/>
      <c r="C452" s="5"/>
      <c r="D452" s="5"/>
      <c r="E452" s="5"/>
      <c r="F452" s="5"/>
      <c r="G452" s="5"/>
      <c r="H452" s="5"/>
      <c r="I452" s="5"/>
      <c r="J452" s="5"/>
      <c r="K452" s="5"/>
      <c r="L452" s="5"/>
      <c r="M452" s="5"/>
      <c r="N452" s="5"/>
      <c r="O452" s="112" t="s">
        <v>356</v>
      </c>
      <c r="P452" s="5"/>
      <c r="Q452" s="5"/>
      <c r="R452" s="5"/>
      <c r="S452" s="5"/>
      <c r="T452" s="5"/>
      <c r="U452" s="5"/>
      <c r="V452" s="5"/>
      <c r="W452" s="5"/>
      <c r="X452" s="5"/>
      <c r="Y452" s="15"/>
    </row>
    <row r="453" spans="1:25">
      <c r="A453" s="1">
        <v>45</v>
      </c>
      <c r="B453" s="5"/>
      <c r="C453" s="5"/>
      <c r="D453" s="5"/>
      <c r="E453" s="5"/>
      <c r="F453" s="5"/>
      <c r="G453" s="5"/>
      <c r="H453" s="5"/>
      <c r="I453" s="5"/>
      <c r="J453" s="5"/>
      <c r="K453" s="5"/>
      <c r="L453" s="5"/>
      <c r="M453" s="5"/>
      <c r="N453" s="5"/>
      <c r="O453" s="13"/>
      <c r="P453" s="5"/>
      <c r="Q453" s="5"/>
      <c r="R453" s="5"/>
      <c r="S453" s="5"/>
      <c r="T453" s="5" t="s">
        <v>357</v>
      </c>
      <c r="U453" s="5" t="s">
        <v>358</v>
      </c>
      <c r="V453" s="5"/>
      <c r="W453" s="5"/>
      <c r="X453" s="5"/>
      <c r="Y453" s="15"/>
    </row>
    <row r="454" spans="1:25">
      <c r="A454" s="1">
        <v>46</v>
      </c>
      <c r="B454" s="5"/>
      <c r="C454" s="5"/>
      <c r="D454" s="5"/>
      <c r="E454" s="5"/>
      <c r="F454" s="5"/>
      <c r="G454" s="5"/>
      <c r="H454" s="5"/>
      <c r="I454" s="5"/>
      <c r="J454" s="5"/>
      <c r="K454" s="5"/>
      <c r="L454" s="5"/>
      <c r="M454" s="5"/>
      <c r="N454" s="5"/>
      <c r="O454" s="13"/>
      <c r="P454" s="41" t="s">
        <v>177</v>
      </c>
      <c r="Q454" s="593">
        <f>T277</f>
        <v>0</v>
      </c>
      <c r="R454" s="41"/>
      <c r="S454" s="41" t="s">
        <v>359</v>
      </c>
      <c r="T454" s="111"/>
      <c r="U454" s="111"/>
      <c r="V454" s="5"/>
      <c r="W454" s="5"/>
      <c r="X454" s="5"/>
      <c r="Y454" s="15"/>
    </row>
    <row r="455" spans="1:25">
      <c r="A455" s="1">
        <v>47</v>
      </c>
      <c r="B455" s="5"/>
      <c r="C455" s="5"/>
      <c r="D455" s="5"/>
      <c r="E455" s="5"/>
      <c r="F455" s="5"/>
      <c r="G455" s="5"/>
      <c r="H455" s="5"/>
      <c r="I455" s="5"/>
      <c r="J455" s="5"/>
      <c r="K455" s="5"/>
      <c r="L455" s="5"/>
      <c r="M455" s="5"/>
      <c r="N455" s="5"/>
      <c r="O455" s="13"/>
      <c r="P455" s="41" t="s">
        <v>178</v>
      </c>
      <c r="Q455" s="593">
        <f>Q284</f>
        <v>0</v>
      </c>
      <c r="R455" s="41"/>
      <c r="S455" s="41" t="s">
        <v>360</v>
      </c>
      <c r="T455" s="111"/>
      <c r="U455" s="111"/>
      <c r="V455" s="5"/>
      <c r="W455" s="5"/>
      <c r="X455" s="5"/>
      <c r="Y455" s="15"/>
    </row>
    <row r="456" spans="1:25">
      <c r="A456" s="1">
        <v>48</v>
      </c>
      <c r="B456" s="5"/>
      <c r="C456" s="5"/>
      <c r="D456" s="5"/>
      <c r="E456" s="5"/>
      <c r="F456" s="5"/>
      <c r="G456" s="5"/>
      <c r="H456" s="5"/>
      <c r="I456" s="5"/>
      <c r="J456" s="5"/>
      <c r="K456" s="5"/>
      <c r="L456" s="5"/>
      <c r="M456" s="5"/>
      <c r="N456" s="5"/>
      <c r="O456" s="13"/>
      <c r="P456" s="41" t="s">
        <v>29</v>
      </c>
      <c r="Q456" s="326"/>
      <c r="R456" s="5"/>
      <c r="S456" s="5"/>
      <c r="T456" s="5"/>
      <c r="U456" s="5"/>
      <c r="V456" s="5"/>
      <c r="W456" s="5"/>
      <c r="X456" s="5"/>
      <c r="Y456" s="15"/>
    </row>
    <row r="457" spans="1:25" ht="16.5" thickBot="1">
      <c r="A457" s="1">
        <v>49</v>
      </c>
      <c r="B457" s="5"/>
      <c r="C457" s="5"/>
      <c r="D457" s="5"/>
      <c r="E457" s="5"/>
      <c r="F457" s="5"/>
      <c r="G457" s="5"/>
      <c r="H457" s="5"/>
      <c r="I457" s="5"/>
      <c r="J457" s="5"/>
      <c r="K457" s="5"/>
      <c r="L457" s="5"/>
      <c r="M457" s="5"/>
      <c r="N457" s="5"/>
      <c r="O457" s="13"/>
      <c r="P457" s="41" t="s">
        <v>31</v>
      </c>
      <c r="Q457" s="326"/>
      <c r="R457" s="5"/>
      <c r="S457" s="5"/>
      <c r="T457" s="600" t="s">
        <v>315</v>
      </c>
      <c r="U457" s="600" t="s">
        <v>316</v>
      </c>
      <c r="V457" s="600" t="s">
        <v>257</v>
      </c>
      <c r="W457" s="5" t="s">
        <v>258</v>
      </c>
      <c r="X457" s="5"/>
      <c r="Y457" s="15"/>
    </row>
    <row r="458" spans="1:25" ht="16.5" thickBot="1">
      <c r="A458" s="1">
        <v>50</v>
      </c>
      <c r="B458" s="5"/>
      <c r="C458" s="5"/>
      <c r="D458" s="5"/>
      <c r="E458" s="5"/>
      <c r="F458" s="5"/>
      <c r="G458" s="5"/>
      <c r="H458" s="5"/>
      <c r="I458" s="5"/>
      <c r="J458" s="5"/>
      <c r="K458" s="5"/>
      <c r="L458" s="5"/>
      <c r="M458" s="5"/>
      <c r="N458" s="5"/>
      <c r="O458" s="13"/>
      <c r="P458" s="5"/>
      <c r="Q458" s="5"/>
      <c r="R458" s="5"/>
      <c r="S458" s="41" t="s">
        <v>317</v>
      </c>
      <c r="T458" s="275" t="str">
        <f>IF(OR(T455="",U455=""),"",(T455-50)/U455)</f>
        <v/>
      </c>
      <c r="U458" s="331" t="str">
        <f>IF(AB128="","",AB128)</f>
        <v/>
      </c>
      <c r="V458" s="284" t="str">
        <f>IF(OR(T458="",U458=""),"",(T458-U458)/U458)</f>
        <v/>
      </c>
      <c r="W458" s="276" t="str">
        <f>IF(T458&gt;=40,"Pass","Fail")</f>
        <v>Pass</v>
      </c>
      <c r="X458" s="5"/>
      <c r="Y458" s="15"/>
    </row>
    <row r="459" spans="1:25" ht="16.5" thickBot="1">
      <c r="A459" s="1">
        <v>51</v>
      </c>
      <c r="B459" s="5"/>
      <c r="C459" s="5"/>
      <c r="D459" s="5"/>
      <c r="E459" s="5"/>
      <c r="F459" s="5"/>
      <c r="G459" s="5"/>
      <c r="H459" s="5"/>
      <c r="I459" s="5"/>
      <c r="J459" s="5"/>
      <c r="K459" s="5"/>
      <c r="L459" s="5"/>
      <c r="M459" s="5"/>
      <c r="N459" s="5"/>
      <c r="O459" s="13"/>
      <c r="P459" s="5"/>
      <c r="Q459" s="5"/>
      <c r="R459" s="5"/>
      <c r="S459" s="41" t="s">
        <v>319</v>
      </c>
      <c r="T459" s="275" t="str">
        <f>IF(OR(T455="",T454=""),"",(T455-T454)/U455)</f>
        <v/>
      </c>
      <c r="U459" s="331" t="str">
        <f>IF(AB129="","",AB129)</f>
        <v/>
      </c>
      <c r="V459" s="284" t="str">
        <f>IF(OR(T459="",U459=""),"",(T459-U459)/U459)</f>
        <v/>
      </c>
      <c r="W459" s="121" t="str">
        <f>IF(U459="","NA",IF(V459&lt;=0.15,"Pass","Fail"))</f>
        <v>NA</v>
      </c>
      <c r="X459" s="5"/>
      <c r="Y459" s="15"/>
    </row>
    <row r="460" spans="1:25">
      <c r="A460" s="1">
        <v>52</v>
      </c>
      <c r="B460" s="5"/>
      <c r="C460" s="5"/>
      <c r="D460" s="5"/>
      <c r="E460" s="5"/>
      <c r="F460" s="5"/>
      <c r="G460" s="5"/>
      <c r="H460" s="5"/>
      <c r="I460" s="5"/>
      <c r="J460" s="5"/>
      <c r="K460" s="5"/>
      <c r="L460" s="5"/>
      <c r="M460" s="5"/>
      <c r="N460" s="5"/>
      <c r="O460" s="13"/>
      <c r="P460" s="84" t="s">
        <v>163</v>
      </c>
      <c r="Q460" s="176" t="s">
        <v>320</v>
      </c>
      <c r="R460" s="40"/>
      <c r="S460" s="40"/>
      <c r="T460" s="40"/>
      <c r="U460" s="40"/>
      <c r="V460" s="40"/>
      <c r="W460" s="40"/>
      <c r="X460" s="40"/>
      <c r="Y460" s="15"/>
    </row>
    <row r="461" spans="1:25">
      <c r="A461" s="1">
        <v>53</v>
      </c>
      <c r="B461" s="5"/>
      <c r="C461" s="5"/>
      <c r="D461" s="5"/>
      <c r="E461" s="5"/>
      <c r="F461" s="5"/>
      <c r="G461" s="5"/>
      <c r="H461" s="5"/>
      <c r="I461" s="5"/>
      <c r="J461" s="5"/>
      <c r="K461" s="5"/>
      <c r="L461" s="5"/>
      <c r="M461" s="5"/>
      <c r="N461" s="5"/>
      <c r="O461" s="13"/>
      <c r="P461" s="5"/>
      <c r="Q461" s="10" t="s">
        <v>321</v>
      </c>
      <c r="R461" s="5"/>
      <c r="S461" s="5"/>
      <c r="T461" s="5"/>
      <c r="U461" s="5"/>
      <c r="V461" s="5"/>
      <c r="W461" s="5"/>
      <c r="X461" s="5"/>
      <c r="Y461" s="15"/>
    </row>
    <row r="462" spans="1:25" ht="16.5" thickBot="1">
      <c r="A462" s="1">
        <v>54</v>
      </c>
      <c r="B462" s="5"/>
      <c r="C462" s="5"/>
      <c r="D462" s="5"/>
      <c r="E462" s="5"/>
      <c r="F462" s="5"/>
      <c r="G462" s="5"/>
      <c r="H462" s="5"/>
      <c r="I462" s="5"/>
      <c r="J462" s="5"/>
      <c r="K462" s="5"/>
      <c r="L462" s="5"/>
      <c r="M462" s="5"/>
      <c r="N462" s="5"/>
      <c r="O462" s="20"/>
      <c r="P462" s="21"/>
      <c r="Q462" s="21"/>
      <c r="R462" s="21"/>
      <c r="S462" s="21"/>
      <c r="T462" s="21"/>
      <c r="U462" s="21"/>
      <c r="V462" s="21"/>
      <c r="W462" s="21"/>
      <c r="X462" s="21"/>
      <c r="Y462" s="22"/>
    </row>
    <row r="463" spans="1:25">
      <c r="A463" s="1">
        <v>55</v>
      </c>
      <c r="B463" s="5"/>
      <c r="C463" s="5"/>
      <c r="D463" s="5"/>
      <c r="E463" s="5"/>
      <c r="F463" s="5"/>
      <c r="G463" s="5"/>
      <c r="H463" s="5"/>
      <c r="I463" s="5"/>
      <c r="J463" s="5"/>
      <c r="K463" s="5"/>
      <c r="L463" s="5"/>
      <c r="M463" s="5"/>
      <c r="N463" s="5"/>
      <c r="O463" s="332"/>
      <c r="P463" s="333"/>
      <c r="Q463" s="333"/>
      <c r="R463" s="333"/>
      <c r="S463" s="334" t="s">
        <v>361</v>
      </c>
      <c r="T463" s="333"/>
      <c r="U463" s="333"/>
      <c r="V463" s="333"/>
      <c r="W463" s="333"/>
      <c r="X463" s="333"/>
      <c r="Y463" s="335"/>
    </row>
    <row r="464" spans="1:25">
      <c r="A464" s="1">
        <v>56</v>
      </c>
      <c r="B464" s="5"/>
      <c r="C464" s="5"/>
      <c r="D464" s="5"/>
      <c r="E464" s="5"/>
      <c r="F464" s="5"/>
      <c r="G464" s="5"/>
      <c r="H464" s="5"/>
      <c r="I464" s="5"/>
      <c r="J464" s="5"/>
      <c r="K464" s="5"/>
      <c r="L464" s="5"/>
      <c r="M464" s="5"/>
      <c r="N464" s="5"/>
      <c r="O464" s="232"/>
      <c r="P464" s="79" t="s">
        <v>181</v>
      </c>
      <c r="Q464" s="336"/>
      <c r="R464" s="337"/>
      <c r="S464" s="338" t="str">
        <f>IF(AB131="","",AB131)</f>
        <v/>
      </c>
      <c r="T464" s="157"/>
      <c r="U464" s="157"/>
      <c r="V464" s="47"/>
      <c r="W464" s="10"/>
      <c r="X464" s="157"/>
      <c r="Y464" s="316"/>
    </row>
    <row r="465" spans="1:25">
      <c r="A465" s="1">
        <v>57</v>
      </c>
      <c r="B465" s="5"/>
      <c r="C465" s="5"/>
      <c r="D465" s="5"/>
      <c r="E465" s="5"/>
      <c r="F465" s="5"/>
      <c r="G465" s="5"/>
      <c r="H465" s="5"/>
      <c r="I465" s="5"/>
      <c r="J465" s="5"/>
      <c r="K465" s="5"/>
      <c r="L465" s="5"/>
      <c r="M465" s="5"/>
      <c r="N465" s="5"/>
      <c r="O465" s="232"/>
      <c r="P465" s="339" t="s">
        <v>182</v>
      </c>
      <c r="Q465" s="158"/>
      <c r="R465" s="340">
        <f>LEN(Q464)</f>
        <v>0</v>
      </c>
      <c r="S465" s="159"/>
      <c r="T465" s="159"/>
      <c r="U465" s="341" t="s">
        <v>362</v>
      </c>
      <c r="V465" s="159"/>
      <c r="W465" s="159"/>
      <c r="X465" s="159"/>
      <c r="Y465" s="316"/>
    </row>
    <row r="466" spans="1:25">
      <c r="A466" s="1">
        <v>58</v>
      </c>
      <c r="O466" s="232"/>
      <c r="P466" s="79" t="s">
        <v>363</v>
      </c>
      <c r="Q466" s="336"/>
      <c r="R466" s="337"/>
      <c r="S466" s="338" t="str">
        <f>IF(AB133="","",AB133)</f>
        <v/>
      </c>
      <c r="T466" s="157"/>
      <c r="U466" s="157"/>
      <c r="V466" s="47"/>
      <c r="W466" s="10"/>
      <c r="X466" s="157"/>
      <c r="Y466" s="316"/>
    </row>
    <row r="467" spans="1:25">
      <c r="A467" s="1">
        <v>59</v>
      </c>
      <c r="O467" s="232"/>
      <c r="P467" s="339" t="s">
        <v>182</v>
      </c>
      <c r="Q467" s="158"/>
      <c r="R467" s="340">
        <f>LEN(Q466)</f>
        <v>0</v>
      </c>
      <c r="S467" s="159"/>
      <c r="T467" s="159"/>
      <c r="U467" s="341" t="s">
        <v>364</v>
      </c>
      <c r="V467" s="159"/>
      <c r="W467" s="159"/>
      <c r="X467" s="159"/>
      <c r="Y467" s="316"/>
    </row>
    <row r="468" spans="1:25">
      <c r="A468" s="1">
        <v>60</v>
      </c>
      <c r="O468" s="232"/>
      <c r="P468" s="79" t="s">
        <v>363</v>
      </c>
      <c r="Q468" s="336"/>
      <c r="R468" s="337"/>
      <c r="S468" s="338" t="str">
        <f>IF(AB135="","",AB135)</f>
        <v/>
      </c>
      <c r="T468" s="157"/>
      <c r="U468" s="157"/>
      <c r="V468" s="47"/>
      <c r="W468" s="10"/>
      <c r="X468" s="157"/>
      <c r="Y468" s="316"/>
    </row>
    <row r="469" spans="1:25">
      <c r="A469" s="1">
        <v>61</v>
      </c>
      <c r="O469" s="232"/>
      <c r="P469" s="339" t="s">
        <v>182</v>
      </c>
      <c r="Q469" s="158"/>
      <c r="R469" s="340">
        <f>LEN(Q468)</f>
        <v>0</v>
      </c>
      <c r="S469" s="159"/>
      <c r="T469" s="159"/>
      <c r="U469" s="341" t="s">
        <v>365</v>
      </c>
      <c r="V469" s="159"/>
      <c r="W469" s="159"/>
      <c r="X469" s="159"/>
      <c r="Y469" s="316"/>
    </row>
    <row r="470" spans="1:25">
      <c r="A470" s="1">
        <v>62</v>
      </c>
      <c r="O470" s="232"/>
      <c r="P470" s="79" t="s">
        <v>363</v>
      </c>
      <c r="Q470" s="336"/>
      <c r="R470" s="337"/>
      <c r="S470" s="338" t="str">
        <f>IF(AB137="","",AB137)</f>
        <v/>
      </c>
      <c r="T470" s="157"/>
      <c r="U470" s="157"/>
      <c r="V470" s="47"/>
      <c r="W470" s="10"/>
      <c r="X470" s="157"/>
      <c r="Y470" s="316"/>
    </row>
    <row r="471" spans="1:25">
      <c r="A471" s="1">
        <v>63</v>
      </c>
      <c r="O471" s="232"/>
      <c r="P471" s="339" t="s">
        <v>182</v>
      </c>
      <c r="Q471" s="158"/>
      <c r="R471" s="340">
        <f>LEN(Q470)</f>
        <v>0</v>
      </c>
      <c r="S471" s="159"/>
      <c r="T471" s="159"/>
      <c r="U471" s="341" t="s">
        <v>366</v>
      </c>
      <c r="V471" s="159"/>
      <c r="W471" s="159"/>
      <c r="X471" s="159"/>
      <c r="Y471" s="316"/>
    </row>
    <row r="472" spans="1:25">
      <c r="A472" s="1">
        <v>64</v>
      </c>
      <c r="O472" s="232"/>
      <c r="P472" s="79" t="s">
        <v>363</v>
      </c>
      <c r="Q472" s="336"/>
      <c r="R472" s="337"/>
      <c r="S472" s="338" t="str">
        <f>IF(AB139="","",AB139)</f>
        <v/>
      </c>
      <c r="T472" s="157"/>
      <c r="U472" s="157"/>
      <c r="V472" s="47"/>
      <c r="W472" s="10"/>
      <c r="X472" s="157"/>
      <c r="Y472" s="316"/>
    </row>
    <row r="473" spans="1:25">
      <c r="A473" s="1">
        <v>65</v>
      </c>
      <c r="O473" s="232"/>
      <c r="P473" s="339" t="s">
        <v>182</v>
      </c>
      <c r="Q473" s="158"/>
      <c r="R473" s="340">
        <f>LEN(Q472)</f>
        <v>0</v>
      </c>
      <c r="S473" s="159"/>
      <c r="T473" s="159"/>
      <c r="U473" s="341" t="s">
        <v>367</v>
      </c>
      <c r="V473" s="159"/>
      <c r="W473" s="159"/>
      <c r="X473" s="159"/>
      <c r="Y473" s="316"/>
    </row>
    <row r="474" spans="1:25">
      <c r="A474" s="1">
        <v>66</v>
      </c>
      <c r="O474" s="232"/>
      <c r="P474" s="79" t="s">
        <v>363</v>
      </c>
      <c r="Q474" s="336"/>
      <c r="R474" s="337"/>
      <c r="S474" s="338" t="str">
        <f>IF(AB141="","",AB141)</f>
        <v/>
      </c>
      <c r="T474" s="157"/>
      <c r="U474" s="157"/>
      <c r="V474" s="47"/>
      <c r="W474" s="10"/>
      <c r="X474" s="157"/>
      <c r="Y474" s="316"/>
    </row>
    <row r="475" spans="1:25">
      <c r="A475" s="1">
        <v>67</v>
      </c>
      <c r="C475" s="79" t="s">
        <v>3</v>
      </c>
      <c r="D475" s="80" t="str">
        <f>IF($P$7="","",$P$7)</f>
        <v/>
      </c>
      <c r="E475" s="10"/>
      <c r="F475" s="10"/>
      <c r="G475" s="10"/>
      <c r="H475" s="10"/>
      <c r="I475" s="10"/>
      <c r="J475" s="10"/>
      <c r="K475" s="10"/>
      <c r="L475" s="79" t="s">
        <v>4</v>
      </c>
      <c r="M475" s="81" t="str">
        <f>IF($X$7="","",$X$7)</f>
        <v>Eugene Mah</v>
      </c>
      <c r="O475" s="232"/>
      <c r="P475" s="339" t="s">
        <v>182</v>
      </c>
      <c r="Q475" s="158"/>
      <c r="R475" s="340">
        <f>LEN(Q474)</f>
        <v>0</v>
      </c>
      <c r="S475" s="159"/>
      <c r="T475" s="159"/>
      <c r="U475" s="159"/>
      <c r="V475" s="159"/>
      <c r="W475" s="159"/>
      <c r="X475" s="159"/>
      <c r="Y475" s="316"/>
    </row>
    <row r="476" spans="1:25">
      <c r="A476" s="1">
        <v>68</v>
      </c>
      <c r="C476" s="79" t="s">
        <v>91</v>
      </c>
      <c r="D476" s="82" t="str">
        <f>IF($R$14="","",$R$14)</f>
        <v/>
      </c>
      <c r="E476" s="10"/>
      <c r="F476" s="10"/>
      <c r="G476" s="10"/>
      <c r="H476" s="10"/>
      <c r="I476" s="10"/>
      <c r="J476" s="10"/>
      <c r="K476" s="10"/>
      <c r="L476" s="79" t="s">
        <v>16</v>
      </c>
      <c r="M476" s="81" t="str">
        <f>IF($R$13="","",$R$13)</f>
        <v/>
      </c>
      <c r="O476" s="232"/>
      <c r="P476" s="79" t="s">
        <v>363</v>
      </c>
      <c r="Q476" s="336"/>
      <c r="R476" s="337"/>
      <c r="S476" s="338" t="str">
        <f>IF(AB143="","",AB143)</f>
        <v/>
      </c>
      <c r="T476" s="157"/>
      <c r="U476" s="157"/>
      <c r="V476" s="47"/>
      <c r="W476" s="10"/>
      <c r="X476" s="157"/>
      <c r="Y476" s="316"/>
    </row>
    <row r="477" spans="1:25">
      <c r="O477" s="232"/>
      <c r="P477" s="339" t="s">
        <v>182</v>
      </c>
      <c r="Q477" s="158"/>
      <c r="R477" s="340">
        <f>LEN(Q476)</f>
        <v>0</v>
      </c>
      <c r="S477" s="159"/>
      <c r="T477" s="159"/>
      <c r="U477" s="159"/>
      <c r="V477" s="159"/>
      <c r="W477" s="159"/>
      <c r="X477" s="159"/>
      <c r="Y477" s="316"/>
    </row>
    <row r="478" spans="1:25">
      <c r="O478" s="232"/>
      <c r="P478" s="79" t="s">
        <v>363</v>
      </c>
      <c r="Q478" s="336"/>
      <c r="R478" s="337"/>
      <c r="S478" s="338" t="str">
        <f>IF(AB145="","",AB145)</f>
        <v/>
      </c>
      <c r="T478" s="157"/>
      <c r="U478" s="157"/>
      <c r="V478" s="47"/>
      <c r="W478" s="10"/>
      <c r="X478" s="157"/>
      <c r="Y478" s="316"/>
    </row>
    <row r="479" spans="1:25">
      <c r="O479" s="232"/>
      <c r="P479" s="339" t="s">
        <v>182</v>
      </c>
      <c r="Q479" s="158"/>
      <c r="R479" s="340">
        <f>LEN(Q478)</f>
        <v>0</v>
      </c>
      <c r="S479" s="159"/>
      <c r="T479" s="159"/>
      <c r="U479" s="159"/>
      <c r="V479" s="159"/>
      <c r="W479" s="159"/>
      <c r="X479" s="159"/>
      <c r="Y479" s="316"/>
    </row>
    <row r="480" spans="1:25">
      <c r="O480" s="232"/>
      <c r="P480" s="79" t="s">
        <v>363</v>
      </c>
      <c r="Q480" s="336"/>
      <c r="R480" s="337"/>
      <c r="S480" s="338" t="str">
        <f>IF(AB147="","",AB147)</f>
        <v/>
      </c>
      <c r="T480" s="157"/>
      <c r="U480" s="157"/>
      <c r="V480" s="47"/>
      <c r="W480" s="10"/>
      <c r="X480" s="157"/>
      <c r="Y480" s="316"/>
    </row>
    <row r="481" spans="15:25">
      <c r="O481" s="232"/>
      <c r="P481" s="339" t="s">
        <v>182</v>
      </c>
      <c r="Q481" s="158"/>
      <c r="R481" s="340">
        <f>LEN(Q480)</f>
        <v>0</v>
      </c>
      <c r="S481" s="159"/>
      <c r="T481" s="159"/>
      <c r="U481" s="159"/>
      <c r="V481" s="159"/>
      <c r="W481" s="159"/>
      <c r="X481" s="159"/>
      <c r="Y481" s="316"/>
    </row>
    <row r="482" spans="15:25" ht="16.5" thickBot="1">
      <c r="O482" s="342"/>
      <c r="P482" s="245"/>
      <c r="Q482" s="245"/>
      <c r="R482" s="245"/>
      <c r="S482" s="245"/>
      <c r="T482" s="245"/>
      <c r="U482" s="245"/>
      <c r="V482" s="245"/>
      <c r="W482" s="245"/>
      <c r="X482" s="245"/>
      <c r="Y482" s="343"/>
    </row>
  </sheetData>
  <mergeCells count="67">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P181:U181"/>
    <mergeCell ref="P204:U204"/>
    <mergeCell ref="Q205:S205"/>
    <mergeCell ref="Q182:S182"/>
    <mergeCell ref="F10:G10"/>
    <mergeCell ref="K10:L10"/>
    <mergeCell ref="F11:G11"/>
    <mergeCell ref="K11:L11"/>
    <mergeCell ref="F12:G12"/>
    <mergeCell ref="K12:L12"/>
    <mergeCell ref="F13:G13"/>
    <mergeCell ref="K13:L13"/>
    <mergeCell ref="F16:G16"/>
    <mergeCell ref="K16:L16"/>
    <mergeCell ref="F17:G17"/>
    <mergeCell ref="K17:L17"/>
  </mergeCells>
  <conditionalFormatting sqref="P188:U189">
    <cfRule type="cellIs" dxfId="88" priority="91" operator="lessThan">
      <formula>0.02</formula>
    </cfRule>
    <cfRule type="cellIs" dxfId="87" priority="92" operator="greaterThan">
      <formula>0.02</formula>
    </cfRule>
  </conditionalFormatting>
  <conditionalFormatting sqref="P207:U210">
    <cfRule type="cellIs" dxfId="86" priority="88" operator="between">
      <formula>0.02</formula>
      <formula>-0.02</formula>
    </cfRule>
    <cfRule type="cellIs" dxfId="85" priority="89" operator="lessThan">
      <formula>-0.02</formula>
    </cfRule>
    <cfRule type="cellIs" dxfId="84" priority="90" operator="greaterThan">
      <formula>0.02</formula>
    </cfRule>
  </conditionalFormatting>
  <conditionalFormatting sqref="P211:U211">
    <cfRule type="cellIs" dxfId="83" priority="85" operator="lessThan">
      <formula>-0.01</formula>
    </cfRule>
    <cfRule type="cellIs" dxfId="82" priority="86" operator="greaterThan">
      <formula>0.01</formula>
    </cfRule>
    <cfRule type="cellIs" dxfId="81" priority="87" operator="between">
      <formula>-0.01</formula>
      <formula>0.01</formula>
    </cfRule>
  </conditionalFormatting>
  <conditionalFormatting sqref="W236:W243">
    <cfRule type="cellIs" dxfId="80" priority="83" operator="lessThan">
      <formula>0.1</formula>
    </cfRule>
    <cfRule type="cellIs" dxfId="79" priority="84" operator="greaterThan">
      <formula>0.1</formula>
    </cfRule>
  </conditionalFormatting>
  <conditionalFormatting sqref="W251:W257">
    <cfRule type="cellIs" dxfId="78" priority="81" operator="lessThan">
      <formula>0.1</formula>
    </cfRule>
    <cfRule type="cellIs" dxfId="77" priority="82" operator="greaterThan">
      <formula>0.1</formula>
    </cfRule>
  </conditionalFormatting>
  <conditionalFormatting sqref="U265">
    <cfRule type="cellIs" dxfId="76" priority="80" operator="between">
      <formula>$X$265</formula>
      <formula>$Y$265</formula>
    </cfRule>
  </conditionalFormatting>
  <conditionalFormatting sqref="U266">
    <cfRule type="cellIs" dxfId="75" priority="79" operator="between">
      <formula>$X$266</formula>
      <formula>$Y$266</formula>
    </cfRule>
  </conditionalFormatting>
  <conditionalFormatting sqref="U267">
    <cfRule type="cellIs" dxfId="74" priority="78" operator="between">
      <formula>$X$267</formula>
      <formula>$Y$267</formula>
    </cfRule>
  </conditionalFormatting>
  <conditionalFormatting sqref="U269">
    <cfRule type="cellIs" dxfId="73" priority="77" operator="between">
      <formula>$X$269</formula>
      <formula>$Y$269</formula>
    </cfRule>
  </conditionalFormatting>
  <conditionalFormatting sqref="U270">
    <cfRule type="cellIs" dxfId="72" priority="76" operator="between">
      <formula>$X$270</formula>
      <formula>$Y$270</formula>
    </cfRule>
  </conditionalFormatting>
  <conditionalFormatting sqref="U271">
    <cfRule type="cellIs" dxfId="71" priority="75" operator="between">
      <formula>$X$271</formula>
      <formula>$Y$271</formula>
    </cfRule>
  </conditionalFormatting>
  <conditionalFormatting sqref="U272">
    <cfRule type="cellIs" dxfId="70" priority="74" operator="between">
      <formula>$X$272</formula>
      <formula>$Y$272</formula>
    </cfRule>
  </conditionalFormatting>
  <conditionalFormatting sqref="X283 X298 X318 X330">
    <cfRule type="cellIs" dxfId="69" priority="73" operator="greaterThan">
      <formula>3</formula>
    </cfRule>
  </conditionalFormatting>
  <conditionalFormatting sqref="X288 X303 X322 X334">
    <cfRule type="cellIs" dxfId="68" priority="7" operator="lessThan">
      <formula>0.15</formula>
    </cfRule>
    <cfRule type="cellIs" dxfId="67" priority="72" operator="greaterThan">
      <formula>0.15</formula>
    </cfRule>
  </conditionalFormatting>
  <conditionalFormatting sqref="X335">
    <cfRule type="cellIs" dxfId="66" priority="71" operator="greaterThan">
      <formula>3</formula>
    </cfRule>
  </conditionalFormatting>
  <conditionalFormatting sqref="T381:X381">
    <cfRule type="cellIs" dxfId="65" priority="68" operator="lessThan">
      <formula>-0.02</formula>
    </cfRule>
    <cfRule type="cellIs" dxfId="64" priority="69" operator="greaterThan">
      <formula>0.02</formula>
    </cfRule>
    <cfRule type="cellIs" dxfId="63" priority="70" operator="between">
      <formula>0.02</formula>
      <formula>-0.02</formula>
    </cfRule>
  </conditionalFormatting>
  <conditionalFormatting sqref="W393">
    <cfRule type="cellIs" dxfId="62" priority="66" operator="lessThan">
      <formula>0.1</formula>
    </cfRule>
    <cfRule type="cellIs" dxfId="61" priority="67" operator="greaterThan">
      <formula>0.1</formula>
    </cfRule>
  </conditionalFormatting>
  <conditionalFormatting sqref="U427 P446 R446 Q437:R437 U437:V437">
    <cfRule type="cellIs" dxfId="60" priority="51" operator="lessThan">
      <formula>5</formula>
    </cfRule>
    <cfRule type="cellIs" dxfId="59" priority="52" operator="greaterThanOrEqual">
      <formula>5</formula>
    </cfRule>
  </conditionalFormatting>
  <conditionalFormatting sqref="U428 Q438:R438 U438:V438 P447 R447">
    <cfRule type="cellIs" dxfId="58" priority="49" operator="lessThan">
      <formula>4</formula>
    </cfRule>
    <cfRule type="cellIs" dxfId="57" priority="50" operator="greaterThanOrEqual">
      <formula>4</formula>
    </cfRule>
  </conditionalFormatting>
  <conditionalFormatting sqref="U429 Q439:R439 U439:V439 P448 R448">
    <cfRule type="cellIs" dxfId="56" priority="47" operator="lessThan">
      <formula>4</formula>
    </cfRule>
    <cfRule type="cellIs" dxfId="55" priority="48" operator="greaterThanOrEqual">
      <formula>4</formula>
    </cfRule>
  </conditionalFormatting>
  <conditionalFormatting sqref="T446">
    <cfRule type="cellIs" dxfId="54" priority="45" operator="lessThan">
      <formula>4</formula>
    </cfRule>
    <cfRule type="cellIs" dxfId="53" priority="46" operator="greaterThanOrEqual">
      <formula>4</formula>
    </cfRule>
  </conditionalFormatting>
  <conditionalFormatting sqref="T447:T448">
    <cfRule type="cellIs" dxfId="52" priority="43" operator="lessThan">
      <formula>3</formula>
    </cfRule>
    <cfRule type="cellIs" dxfId="51" priority="44" operator="greaterThanOrEqual">
      <formula>3</formula>
    </cfRule>
  </conditionalFormatting>
  <conditionalFormatting sqref="T458">
    <cfRule type="cellIs" dxfId="50" priority="41" operator="lessThan">
      <formula>40</formula>
    </cfRule>
    <cfRule type="cellIs" dxfId="49" priority="42" operator="greaterThanOrEqual">
      <formula>40</formula>
    </cfRule>
  </conditionalFormatting>
  <conditionalFormatting sqref="V459">
    <cfRule type="cellIs" dxfId="48" priority="38" operator="lessThan">
      <formula>-0.15</formula>
    </cfRule>
    <cfRule type="cellIs" dxfId="47" priority="39" operator="greaterThan">
      <formula>0.15</formula>
    </cfRule>
    <cfRule type="cellIs" dxfId="46" priority="40" operator="between">
      <formula>0.15</formula>
      <formula>-0.15</formula>
    </cfRule>
  </conditionalFormatting>
  <conditionalFormatting sqref="T343">
    <cfRule type="cellIs" dxfId="45" priority="35" operator="between">
      <formula>$R$343*0.95</formula>
      <formula>$R$343*1.05</formula>
    </cfRule>
  </conditionalFormatting>
  <conditionalFormatting sqref="T344">
    <cfRule type="cellIs" dxfId="44" priority="34" operator="between">
      <formula>$R$344*0.95</formula>
      <formula>$R$344*1.05</formula>
    </cfRule>
  </conditionalFormatting>
  <conditionalFormatting sqref="T345">
    <cfRule type="cellIs" dxfId="43" priority="33" operator="between">
      <formula>$R$345*0.95</formula>
      <formula>$R$345*1.05</formula>
    </cfRule>
  </conditionalFormatting>
  <conditionalFormatting sqref="T346">
    <cfRule type="cellIs" dxfId="42" priority="32" operator="between">
      <formula>$R$346*0.95</formula>
      <formula>$R$346*1.05</formula>
    </cfRule>
  </conditionalFormatting>
  <conditionalFormatting sqref="T347">
    <cfRule type="cellIs" dxfId="41" priority="31" operator="between">
      <formula>$R$347*0.95</formula>
      <formula>$R$347*1.05</formula>
    </cfRule>
  </conditionalFormatting>
  <conditionalFormatting sqref="T348">
    <cfRule type="cellIs" dxfId="40" priority="30" operator="between">
      <formula>$R$348*0.95</formula>
      <formula>$R$348*1.05</formula>
    </cfRule>
  </conditionalFormatting>
  <conditionalFormatting sqref="T349">
    <cfRule type="cellIs" dxfId="39" priority="29" operator="between">
      <formula>$R$349*0.95</formula>
      <formula>$R$349*1.05</formula>
    </cfRule>
  </conditionalFormatting>
  <conditionalFormatting sqref="T354">
    <cfRule type="cellIs" dxfId="38" priority="28" operator="between">
      <formula>$R$354*0.95</formula>
      <formula>$R$354*1.05</formula>
    </cfRule>
  </conditionalFormatting>
  <conditionalFormatting sqref="T355">
    <cfRule type="cellIs" dxfId="37" priority="27" operator="between">
      <formula>$R$355*0.95</formula>
      <formula>$R$355*1.05</formula>
    </cfRule>
  </conditionalFormatting>
  <conditionalFormatting sqref="T356">
    <cfRule type="cellIs" dxfId="36" priority="26" operator="between">
      <formula>$R$356*0.95</formula>
      <formula>$R$356*1.05</formula>
    </cfRule>
  </conditionalFormatting>
  <conditionalFormatting sqref="T357">
    <cfRule type="cellIs" dxfId="35" priority="25" operator="between">
      <formula>$R$357*0.95</formula>
      <formula>$R$357*1.05</formula>
    </cfRule>
  </conditionalFormatting>
  <conditionalFormatting sqref="T358">
    <cfRule type="cellIs" dxfId="34" priority="24" operator="between">
      <formula>$R$358*0.95</formula>
      <formula>$R$358*1.05</formula>
    </cfRule>
  </conditionalFormatting>
  <conditionalFormatting sqref="T359">
    <cfRule type="cellIs" dxfId="33" priority="23" operator="between">
      <formula>$R$359*0.95</formula>
      <formula>$R$359*1.05</formula>
    </cfRule>
  </conditionalFormatting>
  <conditionalFormatting sqref="T364">
    <cfRule type="cellIs" dxfId="32" priority="22" operator="between">
      <formula>$R$364*0.95</formula>
      <formula>$R$364*1.05</formula>
    </cfRule>
  </conditionalFormatting>
  <conditionalFormatting sqref="T365">
    <cfRule type="cellIs" dxfId="31" priority="21" operator="between">
      <formula>$R$365*0.95</formula>
      <formula>$R$365*1.05</formula>
    </cfRule>
  </conditionalFormatting>
  <conditionalFormatting sqref="T366">
    <cfRule type="cellIs" dxfId="30" priority="20" operator="between">
      <formula>$R$366*0.95</formula>
      <formula>$R$366*1.05</formula>
    </cfRule>
  </conditionalFormatting>
  <conditionalFormatting sqref="T367">
    <cfRule type="cellIs" dxfId="29" priority="19" operator="between">
      <formula>$R$367*0.95</formula>
      <formula>$R$367*1.05</formula>
    </cfRule>
  </conditionalFormatting>
  <conditionalFormatting sqref="T368">
    <cfRule type="cellIs" dxfId="28" priority="18" operator="between">
      <formula>$R$368*0.95</formula>
      <formula>$R$368*1.05</formula>
    </cfRule>
  </conditionalFormatting>
  <conditionalFormatting sqref="R123:R130">
    <cfRule type="cellIs" dxfId="27" priority="15" operator="lessThan">
      <formula>-0.5</formula>
    </cfRule>
    <cfRule type="cellIs" dxfId="26" priority="16" operator="greaterThan">
      <formula>0.5</formula>
    </cfRule>
    <cfRule type="cellIs" dxfId="25" priority="17" operator="between">
      <formula>0.5</formula>
      <formula>-0.5</formula>
    </cfRule>
  </conditionalFormatting>
  <conditionalFormatting sqref="U169:V169">
    <cfRule type="cellIs" dxfId="24" priority="13" operator="lessThan">
      <formula>160</formula>
    </cfRule>
    <cfRule type="cellIs" dxfId="23" priority="14" operator="greaterThan">
      <formula>160</formula>
    </cfRule>
  </conditionalFormatting>
  <conditionalFormatting sqref="Q142:V142">
    <cfRule type="cellIs" dxfId="22" priority="11" operator="equal">
      <formula>"Fail"</formula>
    </cfRule>
    <cfRule type="cellIs" dxfId="21" priority="12" operator="equal">
      <formula>"Pass"</formula>
    </cfRule>
  </conditionalFormatting>
  <conditionalFormatting sqref="Q227:T227">
    <cfRule type="cellIs" dxfId="20" priority="9" operator="equal">
      <formula>"Fail"</formula>
    </cfRule>
    <cfRule type="cellIs" dxfId="19" priority="10" operator="equal">
      <formula>"Pass"</formula>
    </cfRule>
  </conditionalFormatting>
  <conditionalFormatting sqref="X283 X298 X318 X330 X335">
    <cfRule type="cellIs" dxfId="18" priority="8" operator="lessThan">
      <formula>3</formula>
    </cfRule>
  </conditionalFormatting>
  <conditionalFormatting sqref="Q407:X407 Q420:U420">
    <cfRule type="cellIs" dxfId="17" priority="5" operator="equal">
      <formula>"Fail"</formula>
    </cfRule>
    <cfRule type="cellIs" dxfId="16" priority="6" operator="equal">
      <formula>"Pass"</formula>
    </cfRule>
  </conditionalFormatting>
  <conditionalFormatting sqref="Q154:V154">
    <cfRule type="cellIs" dxfId="15" priority="3" operator="lessThan">
      <formula>0.07</formula>
    </cfRule>
    <cfRule type="cellIs" dxfId="14" priority="4" operator="greaterThan">
      <formula>0.07</formula>
    </cfRule>
  </conditionalFormatting>
  <conditionalFormatting sqref="Q155:V155">
    <cfRule type="cellIs" dxfId="13" priority="1" operator="equal">
      <formula>"YES"</formula>
    </cfRule>
    <cfRule type="cellIs" dxfId="12" priority="2" operator="equal">
      <formula>"NO"</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64" zoomScale="75" zoomScaleNormal="75" workbookViewId="0"/>
  </sheetViews>
  <sheetFormatPr defaultRowHeight="15.75"/>
  <sheetData>
    <row r="1" spans="1:30">
      <c r="A1" t="s">
        <v>592</v>
      </c>
      <c r="K1" t="s">
        <v>593</v>
      </c>
      <c r="U1" t="s">
        <v>594</v>
      </c>
    </row>
    <row r="2" spans="1:30" ht="16.5" thickBot="1">
      <c r="B2" s="706" t="s">
        <v>49</v>
      </c>
      <c r="C2" s="706"/>
      <c r="D2" s="706"/>
      <c r="E2" s="706"/>
      <c r="F2" s="706"/>
      <c r="G2" s="706"/>
      <c r="H2" s="706"/>
      <c r="I2" s="706"/>
      <c r="J2" s="706"/>
      <c r="L2" s="706" t="s">
        <v>49</v>
      </c>
      <c r="M2" s="706"/>
      <c r="N2" s="706"/>
      <c r="O2" s="706"/>
      <c r="P2" s="706"/>
      <c r="Q2" s="706"/>
      <c r="R2" s="706"/>
      <c r="S2" s="706"/>
      <c r="T2" s="706"/>
      <c r="V2" s="706" t="s">
        <v>49</v>
      </c>
      <c r="W2" s="706"/>
      <c r="X2" s="706"/>
      <c r="Y2" s="706"/>
      <c r="Z2" s="706"/>
      <c r="AA2" s="706"/>
      <c r="AB2" s="706"/>
      <c r="AC2" s="706"/>
      <c r="AD2" s="706"/>
    </row>
    <row r="3" spans="1:30" ht="16.5" thickTop="1">
      <c r="A3" s="421" t="s">
        <v>342</v>
      </c>
      <c r="B3" s="422">
        <v>23</v>
      </c>
      <c r="C3" s="422">
        <v>24</v>
      </c>
      <c r="D3" s="422">
        <v>25</v>
      </c>
      <c r="E3" s="422">
        <v>26</v>
      </c>
      <c r="F3" s="422">
        <v>27</v>
      </c>
      <c r="G3" s="422">
        <v>28</v>
      </c>
      <c r="H3" s="422">
        <v>29</v>
      </c>
      <c r="I3" s="422">
        <v>30</v>
      </c>
      <c r="J3" s="423">
        <v>31</v>
      </c>
      <c r="K3" s="421" t="s">
        <v>342</v>
      </c>
      <c r="L3" s="422">
        <v>23</v>
      </c>
      <c r="M3" s="422">
        <v>24</v>
      </c>
      <c r="N3" s="422">
        <v>25</v>
      </c>
      <c r="O3" s="422">
        <v>26</v>
      </c>
      <c r="P3" s="422">
        <v>27</v>
      </c>
      <c r="Q3" s="422">
        <v>28</v>
      </c>
      <c r="R3" s="422">
        <v>29</v>
      </c>
      <c r="S3" s="422">
        <v>30</v>
      </c>
      <c r="T3" s="423">
        <v>31</v>
      </c>
      <c r="U3" s="421" t="s">
        <v>342</v>
      </c>
      <c r="V3" s="422">
        <v>23</v>
      </c>
      <c r="W3" s="422">
        <v>24</v>
      </c>
      <c r="X3" s="422">
        <v>25</v>
      </c>
      <c r="Y3" s="422">
        <v>26</v>
      </c>
      <c r="Z3" s="422">
        <v>27</v>
      </c>
      <c r="AA3" s="422">
        <v>28</v>
      </c>
      <c r="AB3" s="422">
        <v>29</v>
      </c>
      <c r="AC3" s="422">
        <v>30</v>
      </c>
      <c r="AD3" s="423">
        <v>31</v>
      </c>
    </row>
    <row r="4" spans="1:30">
      <c r="A4" s="424">
        <v>0.23</v>
      </c>
      <c r="B4" s="425">
        <v>116</v>
      </c>
      <c r="C4" s="425"/>
      <c r="D4" s="425"/>
      <c r="E4" s="425"/>
      <c r="F4" s="425"/>
      <c r="G4" s="425"/>
      <c r="H4" s="425"/>
      <c r="I4" s="425"/>
      <c r="J4" s="426"/>
      <c r="K4" s="424">
        <v>0.23</v>
      </c>
      <c r="L4" s="425"/>
      <c r="M4" s="425"/>
      <c r="N4" s="425"/>
      <c r="O4" s="425"/>
      <c r="P4" s="425"/>
      <c r="Q4" s="425"/>
      <c r="R4" s="425"/>
      <c r="S4" s="425"/>
      <c r="T4" s="426"/>
      <c r="U4" s="424">
        <v>0.23</v>
      </c>
      <c r="V4" s="425"/>
      <c r="W4" s="425"/>
      <c r="X4" s="425"/>
      <c r="Y4" s="425"/>
      <c r="Z4" s="425"/>
      <c r="AA4" s="425"/>
      <c r="AB4" s="425"/>
      <c r="AC4" s="425"/>
      <c r="AD4" s="426"/>
    </row>
    <row r="5" spans="1:30">
      <c r="A5" s="424">
        <v>0.24</v>
      </c>
      <c r="B5" s="425">
        <v>121</v>
      </c>
      <c r="C5" s="425">
        <v>124</v>
      </c>
      <c r="D5" s="425"/>
      <c r="E5" s="425"/>
      <c r="F5" s="425"/>
      <c r="G5" s="425"/>
      <c r="H5" s="425"/>
      <c r="I5" s="425"/>
      <c r="J5" s="426"/>
      <c r="K5" s="424">
        <v>0.24</v>
      </c>
      <c r="L5" s="425"/>
      <c r="M5" s="425"/>
      <c r="N5" s="425"/>
      <c r="O5" s="425"/>
      <c r="P5" s="425"/>
      <c r="Q5" s="425"/>
      <c r="R5" s="425"/>
      <c r="S5" s="425"/>
      <c r="T5" s="426"/>
      <c r="U5" s="424">
        <v>0.24</v>
      </c>
      <c r="V5" s="425"/>
      <c r="W5" s="425"/>
      <c r="X5" s="425"/>
      <c r="Y5" s="425"/>
      <c r="Z5" s="425"/>
      <c r="AA5" s="425"/>
      <c r="AB5" s="425"/>
      <c r="AC5" s="425"/>
      <c r="AD5" s="426"/>
    </row>
    <row r="6" spans="1:30">
      <c r="A6" s="424">
        <v>0.25</v>
      </c>
      <c r="B6" s="425">
        <v>126</v>
      </c>
      <c r="C6" s="425">
        <v>129</v>
      </c>
      <c r="D6" s="425">
        <v>131</v>
      </c>
      <c r="E6" s="425"/>
      <c r="F6" s="425"/>
      <c r="G6" s="425"/>
      <c r="H6" s="425"/>
      <c r="I6" s="425"/>
      <c r="J6" s="426"/>
      <c r="K6" s="424">
        <v>0.25</v>
      </c>
      <c r="L6" s="425"/>
      <c r="M6" s="425"/>
      <c r="N6" s="425"/>
      <c r="O6" s="425"/>
      <c r="P6" s="425"/>
      <c r="Q6" s="425"/>
      <c r="R6" s="425"/>
      <c r="S6" s="425"/>
      <c r="T6" s="426"/>
      <c r="U6" s="424">
        <v>0.25</v>
      </c>
      <c r="V6" s="425"/>
      <c r="W6" s="425"/>
      <c r="X6" s="425"/>
      <c r="Y6" s="425"/>
      <c r="Z6" s="425"/>
      <c r="AA6" s="425"/>
      <c r="AB6" s="425"/>
      <c r="AC6" s="425"/>
      <c r="AD6" s="426"/>
    </row>
    <row r="7" spans="1:30">
      <c r="A7" s="424">
        <v>0.26</v>
      </c>
      <c r="B7" s="425">
        <v>130</v>
      </c>
      <c r="C7" s="425">
        <v>133</v>
      </c>
      <c r="D7" s="425">
        <v>135</v>
      </c>
      <c r="E7" s="425">
        <v>138</v>
      </c>
      <c r="F7" s="425"/>
      <c r="G7" s="425"/>
      <c r="H7" s="425"/>
      <c r="I7" s="425"/>
      <c r="J7" s="426"/>
      <c r="K7" s="424">
        <v>0.26</v>
      </c>
      <c r="L7" s="425"/>
      <c r="M7" s="425"/>
      <c r="N7" s="425"/>
      <c r="O7" s="425"/>
      <c r="P7" s="425"/>
      <c r="Q7" s="425"/>
      <c r="R7" s="425"/>
      <c r="S7" s="425"/>
      <c r="T7" s="426"/>
      <c r="U7" s="424">
        <v>0.26</v>
      </c>
      <c r="V7" s="425"/>
      <c r="W7" s="425"/>
      <c r="X7" s="425"/>
      <c r="Y7" s="425"/>
      <c r="Z7" s="425"/>
      <c r="AA7" s="425"/>
      <c r="AB7" s="425"/>
      <c r="AC7" s="425"/>
      <c r="AD7" s="426"/>
    </row>
    <row r="8" spans="1:30">
      <c r="A8" s="424">
        <v>0.27</v>
      </c>
      <c r="B8" s="425">
        <v>135</v>
      </c>
      <c r="C8" s="425">
        <v>138</v>
      </c>
      <c r="D8" s="425">
        <v>140</v>
      </c>
      <c r="E8" s="425">
        <v>142</v>
      </c>
      <c r="F8" s="425">
        <v>143</v>
      </c>
      <c r="G8" s="425"/>
      <c r="H8" s="425"/>
      <c r="I8" s="425"/>
      <c r="J8" s="426"/>
      <c r="K8" s="424">
        <v>0.27</v>
      </c>
      <c r="L8" s="425"/>
      <c r="M8" s="425"/>
      <c r="N8" s="425"/>
      <c r="O8" s="425"/>
      <c r="P8" s="425"/>
      <c r="Q8" s="425"/>
      <c r="R8" s="425"/>
      <c r="S8" s="425"/>
      <c r="T8" s="426"/>
      <c r="U8" s="424">
        <v>0.27</v>
      </c>
      <c r="V8" s="425"/>
      <c r="W8" s="425"/>
      <c r="X8" s="425"/>
      <c r="Y8" s="425"/>
      <c r="Z8" s="425"/>
      <c r="AA8" s="425"/>
      <c r="AB8" s="425"/>
      <c r="AC8" s="425"/>
      <c r="AD8" s="426"/>
    </row>
    <row r="9" spans="1:30">
      <c r="A9" s="424">
        <v>0.28000000000000003</v>
      </c>
      <c r="B9" s="425">
        <v>140</v>
      </c>
      <c r="C9" s="425">
        <v>142</v>
      </c>
      <c r="D9" s="425">
        <v>144</v>
      </c>
      <c r="E9" s="425">
        <v>146</v>
      </c>
      <c r="F9" s="425">
        <v>147</v>
      </c>
      <c r="G9" s="425">
        <v>149</v>
      </c>
      <c r="H9" s="425"/>
      <c r="I9" s="425"/>
      <c r="J9" s="426"/>
      <c r="K9" s="424">
        <v>0.28000000000000003</v>
      </c>
      <c r="L9" s="425"/>
      <c r="M9" s="425"/>
      <c r="N9" s="425">
        <v>149</v>
      </c>
      <c r="O9" s="425">
        <v>151</v>
      </c>
      <c r="P9" s="425">
        <v>154</v>
      </c>
      <c r="Q9" s="425"/>
      <c r="R9" s="425"/>
      <c r="S9" s="425"/>
      <c r="T9" s="426"/>
      <c r="U9" s="424">
        <v>0.28000000000000003</v>
      </c>
      <c r="V9" s="425"/>
      <c r="W9" s="425"/>
      <c r="X9" s="425">
        <v>150</v>
      </c>
      <c r="Y9" s="425">
        <v>155</v>
      </c>
      <c r="Z9" s="425">
        <v>159</v>
      </c>
      <c r="AA9" s="425"/>
      <c r="AB9" s="425"/>
      <c r="AC9" s="425"/>
      <c r="AD9" s="426"/>
    </row>
    <row r="10" spans="1:30">
      <c r="A10" s="424">
        <v>0.28999999999999998</v>
      </c>
      <c r="B10" s="425">
        <v>144</v>
      </c>
      <c r="C10" s="425">
        <v>146</v>
      </c>
      <c r="D10" s="425">
        <v>148</v>
      </c>
      <c r="E10" s="425">
        <v>150</v>
      </c>
      <c r="F10" s="425">
        <v>151</v>
      </c>
      <c r="G10" s="425">
        <v>153</v>
      </c>
      <c r="H10" s="425">
        <v>154</v>
      </c>
      <c r="I10" s="425"/>
      <c r="J10" s="426"/>
      <c r="K10" s="424">
        <v>0.28999999999999998</v>
      </c>
      <c r="L10" s="425"/>
      <c r="M10" s="425"/>
      <c r="N10" s="425">
        <v>154</v>
      </c>
      <c r="O10" s="425">
        <v>156</v>
      </c>
      <c r="P10" s="425">
        <v>158</v>
      </c>
      <c r="Q10" s="425">
        <v>159</v>
      </c>
      <c r="R10" s="425"/>
      <c r="S10" s="425"/>
      <c r="T10" s="426"/>
      <c r="U10" s="424">
        <v>0.28999999999999998</v>
      </c>
      <c r="V10" s="425"/>
      <c r="W10" s="425"/>
      <c r="X10" s="425">
        <v>155</v>
      </c>
      <c r="Y10" s="425">
        <v>160</v>
      </c>
      <c r="Z10" s="425">
        <v>164</v>
      </c>
      <c r="AA10" s="425">
        <v>168</v>
      </c>
      <c r="AB10" s="425"/>
      <c r="AC10" s="425"/>
      <c r="AD10" s="426"/>
    </row>
    <row r="11" spans="1:30">
      <c r="A11" s="424">
        <v>0.3</v>
      </c>
      <c r="B11" s="425">
        <v>149</v>
      </c>
      <c r="C11" s="425">
        <v>151</v>
      </c>
      <c r="D11" s="425">
        <v>153</v>
      </c>
      <c r="E11" s="425">
        <v>155</v>
      </c>
      <c r="F11" s="425">
        <v>156</v>
      </c>
      <c r="G11" s="425">
        <v>157</v>
      </c>
      <c r="H11" s="425">
        <v>158</v>
      </c>
      <c r="I11" s="425">
        <v>159</v>
      </c>
      <c r="J11" s="426"/>
      <c r="K11" s="424">
        <v>0.3</v>
      </c>
      <c r="L11" s="425"/>
      <c r="M11" s="425"/>
      <c r="N11" s="425">
        <v>158</v>
      </c>
      <c r="O11" s="425">
        <v>160</v>
      </c>
      <c r="P11" s="425">
        <v>162</v>
      </c>
      <c r="Q11" s="425">
        <v>162</v>
      </c>
      <c r="R11" s="425">
        <v>163</v>
      </c>
      <c r="S11" s="425"/>
      <c r="T11" s="426"/>
      <c r="U11" s="424">
        <v>0.3</v>
      </c>
      <c r="V11" s="425"/>
      <c r="W11" s="425"/>
      <c r="X11" s="425">
        <v>160</v>
      </c>
      <c r="Y11" s="425">
        <v>164</v>
      </c>
      <c r="Z11" s="425">
        <v>168</v>
      </c>
      <c r="AA11" s="425">
        <v>172</v>
      </c>
      <c r="AB11" s="425">
        <v>176</v>
      </c>
      <c r="AC11" s="425"/>
      <c r="AD11" s="426"/>
    </row>
    <row r="12" spans="1:30">
      <c r="A12" s="424">
        <v>0.31</v>
      </c>
      <c r="B12" s="425">
        <v>154</v>
      </c>
      <c r="C12" s="425">
        <v>156</v>
      </c>
      <c r="D12" s="425">
        <v>157</v>
      </c>
      <c r="E12" s="425">
        <v>159</v>
      </c>
      <c r="F12" s="425">
        <v>160</v>
      </c>
      <c r="G12" s="425">
        <v>161</v>
      </c>
      <c r="H12" s="425">
        <v>162</v>
      </c>
      <c r="I12" s="425">
        <v>163</v>
      </c>
      <c r="J12" s="426">
        <v>164</v>
      </c>
      <c r="K12" s="424">
        <v>0.31</v>
      </c>
      <c r="L12" s="425"/>
      <c r="M12" s="425"/>
      <c r="N12" s="425">
        <v>163</v>
      </c>
      <c r="O12" s="425">
        <v>164</v>
      </c>
      <c r="P12" s="425">
        <v>166</v>
      </c>
      <c r="Q12" s="425">
        <v>166</v>
      </c>
      <c r="R12" s="425">
        <v>167</v>
      </c>
      <c r="S12" s="425">
        <v>167</v>
      </c>
      <c r="T12" s="426"/>
      <c r="U12" s="424">
        <v>0.31</v>
      </c>
      <c r="V12" s="425"/>
      <c r="W12" s="425"/>
      <c r="X12" s="425">
        <v>165</v>
      </c>
      <c r="Y12" s="425">
        <v>168</v>
      </c>
      <c r="Z12" s="425">
        <v>172</v>
      </c>
      <c r="AA12" s="425">
        <v>174</v>
      </c>
      <c r="AB12" s="425">
        <v>180</v>
      </c>
      <c r="AC12" s="425">
        <v>182</v>
      </c>
      <c r="AD12" s="426"/>
    </row>
    <row r="13" spans="1:30">
      <c r="A13" s="424">
        <v>0.32</v>
      </c>
      <c r="B13" s="425">
        <v>158</v>
      </c>
      <c r="C13" s="425">
        <v>160</v>
      </c>
      <c r="D13" s="425">
        <v>162</v>
      </c>
      <c r="E13" s="425">
        <v>163</v>
      </c>
      <c r="F13" s="425">
        <v>164</v>
      </c>
      <c r="G13" s="425">
        <v>166</v>
      </c>
      <c r="H13" s="425">
        <v>167</v>
      </c>
      <c r="I13" s="425">
        <v>168</v>
      </c>
      <c r="J13" s="426">
        <v>168</v>
      </c>
      <c r="K13" s="424">
        <v>0.32</v>
      </c>
      <c r="L13" s="425"/>
      <c r="M13" s="425"/>
      <c r="N13" s="425">
        <v>167</v>
      </c>
      <c r="O13" s="425">
        <v>169</v>
      </c>
      <c r="P13" s="425">
        <v>171</v>
      </c>
      <c r="Q13" s="425">
        <v>171</v>
      </c>
      <c r="R13" s="425">
        <v>171</v>
      </c>
      <c r="S13" s="425">
        <v>172</v>
      </c>
      <c r="T13" s="426">
        <v>172</v>
      </c>
      <c r="U13" s="424">
        <v>0.32</v>
      </c>
      <c r="V13" s="425"/>
      <c r="W13" s="425"/>
      <c r="X13" s="425">
        <v>169</v>
      </c>
      <c r="Y13" s="425">
        <v>173</v>
      </c>
      <c r="Z13" s="425">
        <v>177</v>
      </c>
      <c r="AA13" s="425">
        <v>181</v>
      </c>
      <c r="AB13" s="425">
        <v>184</v>
      </c>
      <c r="AC13" s="425">
        <v>186</v>
      </c>
      <c r="AD13" s="426">
        <v>188</v>
      </c>
    </row>
    <row r="14" spans="1:30">
      <c r="A14" s="424">
        <v>0.33</v>
      </c>
      <c r="B14" s="425">
        <v>163</v>
      </c>
      <c r="C14" s="425">
        <v>165</v>
      </c>
      <c r="D14" s="425">
        <v>166</v>
      </c>
      <c r="E14" s="425">
        <v>168</v>
      </c>
      <c r="F14" s="425">
        <v>169</v>
      </c>
      <c r="G14" s="425">
        <v>170</v>
      </c>
      <c r="H14" s="425">
        <v>171</v>
      </c>
      <c r="I14" s="425">
        <v>173</v>
      </c>
      <c r="J14" s="426">
        <v>173</v>
      </c>
      <c r="K14" s="424">
        <v>0.33</v>
      </c>
      <c r="L14" s="425"/>
      <c r="M14" s="425"/>
      <c r="N14" s="425">
        <v>171</v>
      </c>
      <c r="O14" s="425">
        <v>173</v>
      </c>
      <c r="P14" s="425">
        <v>175</v>
      </c>
      <c r="Q14" s="425">
        <v>176</v>
      </c>
      <c r="R14" s="425">
        <v>176</v>
      </c>
      <c r="S14" s="425">
        <v>176</v>
      </c>
      <c r="T14" s="426">
        <v>176</v>
      </c>
      <c r="U14" s="424">
        <v>0.33</v>
      </c>
      <c r="V14" s="425"/>
      <c r="W14" s="425"/>
      <c r="X14" s="425">
        <v>174</v>
      </c>
      <c r="Y14" s="425">
        <v>178</v>
      </c>
      <c r="Z14" s="425">
        <v>181</v>
      </c>
      <c r="AA14" s="425">
        <v>185</v>
      </c>
      <c r="AB14" s="425">
        <v>188</v>
      </c>
      <c r="AC14" s="425">
        <v>190</v>
      </c>
      <c r="AD14" s="426">
        <v>192</v>
      </c>
    </row>
    <row r="15" spans="1:30">
      <c r="A15" s="424">
        <v>0.34</v>
      </c>
      <c r="B15" s="425">
        <v>168</v>
      </c>
      <c r="C15" s="425">
        <v>170</v>
      </c>
      <c r="D15" s="425">
        <v>171</v>
      </c>
      <c r="E15" s="425">
        <v>172</v>
      </c>
      <c r="F15" s="425">
        <v>173</v>
      </c>
      <c r="G15" s="425">
        <v>174</v>
      </c>
      <c r="H15" s="425">
        <v>175</v>
      </c>
      <c r="I15" s="425">
        <v>176</v>
      </c>
      <c r="J15" s="426">
        <v>177</v>
      </c>
      <c r="K15" s="424">
        <v>0.34</v>
      </c>
      <c r="L15" s="425"/>
      <c r="M15" s="425"/>
      <c r="N15" s="425">
        <v>176</v>
      </c>
      <c r="O15" s="425">
        <v>178</v>
      </c>
      <c r="P15" s="425">
        <v>179</v>
      </c>
      <c r="Q15" s="425">
        <v>179</v>
      </c>
      <c r="R15" s="425">
        <v>180</v>
      </c>
      <c r="S15" s="425">
        <v>180</v>
      </c>
      <c r="T15" s="426">
        <v>180</v>
      </c>
      <c r="U15" s="424">
        <v>0.34</v>
      </c>
      <c r="V15" s="425"/>
      <c r="W15" s="425"/>
      <c r="X15" s="425">
        <v>179</v>
      </c>
      <c r="Y15" s="425">
        <v>183</v>
      </c>
      <c r="Z15" s="425">
        <v>186</v>
      </c>
      <c r="AA15" s="425">
        <v>190</v>
      </c>
      <c r="AB15" s="425">
        <v>193</v>
      </c>
      <c r="AC15" s="425">
        <v>195</v>
      </c>
      <c r="AD15" s="426">
        <v>196</v>
      </c>
    </row>
    <row r="16" spans="1:30">
      <c r="A16" s="424">
        <v>0.35</v>
      </c>
      <c r="B16" s="425"/>
      <c r="C16" s="425">
        <v>174</v>
      </c>
      <c r="D16" s="425">
        <v>175</v>
      </c>
      <c r="E16" s="425">
        <v>176</v>
      </c>
      <c r="F16" s="425">
        <v>177</v>
      </c>
      <c r="G16" s="425">
        <v>178</v>
      </c>
      <c r="H16" s="425">
        <v>179</v>
      </c>
      <c r="I16" s="425">
        <v>180</v>
      </c>
      <c r="J16" s="426">
        <v>181</v>
      </c>
      <c r="K16" s="424">
        <v>0.35</v>
      </c>
      <c r="L16" s="425"/>
      <c r="M16" s="425"/>
      <c r="N16" s="425">
        <v>180</v>
      </c>
      <c r="O16" s="425">
        <v>181</v>
      </c>
      <c r="P16" s="425">
        <v>183</v>
      </c>
      <c r="Q16" s="425">
        <v>183</v>
      </c>
      <c r="R16" s="425">
        <v>184</v>
      </c>
      <c r="S16" s="425">
        <v>185</v>
      </c>
      <c r="T16" s="426">
        <v>185</v>
      </c>
      <c r="U16" s="424">
        <v>0.35</v>
      </c>
      <c r="V16" s="425"/>
      <c r="W16" s="425"/>
      <c r="X16" s="425">
        <v>184</v>
      </c>
      <c r="Y16" s="425">
        <v>187</v>
      </c>
      <c r="Z16" s="425">
        <v>190</v>
      </c>
      <c r="AA16" s="425">
        <v>194</v>
      </c>
      <c r="AB16" s="425">
        <v>197</v>
      </c>
      <c r="AC16" s="425">
        <v>199</v>
      </c>
      <c r="AD16" s="426">
        <v>201</v>
      </c>
    </row>
    <row r="17" spans="1:30">
      <c r="A17" s="424">
        <v>0.36</v>
      </c>
      <c r="B17" s="425"/>
      <c r="C17" s="425"/>
      <c r="D17" s="425">
        <v>179</v>
      </c>
      <c r="E17" s="425">
        <v>181</v>
      </c>
      <c r="F17" s="425">
        <v>182</v>
      </c>
      <c r="G17" s="425">
        <v>183</v>
      </c>
      <c r="H17" s="425">
        <v>184</v>
      </c>
      <c r="I17" s="425">
        <v>185</v>
      </c>
      <c r="J17" s="426">
        <v>185</v>
      </c>
      <c r="K17" s="424">
        <v>0.36</v>
      </c>
      <c r="L17" s="425"/>
      <c r="M17" s="425"/>
      <c r="N17" s="425">
        <v>185</v>
      </c>
      <c r="O17" s="425">
        <v>186</v>
      </c>
      <c r="P17" s="425">
        <v>187</v>
      </c>
      <c r="Q17" s="425">
        <v>187</v>
      </c>
      <c r="R17" s="425">
        <v>188</v>
      </c>
      <c r="S17" s="425">
        <v>188</v>
      </c>
      <c r="T17" s="426">
        <v>189</v>
      </c>
      <c r="U17" s="424">
        <v>0.36</v>
      </c>
      <c r="V17" s="425"/>
      <c r="W17" s="425"/>
      <c r="X17" s="425">
        <v>189</v>
      </c>
      <c r="Y17" s="425">
        <v>192</v>
      </c>
      <c r="Z17" s="425">
        <v>195</v>
      </c>
      <c r="AA17" s="425">
        <v>198</v>
      </c>
      <c r="AB17" s="425">
        <v>201</v>
      </c>
      <c r="AC17" s="425">
        <v>204</v>
      </c>
      <c r="AD17" s="426">
        <v>205</v>
      </c>
    </row>
    <row r="18" spans="1:30">
      <c r="A18" s="424">
        <v>0.37</v>
      </c>
      <c r="B18" s="425"/>
      <c r="C18" s="425"/>
      <c r="D18" s="425"/>
      <c r="E18" s="425">
        <v>185</v>
      </c>
      <c r="F18" s="425">
        <v>186</v>
      </c>
      <c r="G18" s="425">
        <v>187</v>
      </c>
      <c r="H18" s="425">
        <v>188</v>
      </c>
      <c r="I18" s="425">
        <v>189</v>
      </c>
      <c r="J18" s="426">
        <v>190</v>
      </c>
      <c r="K18" s="424">
        <v>0.37</v>
      </c>
      <c r="L18" s="425"/>
      <c r="M18" s="425"/>
      <c r="N18" s="425">
        <v>189</v>
      </c>
      <c r="O18" s="425">
        <v>190</v>
      </c>
      <c r="P18" s="425">
        <v>191</v>
      </c>
      <c r="Q18" s="425">
        <v>191</v>
      </c>
      <c r="R18" s="425">
        <v>192</v>
      </c>
      <c r="S18" s="425">
        <v>193</v>
      </c>
      <c r="T18" s="426">
        <v>193</v>
      </c>
      <c r="U18" s="424">
        <v>0.37</v>
      </c>
      <c r="V18" s="425"/>
      <c r="W18" s="425"/>
      <c r="X18" s="425">
        <v>193</v>
      </c>
      <c r="Y18" s="425">
        <v>196</v>
      </c>
      <c r="Z18" s="425">
        <v>199</v>
      </c>
      <c r="AA18" s="425">
        <v>202</v>
      </c>
      <c r="AB18" s="425">
        <v>205</v>
      </c>
      <c r="AC18" s="425">
        <v>207</v>
      </c>
      <c r="AD18" s="426">
        <v>209</v>
      </c>
    </row>
    <row r="19" spans="1:30">
      <c r="A19" s="424">
        <v>0.38</v>
      </c>
      <c r="B19" s="425"/>
      <c r="C19" s="425"/>
      <c r="D19" s="425"/>
      <c r="E19" s="425"/>
      <c r="F19" s="425">
        <v>190</v>
      </c>
      <c r="G19" s="425">
        <v>191</v>
      </c>
      <c r="H19" s="425">
        <v>192</v>
      </c>
      <c r="I19" s="425">
        <v>193</v>
      </c>
      <c r="J19" s="426">
        <v>194</v>
      </c>
      <c r="K19" s="424">
        <v>0.38</v>
      </c>
      <c r="L19" s="425"/>
      <c r="M19" s="425"/>
      <c r="N19" s="425">
        <v>193</v>
      </c>
      <c r="O19" s="425">
        <v>194</v>
      </c>
      <c r="P19" s="425">
        <v>196</v>
      </c>
      <c r="Q19" s="425">
        <v>196</v>
      </c>
      <c r="R19" s="425">
        <v>197</v>
      </c>
      <c r="S19" s="425">
        <v>197</v>
      </c>
      <c r="T19" s="426">
        <v>197</v>
      </c>
      <c r="U19" s="424">
        <v>0.38</v>
      </c>
      <c r="V19" s="425"/>
      <c r="W19" s="425"/>
      <c r="X19" s="425">
        <v>198</v>
      </c>
      <c r="Y19" s="425">
        <v>201</v>
      </c>
      <c r="Z19" s="425">
        <v>204</v>
      </c>
      <c r="AA19" s="425">
        <v>207</v>
      </c>
      <c r="AB19" s="425">
        <v>209</v>
      </c>
      <c r="AC19" s="425">
        <v>211</v>
      </c>
      <c r="AD19" s="426">
        <v>213</v>
      </c>
    </row>
    <row r="20" spans="1:30">
      <c r="A20" s="424">
        <v>0.39</v>
      </c>
      <c r="B20" s="425"/>
      <c r="C20" s="425"/>
      <c r="D20" s="425"/>
      <c r="E20" s="425"/>
      <c r="F20" s="425"/>
      <c r="G20" s="425">
        <v>196</v>
      </c>
      <c r="H20" s="425">
        <v>197</v>
      </c>
      <c r="I20" s="425">
        <v>198</v>
      </c>
      <c r="J20" s="426">
        <v>198</v>
      </c>
      <c r="K20" s="424">
        <v>0.39</v>
      </c>
      <c r="L20" s="425"/>
      <c r="M20" s="425"/>
      <c r="N20" s="425">
        <v>198</v>
      </c>
      <c r="O20" s="425">
        <v>199</v>
      </c>
      <c r="P20" s="425">
        <v>200</v>
      </c>
      <c r="Q20" s="425">
        <v>200</v>
      </c>
      <c r="R20" s="425">
        <v>201</v>
      </c>
      <c r="S20" s="425">
        <v>201</v>
      </c>
      <c r="T20" s="426">
        <v>202</v>
      </c>
      <c r="U20" s="424">
        <v>0.39</v>
      </c>
      <c r="V20" s="425"/>
      <c r="W20" s="425"/>
      <c r="X20" s="425">
        <v>203</v>
      </c>
      <c r="Y20" s="425">
        <v>206</v>
      </c>
      <c r="Z20" s="425">
        <v>208</v>
      </c>
      <c r="AA20" s="425">
        <v>211</v>
      </c>
      <c r="AB20" s="425">
        <v>214</v>
      </c>
      <c r="AC20" s="425">
        <v>216</v>
      </c>
      <c r="AD20" s="426">
        <v>217</v>
      </c>
    </row>
    <row r="21" spans="1:30">
      <c r="A21" s="424">
        <v>0.4</v>
      </c>
      <c r="B21" s="425"/>
      <c r="C21" s="425"/>
      <c r="D21" s="425"/>
      <c r="E21" s="425"/>
      <c r="F21" s="425"/>
      <c r="G21" s="425"/>
      <c r="H21" s="425">
        <v>201</v>
      </c>
      <c r="I21" s="425">
        <v>202</v>
      </c>
      <c r="J21" s="426">
        <v>203</v>
      </c>
      <c r="K21" s="424">
        <v>0.4</v>
      </c>
      <c r="L21" s="425"/>
      <c r="M21" s="425"/>
      <c r="N21" s="425">
        <v>202</v>
      </c>
      <c r="O21" s="425">
        <v>203</v>
      </c>
      <c r="P21" s="425">
        <v>204</v>
      </c>
      <c r="Q21" s="425">
        <v>204</v>
      </c>
      <c r="R21" s="425">
        <v>205</v>
      </c>
      <c r="S21" s="425">
        <v>205</v>
      </c>
      <c r="T21" s="426">
        <v>206</v>
      </c>
      <c r="U21" s="424">
        <v>0.4</v>
      </c>
      <c r="V21" s="425"/>
      <c r="W21" s="425"/>
      <c r="X21" s="425">
        <v>208</v>
      </c>
      <c r="Y21" s="425">
        <v>211</v>
      </c>
      <c r="Z21" s="425">
        <v>213</v>
      </c>
      <c r="AA21" s="425">
        <v>216</v>
      </c>
      <c r="AB21" s="425">
        <v>218</v>
      </c>
      <c r="AC21" s="425">
        <v>220</v>
      </c>
      <c r="AD21" s="426">
        <v>221</v>
      </c>
    </row>
    <row r="22" spans="1:30">
      <c r="A22" s="424">
        <v>0.41</v>
      </c>
      <c r="B22" s="425"/>
      <c r="C22" s="425"/>
      <c r="D22" s="425"/>
      <c r="E22" s="425"/>
      <c r="F22" s="425"/>
      <c r="G22" s="425"/>
      <c r="H22" s="425"/>
      <c r="I22" s="425">
        <v>206</v>
      </c>
      <c r="J22" s="426">
        <v>207</v>
      </c>
      <c r="K22" s="424">
        <v>0.41</v>
      </c>
      <c r="L22" s="425"/>
      <c r="M22" s="425"/>
      <c r="N22" s="425">
        <v>206</v>
      </c>
      <c r="O22" s="425">
        <v>207</v>
      </c>
      <c r="P22" s="425">
        <v>208</v>
      </c>
      <c r="Q22" s="425">
        <v>208</v>
      </c>
      <c r="R22" s="425">
        <v>209</v>
      </c>
      <c r="S22" s="425">
        <v>209</v>
      </c>
      <c r="T22" s="426">
        <v>210</v>
      </c>
      <c r="U22" s="424">
        <v>0.41</v>
      </c>
      <c r="V22" s="425"/>
      <c r="W22" s="425"/>
      <c r="X22" s="425">
        <v>213</v>
      </c>
      <c r="Y22" s="425">
        <v>215</v>
      </c>
      <c r="Z22" s="425">
        <v>217</v>
      </c>
      <c r="AA22" s="425">
        <v>220</v>
      </c>
      <c r="AB22" s="425">
        <v>222</v>
      </c>
      <c r="AC22" s="425">
        <v>224</v>
      </c>
      <c r="AD22" s="426">
        <v>225</v>
      </c>
    </row>
    <row r="23" spans="1:30" ht="16.5" thickBot="1">
      <c r="A23" s="427">
        <v>0.42</v>
      </c>
      <c r="B23" s="428"/>
      <c r="C23" s="428"/>
      <c r="D23" s="428"/>
      <c r="E23" s="428"/>
      <c r="F23" s="428"/>
      <c r="G23" s="428"/>
      <c r="H23" s="428"/>
      <c r="I23" s="428"/>
      <c r="J23" s="429">
        <v>211</v>
      </c>
      <c r="K23" s="427">
        <v>0.42</v>
      </c>
      <c r="L23" s="428"/>
      <c r="M23" s="428"/>
      <c r="N23" s="428">
        <v>211</v>
      </c>
      <c r="O23" s="428">
        <v>211</v>
      </c>
      <c r="P23" s="428">
        <v>212</v>
      </c>
      <c r="Q23" s="428">
        <v>212</v>
      </c>
      <c r="R23" s="428">
        <v>213</v>
      </c>
      <c r="S23" s="428">
        <v>213</v>
      </c>
      <c r="T23" s="429">
        <v>214</v>
      </c>
      <c r="U23" s="427">
        <v>0.42</v>
      </c>
      <c r="V23" s="428"/>
      <c r="W23" s="428"/>
      <c r="X23" s="428">
        <v>218</v>
      </c>
      <c r="Y23" s="428">
        <v>220</v>
      </c>
      <c r="Z23" s="428">
        <v>222</v>
      </c>
      <c r="AA23" s="428">
        <v>224</v>
      </c>
      <c r="AB23" s="428">
        <v>226</v>
      </c>
      <c r="AC23" s="428">
        <v>228</v>
      </c>
      <c r="AD23" s="429">
        <v>229</v>
      </c>
    </row>
    <row r="24" spans="1:30" ht="16.5" thickTop="1"/>
    <row r="25" spans="1:30" ht="16.5" thickBot="1">
      <c r="A25" t="s">
        <v>595</v>
      </c>
      <c r="N25" t="s">
        <v>596</v>
      </c>
    </row>
    <row r="26" spans="1:30" ht="16.5" thickTop="1">
      <c r="A26" s="421"/>
      <c r="B26" s="704" t="s">
        <v>49</v>
      </c>
      <c r="C26" s="704"/>
      <c r="D26" s="704"/>
      <c r="E26" s="704"/>
      <c r="F26" s="704"/>
      <c r="G26" s="704"/>
      <c r="H26" s="704"/>
      <c r="I26" s="704"/>
      <c r="J26" s="704"/>
      <c r="K26" s="704"/>
      <c r="L26" s="704"/>
      <c r="M26" s="705"/>
      <c r="N26" s="421"/>
      <c r="O26" s="704" t="s">
        <v>49</v>
      </c>
      <c r="P26" s="704"/>
      <c r="Q26" s="704"/>
      <c r="R26" s="704"/>
      <c r="S26" s="704"/>
      <c r="T26" s="704"/>
      <c r="U26" s="704"/>
      <c r="V26" s="704"/>
      <c r="W26" s="704"/>
      <c r="X26" s="704"/>
      <c r="Y26" s="704"/>
      <c r="Z26" s="704"/>
      <c r="AA26" s="705"/>
    </row>
    <row r="27" spans="1:30">
      <c r="A27" s="424" t="s">
        <v>342</v>
      </c>
      <c r="B27" s="425">
        <v>22</v>
      </c>
      <c r="C27" s="425">
        <v>23</v>
      </c>
      <c r="D27" s="425">
        <v>24</v>
      </c>
      <c r="E27" s="425">
        <v>25</v>
      </c>
      <c r="F27" s="425">
        <v>26</v>
      </c>
      <c r="G27" s="425">
        <v>27</v>
      </c>
      <c r="H27" s="425">
        <v>28</v>
      </c>
      <c r="I27" s="425">
        <v>29</v>
      </c>
      <c r="J27" s="425">
        <v>30</v>
      </c>
      <c r="K27" s="425">
        <v>31</v>
      </c>
      <c r="L27" s="425">
        <v>32</v>
      </c>
      <c r="M27" s="426">
        <v>33</v>
      </c>
      <c r="N27" s="424" t="s">
        <v>342</v>
      </c>
      <c r="O27" s="425">
        <v>27</v>
      </c>
      <c r="P27" s="425">
        <v>28</v>
      </c>
      <c r="Q27" s="425">
        <v>29</v>
      </c>
      <c r="R27" s="425">
        <v>30</v>
      </c>
      <c r="S27" s="425">
        <v>31</v>
      </c>
      <c r="T27" s="425">
        <v>32</v>
      </c>
      <c r="U27" s="425">
        <v>33</v>
      </c>
      <c r="V27" s="425">
        <v>34</v>
      </c>
      <c r="W27" s="425">
        <v>35</v>
      </c>
      <c r="X27" s="425">
        <v>36</v>
      </c>
      <c r="Y27" s="425">
        <v>37</v>
      </c>
      <c r="Z27" s="425">
        <v>38</v>
      </c>
      <c r="AA27" s="426">
        <v>39</v>
      </c>
    </row>
    <row r="28" spans="1:30">
      <c r="A28" s="424">
        <v>0.3</v>
      </c>
      <c r="B28" s="425">
        <v>152</v>
      </c>
      <c r="C28" s="425">
        <v>157</v>
      </c>
      <c r="D28" s="425">
        <v>163</v>
      </c>
      <c r="E28" s="425">
        <v>166</v>
      </c>
      <c r="F28" s="425">
        <v>170</v>
      </c>
      <c r="G28" s="425">
        <v>173</v>
      </c>
      <c r="H28" s="425">
        <v>175</v>
      </c>
      <c r="I28" s="425">
        <v>177</v>
      </c>
      <c r="J28" s="425">
        <v>179</v>
      </c>
      <c r="K28" s="425">
        <v>182</v>
      </c>
      <c r="L28" s="425">
        <v>184</v>
      </c>
      <c r="M28" s="426">
        <v>187</v>
      </c>
      <c r="N28" s="424">
        <v>0.4</v>
      </c>
      <c r="O28" s="425">
        <v>222</v>
      </c>
      <c r="P28" s="425">
        <v>226</v>
      </c>
      <c r="Q28" s="425">
        <v>229</v>
      </c>
      <c r="R28" s="425">
        <v>231</v>
      </c>
      <c r="S28" s="425">
        <v>234</v>
      </c>
      <c r="T28" s="425">
        <v>236</v>
      </c>
      <c r="U28" s="425">
        <v>239</v>
      </c>
      <c r="V28" s="425">
        <v>241</v>
      </c>
      <c r="W28" s="425">
        <v>244</v>
      </c>
      <c r="X28" s="425">
        <v>246</v>
      </c>
      <c r="Y28" s="425">
        <v>248</v>
      </c>
      <c r="Z28" s="425">
        <v>250</v>
      </c>
      <c r="AA28" s="426">
        <v>252</v>
      </c>
    </row>
    <row r="29" spans="1:30">
      <c r="A29" s="424">
        <v>0.32500000000000001</v>
      </c>
      <c r="B29" s="425">
        <v>163</v>
      </c>
      <c r="C29" s="425">
        <v>169</v>
      </c>
      <c r="D29" s="425">
        <v>174</v>
      </c>
      <c r="E29" s="425">
        <v>177</v>
      </c>
      <c r="F29" s="425">
        <v>181</v>
      </c>
      <c r="G29" s="425">
        <v>183</v>
      </c>
      <c r="H29" s="425">
        <v>186</v>
      </c>
      <c r="I29" s="425">
        <v>188</v>
      </c>
      <c r="J29" s="425">
        <v>190</v>
      </c>
      <c r="K29" s="425">
        <v>192</v>
      </c>
      <c r="L29" s="425">
        <v>195</v>
      </c>
      <c r="M29" s="426">
        <v>197</v>
      </c>
      <c r="N29" s="424">
        <v>0.42499999999999999</v>
      </c>
      <c r="O29" s="425">
        <v>233</v>
      </c>
      <c r="P29" s="425">
        <v>236</v>
      </c>
      <c r="Q29" s="425">
        <v>239</v>
      </c>
      <c r="R29" s="425">
        <v>242</v>
      </c>
      <c r="S29" s="425">
        <v>244</v>
      </c>
      <c r="T29" s="425">
        <v>246</v>
      </c>
      <c r="U29" s="425">
        <v>248</v>
      </c>
      <c r="V29" s="425">
        <v>251</v>
      </c>
      <c r="W29" s="425">
        <v>253</v>
      </c>
      <c r="X29" s="425">
        <v>256</v>
      </c>
      <c r="Y29" s="425">
        <v>258</v>
      </c>
      <c r="Z29" s="425">
        <v>260</v>
      </c>
      <c r="AA29" s="426">
        <v>262</v>
      </c>
    </row>
    <row r="30" spans="1:30">
      <c r="A30" s="424">
        <v>0.35</v>
      </c>
      <c r="B30" s="425">
        <v>175</v>
      </c>
      <c r="C30" s="425">
        <v>180</v>
      </c>
      <c r="D30" s="425">
        <v>185</v>
      </c>
      <c r="E30" s="425">
        <v>188</v>
      </c>
      <c r="F30" s="425">
        <v>191</v>
      </c>
      <c r="G30" s="425">
        <v>194</v>
      </c>
      <c r="H30" s="425">
        <v>196</v>
      </c>
      <c r="I30" s="425">
        <v>198</v>
      </c>
      <c r="J30" s="425">
        <v>200</v>
      </c>
      <c r="K30" s="425">
        <v>202</v>
      </c>
      <c r="L30" s="425">
        <v>205</v>
      </c>
      <c r="M30" s="426">
        <v>207</v>
      </c>
      <c r="N30" s="424">
        <v>0.45</v>
      </c>
      <c r="O30" s="425">
        <v>244</v>
      </c>
      <c r="P30" s="425">
        <v>247</v>
      </c>
      <c r="Q30" s="425">
        <v>249</v>
      </c>
      <c r="R30" s="425">
        <v>252</v>
      </c>
      <c r="S30" s="425">
        <v>254</v>
      </c>
      <c r="T30" s="425">
        <v>256</v>
      </c>
      <c r="U30" s="425">
        <v>258</v>
      </c>
      <c r="V30" s="425">
        <v>260</v>
      </c>
      <c r="W30" s="425">
        <v>263</v>
      </c>
      <c r="X30" s="425">
        <v>265</v>
      </c>
      <c r="Y30" s="425">
        <v>267</v>
      </c>
      <c r="Z30" s="425">
        <v>269</v>
      </c>
      <c r="AA30" s="426">
        <v>271</v>
      </c>
    </row>
    <row r="31" spans="1:30">
      <c r="A31" s="424">
        <v>0.375</v>
      </c>
      <c r="B31" s="425">
        <v>186</v>
      </c>
      <c r="C31" s="425">
        <v>191</v>
      </c>
      <c r="D31" s="425">
        <v>196</v>
      </c>
      <c r="E31" s="425">
        <v>199</v>
      </c>
      <c r="F31" s="425">
        <v>202</v>
      </c>
      <c r="G31" s="425">
        <v>205</v>
      </c>
      <c r="H31" s="425">
        <v>207</v>
      </c>
      <c r="I31" s="425">
        <v>209</v>
      </c>
      <c r="J31" s="425">
        <v>211</v>
      </c>
      <c r="K31" s="425">
        <v>213</v>
      </c>
      <c r="L31" s="425">
        <v>215</v>
      </c>
      <c r="M31" s="426">
        <v>218</v>
      </c>
      <c r="N31" s="424">
        <v>0.47499999999999998</v>
      </c>
      <c r="O31" s="425">
        <v>254</v>
      </c>
      <c r="P31" s="425">
        <v>257</v>
      </c>
      <c r="Q31" s="425">
        <v>260</v>
      </c>
      <c r="R31" s="425">
        <v>262</v>
      </c>
      <c r="S31" s="425">
        <v>264</v>
      </c>
      <c r="T31" s="425">
        <v>266</v>
      </c>
      <c r="U31" s="425">
        <v>268</v>
      </c>
      <c r="V31" s="425">
        <v>270</v>
      </c>
      <c r="W31" s="425">
        <v>273</v>
      </c>
      <c r="X31" s="425">
        <v>275</v>
      </c>
      <c r="Y31" s="425">
        <v>277</v>
      </c>
      <c r="Z31" s="425">
        <v>279</v>
      </c>
      <c r="AA31" s="426">
        <v>281</v>
      </c>
    </row>
    <row r="32" spans="1:30">
      <c r="A32" s="424">
        <v>0.4</v>
      </c>
      <c r="B32" s="425">
        <v>198</v>
      </c>
      <c r="C32" s="425">
        <v>203</v>
      </c>
      <c r="D32" s="425">
        <v>207</v>
      </c>
      <c r="E32" s="425">
        <v>210</v>
      </c>
      <c r="F32" s="425">
        <v>213</v>
      </c>
      <c r="G32" s="425">
        <v>215</v>
      </c>
      <c r="H32" s="425">
        <v>217</v>
      </c>
      <c r="I32" s="425">
        <v>219</v>
      </c>
      <c r="J32" s="425">
        <v>221</v>
      </c>
      <c r="K32" s="425">
        <v>223</v>
      </c>
      <c r="L32" s="425">
        <v>226</v>
      </c>
      <c r="M32" s="426">
        <v>228</v>
      </c>
      <c r="N32" s="424">
        <v>0.5</v>
      </c>
      <c r="O32" s="425">
        <v>265</v>
      </c>
      <c r="P32" s="425">
        <v>267</v>
      </c>
      <c r="Q32" s="425">
        <v>270</v>
      </c>
      <c r="R32" s="425">
        <v>272</v>
      </c>
      <c r="S32" s="425">
        <v>274</v>
      </c>
      <c r="T32" s="425">
        <v>276</v>
      </c>
      <c r="U32" s="425">
        <v>278</v>
      </c>
      <c r="V32" s="425">
        <v>280</v>
      </c>
      <c r="W32" s="425">
        <v>282</v>
      </c>
      <c r="X32" s="425">
        <v>284</v>
      </c>
      <c r="Y32" s="425">
        <v>286</v>
      </c>
      <c r="Z32" s="425">
        <v>288</v>
      </c>
      <c r="AA32" s="426">
        <v>290</v>
      </c>
    </row>
    <row r="33" spans="1:27">
      <c r="A33" s="424">
        <v>0.42499999999999999</v>
      </c>
      <c r="B33" s="425">
        <v>209</v>
      </c>
      <c r="C33" s="425">
        <v>214</v>
      </c>
      <c r="D33" s="425">
        <v>218</v>
      </c>
      <c r="E33" s="425">
        <v>221</v>
      </c>
      <c r="F33" s="425">
        <v>224</v>
      </c>
      <c r="G33" s="425">
        <v>226</v>
      </c>
      <c r="H33" s="425">
        <v>228</v>
      </c>
      <c r="I33" s="425">
        <v>230</v>
      </c>
      <c r="J33" s="425">
        <v>232</v>
      </c>
      <c r="K33" s="425">
        <v>234</v>
      </c>
      <c r="L33" s="425">
        <v>236</v>
      </c>
      <c r="M33" s="426">
        <v>238</v>
      </c>
      <c r="N33" s="424">
        <v>0.52500000000000002</v>
      </c>
      <c r="O33" s="425">
        <v>275</v>
      </c>
      <c r="P33" s="425">
        <v>278</v>
      </c>
      <c r="Q33" s="425">
        <v>280</v>
      </c>
      <c r="R33" s="425">
        <v>282</v>
      </c>
      <c r="S33" s="425">
        <v>284</v>
      </c>
      <c r="T33" s="425">
        <v>286</v>
      </c>
      <c r="U33" s="425">
        <v>288</v>
      </c>
      <c r="V33" s="425">
        <v>290</v>
      </c>
      <c r="W33" s="425">
        <v>292</v>
      </c>
      <c r="X33" s="425">
        <v>294</v>
      </c>
      <c r="Y33" s="425">
        <v>296</v>
      </c>
      <c r="Z33" s="425">
        <v>298</v>
      </c>
      <c r="AA33" s="426">
        <v>300</v>
      </c>
    </row>
    <row r="34" spans="1:27">
      <c r="A34" s="424">
        <v>0.45</v>
      </c>
      <c r="B34" s="425">
        <v>221</v>
      </c>
      <c r="C34" s="425">
        <v>226</v>
      </c>
      <c r="D34" s="425">
        <v>230</v>
      </c>
      <c r="E34" s="425">
        <v>232</v>
      </c>
      <c r="F34" s="425">
        <v>235</v>
      </c>
      <c r="G34" s="425">
        <v>237</v>
      </c>
      <c r="H34" s="425">
        <v>238</v>
      </c>
      <c r="I34" s="425">
        <v>240</v>
      </c>
      <c r="J34" s="425">
        <v>242</v>
      </c>
      <c r="K34" s="425">
        <v>244</v>
      </c>
      <c r="L34" s="425">
        <v>246</v>
      </c>
      <c r="M34" s="426">
        <v>248</v>
      </c>
      <c r="N34" s="424">
        <v>0.55000000000000004</v>
      </c>
      <c r="O34" s="425">
        <v>286</v>
      </c>
      <c r="P34" s="425">
        <v>288</v>
      </c>
      <c r="Q34" s="425">
        <v>290</v>
      </c>
      <c r="R34" s="425">
        <v>292</v>
      </c>
      <c r="S34" s="425">
        <v>294</v>
      </c>
      <c r="T34" s="425">
        <v>296</v>
      </c>
      <c r="U34" s="425">
        <v>298</v>
      </c>
      <c r="V34" s="425">
        <v>299</v>
      </c>
      <c r="W34" s="425">
        <v>301</v>
      </c>
      <c r="X34" s="425">
        <v>303</v>
      </c>
      <c r="Y34" s="425">
        <v>305</v>
      </c>
      <c r="Z34" s="425">
        <v>307</v>
      </c>
      <c r="AA34" s="426">
        <v>309</v>
      </c>
    </row>
    <row r="35" spans="1:27">
      <c r="A35" s="424">
        <v>0.47499999999999998</v>
      </c>
      <c r="B35" s="425">
        <v>233</v>
      </c>
      <c r="C35" s="425">
        <v>237</v>
      </c>
      <c r="D35" s="425">
        <v>241</v>
      </c>
      <c r="E35" s="425">
        <v>243</v>
      </c>
      <c r="F35" s="425">
        <v>245</v>
      </c>
      <c r="G35" s="425">
        <v>247</v>
      </c>
      <c r="H35" s="425">
        <v>249</v>
      </c>
      <c r="I35" s="425">
        <v>251</v>
      </c>
      <c r="J35" s="425">
        <v>253</v>
      </c>
      <c r="K35" s="425">
        <v>254</v>
      </c>
      <c r="L35" s="425">
        <v>256</v>
      </c>
      <c r="M35" s="426">
        <v>258</v>
      </c>
      <c r="N35" s="424">
        <v>0.57499999999999996</v>
      </c>
      <c r="O35" s="425">
        <v>296</v>
      </c>
      <c r="P35" s="425">
        <v>298</v>
      </c>
      <c r="Q35" s="425">
        <v>3090</v>
      </c>
      <c r="R35" s="425">
        <v>302</v>
      </c>
      <c r="S35" s="425">
        <v>304</v>
      </c>
      <c r="T35" s="425">
        <v>305</v>
      </c>
      <c r="U35" s="425">
        <v>307</v>
      </c>
      <c r="V35" s="425">
        <v>309</v>
      </c>
      <c r="W35" s="425">
        <v>311</v>
      </c>
      <c r="X35" s="425">
        <v>313</v>
      </c>
      <c r="Y35" s="425">
        <v>315</v>
      </c>
      <c r="Z35" s="425">
        <v>317</v>
      </c>
      <c r="AA35" s="426">
        <v>318</v>
      </c>
    </row>
    <row r="36" spans="1:27">
      <c r="A36" s="424">
        <v>0.5</v>
      </c>
      <c r="B36" s="425">
        <v>244</v>
      </c>
      <c r="C36" s="425">
        <v>248</v>
      </c>
      <c r="D36" s="425">
        <v>252</v>
      </c>
      <c r="E36" s="425">
        <v>254</v>
      </c>
      <c r="F36" s="425">
        <v>256</v>
      </c>
      <c r="G36" s="425">
        <v>258</v>
      </c>
      <c r="H36" s="425">
        <v>260</v>
      </c>
      <c r="I36" s="425">
        <v>261</v>
      </c>
      <c r="J36" s="425">
        <v>263</v>
      </c>
      <c r="K36" s="425">
        <v>265</v>
      </c>
      <c r="L36" s="425">
        <v>267</v>
      </c>
      <c r="M36" s="426">
        <v>269</v>
      </c>
      <c r="N36" s="424">
        <v>0.6</v>
      </c>
      <c r="O36" s="425">
        <v>306</v>
      </c>
      <c r="P36" s="425">
        <v>308</v>
      </c>
      <c r="Q36" s="425">
        <v>310</v>
      </c>
      <c r="R36" s="425">
        <v>312</v>
      </c>
      <c r="S36" s="425">
        <v>313</v>
      </c>
      <c r="T36" s="425">
        <v>315</v>
      </c>
      <c r="U36" s="425">
        <v>317</v>
      </c>
      <c r="V36" s="425">
        <v>319</v>
      </c>
      <c r="W36" s="425">
        <v>320</v>
      </c>
      <c r="X36" s="425">
        <v>322</v>
      </c>
      <c r="Y36" s="425">
        <v>324</v>
      </c>
      <c r="Z36" s="425">
        <v>326</v>
      </c>
      <c r="AA36" s="426">
        <v>328</v>
      </c>
    </row>
    <row r="37" spans="1:27">
      <c r="A37" s="424">
        <v>0.52500000000000002</v>
      </c>
      <c r="B37" s="425">
        <v>256</v>
      </c>
      <c r="C37" s="425">
        <v>260</v>
      </c>
      <c r="D37" s="425">
        <v>263</v>
      </c>
      <c r="E37" s="425">
        <v>265</v>
      </c>
      <c r="F37" s="425">
        <v>267</v>
      </c>
      <c r="G37" s="425">
        <v>269</v>
      </c>
      <c r="H37" s="425">
        <v>270</v>
      </c>
      <c r="I37" s="425">
        <v>272</v>
      </c>
      <c r="J37" s="425">
        <v>273</v>
      </c>
      <c r="K37" s="425">
        <v>275</v>
      </c>
      <c r="L37" s="425">
        <v>277</v>
      </c>
      <c r="M37" s="426">
        <v>279</v>
      </c>
      <c r="N37" s="424">
        <v>0.625</v>
      </c>
      <c r="O37" s="425">
        <v>316</v>
      </c>
      <c r="P37" s="425">
        <v>318</v>
      </c>
      <c r="Q37" s="425">
        <v>320</v>
      </c>
      <c r="R37" s="425">
        <v>322</v>
      </c>
      <c r="S37" s="425">
        <v>323</v>
      </c>
      <c r="T37" s="425">
        <v>325</v>
      </c>
      <c r="U37" s="425">
        <v>326</v>
      </c>
      <c r="V37" s="425">
        <v>328</v>
      </c>
      <c r="W37" s="425">
        <v>330</v>
      </c>
      <c r="X37" s="425">
        <v>332</v>
      </c>
      <c r="Y37" s="425">
        <v>333</v>
      </c>
      <c r="Z37" s="425">
        <v>335</v>
      </c>
      <c r="AA37" s="426">
        <v>337</v>
      </c>
    </row>
    <row r="38" spans="1:27">
      <c r="A38" s="424">
        <v>0.55000000000000004</v>
      </c>
      <c r="B38" s="425">
        <v>267</v>
      </c>
      <c r="C38" s="425">
        <v>271</v>
      </c>
      <c r="D38" s="425">
        <v>274</v>
      </c>
      <c r="E38" s="425">
        <v>276</v>
      </c>
      <c r="F38" s="425">
        <v>278</v>
      </c>
      <c r="G38" s="425">
        <v>279</v>
      </c>
      <c r="H38" s="425">
        <v>281</v>
      </c>
      <c r="I38" s="425">
        <v>282</v>
      </c>
      <c r="J38" s="425">
        <v>284</v>
      </c>
      <c r="K38" s="425">
        <v>285</v>
      </c>
      <c r="L38" s="425">
        <v>287</v>
      </c>
      <c r="M38" s="426">
        <v>289</v>
      </c>
      <c r="N38" s="424">
        <v>0.65</v>
      </c>
      <c r="O38" s="425">
        <v>326</v>
      </c>
      <c r="P38" s="425">
        <v>328</v>
      </c>
      <c r="Q38" s="425">
        <v>330</v>
      </c>
      <c r="R38" s="425">
        <v>331</v>
      </c>
      <c r="S38" s="425">
        <v>333</v>
      </c>
      <c r="T38" s="425">
        <v>334</v>
      </c>
      <c r="U38" s="425">
        <v>336</v>
      </c>
      <c r="V38" s="425">
        <v>338</v>
      </c>
      <c r="W38" s="425">
        <v>339</v>
      </c>
      <c r="X38" s="425">
        <v>341</v>
      </c>
      <c r="Y38" s="425">
        <v>343</v>
      </c>
      <c r="Z38" s="425">
        <v>344</v>
      </c>
      <c r="AA38" s="426">
        <v>346</v>
      </c>
    </row>
    <row r="39" spans="1:27">
      <c r="A39" s="424">
        <v>0.57499999999999996</v>
      </c>
      <c r="B39" s="425">
        <v>279</v>
      </c>
      <c r="C39" s="425">
        <v>282</v>
      </c>
      <c r="D39" s="425">
        <v>285</v>
      </c>
      <c r="E39" s="425">
        <v>287</v>
      </c>
      <c r="F39" s="425">
        <v>288</v>
      </c>
      <c r="G39" s="425">
        <v>290</v>
      </c>
      <c r="H39" s="425">
        <v>291</v>
      </c>
      <c r="I39" s="425">
        <v>292</v>
      </c>
      <c r="J39" s="425">
        <v>294</v>
      </c>
      <c r="K39" s="425">
        <v>296</v>
      </c>
      <c r="L39" s="425">
        <v>297</v>
      </c>
      <c r="M39" s="426">
        <v>299</v>
      </c>
      <c r="N39" s="424">
        <v>0.67500000000000004</v>
      </c>
      <c r="O39" s="425">
        <v>336</v>
      </c>
      <c r="P39" s="425">
        <v>338</v>
      </c>
      <c r="Q39" s="425">
        <v>339</v>
      </c>
      <c r="R39" s="425">
        <v>341</v>
      </c>
      <c r="S39" s="425">
        <v>342</v>
      </c>
      <c r="T39" s="425">
        <v>344</v>
      </c>
      <c r="U39" s="425">
        <v>345</v>
      </c>
      <c r="V39" s="425">
        <v>347</v>
      </c>
      <c r="W39" s="425">
        <v>349</v>
      </c>
      <c r="X39" s="425">
        <v>350</v>
      </c>
      <c r="Y39" s="425">
        <v>352</v>
      </c>
      <c r="Z39" s="425">
        <v>354</v>
      </c>
      <c r="AA39" s="426">
        <v>355</v>
      </c>
    </row>
    <row r="40" spans="1:27">
      <c r="A40" s="424">
        <v>0.6</v>
      </c>
      <c r="B40" s="425">
        <v>290</v>
      </c>
      <c r="C40" s="425">
        <v>293</v>
      </c>
      <c r="D40" s="425">
        <v>296</v>
      </c>
      <c r="E40" s="425">
        <v>297</v>
      </c>
      <c r="F40" s="425">
        <v>299</v>
      </c>
      <c r="G40" s="425">
        <v>300</v>
      </c>
      <c r="H40" s="425">
        <v>301</v>
      </c>
      <c r="I40" s="425">
        <v>303</v>
      </c>
      <c r="J40" s="425">
        <v>304</v>
      </c>
      <c r="K40" s="425">
        <v>306</v>
      </c>
      <c r="L40" s="425">
        <v>308</v>
      </c>
      <c r="M40" s="426">
        <v>310</v>
      </c>
      <c r="N40" s="424">
        <v>0.7</v>
      </c>
      <c r="O40" s="425">
        <v>346</v>
      </c>
      <c r="P40" s="425">
        <v>348</v>
      </c>
      <c r="Q40" s="425">
        <v>349</v>
      </c>
      <c r="R40" s="425">
        <v>350</v>
      </c>
      <c r="S40" s="425">
        <v>352</v>
      </c>
      <c r="T40" s="425">
        <v>353</v>
      </c>
      <c r="U40" s="425">
        <v>355</v>
      </c>
      <c r="V40" s="425">
        <v>356</v>
      </c>
      <c r="W40" s="425">
        <v>358</v>
      </c>
      <c r="X40" s="425">
        <v>359</v>
      </c>
      <c r="Y40" s="425">
        <v>361</v>
      </c>
      <c r="Z40" s="425">
        <v>363</v>
      </c>
      <c r="AA40" s="426">
        <v>364</v>
      </c>
    </row>
    <row r="41" spans="1:27">
      <c r="A41" s="424">
        <v>0.625</v>
      </c>
      <c r="B41" s="425">
        <v>301</v>
      </c>
      <c r="C41" s="425">
        <v>304</v>
      </c>
      <c r="D41" s="425">
        <v>306</v>
      </c>
      <c r="E41" s="425">
        <v>308</v>
      </c>
      <c r="F41" s="425">
        <v>309</v>
      </c>
      <c r="G41" s="425">
        <v>310</v>
      </c>
      <c r="H41" s="425">
        <v>312</v>
      </c>
      <c r="I41" s="425">
        <v>313</v>
      </c>
      <c r="J41" s="425">
        <v>315</v>
      </c>
      <c r="K41" s="425">
        <v>316</v>
      </c>
      <c r="L41" s="425">
        <v>318</v>
      </c>
      <c r="M41" s="426">
        <v>320</v>
      </c>
      <c r="N41" s="424">
        <v>0.72499999999999998</v>
      </c>
      <c r="O41" s="425">
        <v>356</v>
      </c>
      <c r="P41" s="425">
        <v>357</v>
      </c>
      <c r="Q41" s="425">
        <v>358</v>
      </c>
      <c r="R41" s="425">
        <v>360</v>
      </c>
      <c r="S41" s="425">
        <v>361</v>
      </c>
      <c r="T41" s="425">
        <v>362</v>
      </c>
      <c r="U41" s="425">
        <v>364</v>
      </c>
      <c r="V41" s="425">
        <v>365</v>
      </c>
      <c r="W41" s="425">
        <v>367</v>
      </c>
      <c r="X41" s="425">
        <v>368</v>
      </c>
      <c r="Y41" s="425">
        <v>370</v>
      </c>
      <c r="Z41" s="425">
        <v>372</v>
      </c>
      <c r="AA41" s="426">
        <v>373</v>
      </c>
    </row>
    <row r="42" spans="1:27">
      <c r="A42" s="424">
        <v>0.65</v>
      </c>
      <c r="B42" s="425">
        <v>312</v>
      </c>
      <c r="C42" s="425">
        <v>314</v>
      </c>
      <c r="D42" s="425">
        <v>317</v>
      </c>
      <c r="E42" s="425">
        <v>318</v>
      </c>
      <c r="F42" s="425">
        <v>320</v>
      </c>
      <c r="G42" s="425">
        <v>321</v>
      </c>
      <c r="H42" s="425">
        <v>322</v>
      </c>
      <c r="I42" s="425">
        <v>323</v>
      </c>
      <c r="J42" s="425">
        <v>325</v>
      </c>
      <c r="K42" s="425">
        <v>326</v>
      </c>
      <c r="L42" s="425">
        <v>328</v>
      </c>
      <c r="M42" s="426">
        <v>330</v>
      </c>
      <c r="N42" s="424">
        <v>0.75</v>
      </c>
      <c r="O42" s="425">
        <v>365</v>
      </c>
      <c r="P42" s="425">
        <v>367</v>
      </c>
      <c r="Q42" s="425">
        <v>368</v>
      </c>
      <c r="R42" s="425">
        <v>369</v>
      </c>
      <c r="S42" s="425">
        <v>370</v>
      </c>
      <c r="T42" s="425">
        <v>372</v>
      </c>
      <c r="U42" s="425">
        <v>373</v>
      </c>
      <c r="V42" s="425">
        <v>375</v>
      </c>
      <c r="W42" s="425">
        <v>376</v>
      </c>
      <c r="X42" s="425">
        <v>378</v>
      </c>
      <c r="Y42" s="425">
        <v>379</v>
      </c>
      <c r="Z42" s="425">
        <v>381</v>
      </c>
      <c r="AA42" s="426">
        <v>382</v>
      </c>
    </row>
    <row r="43" spans="1:27">
      <c r="A43" s="424">
        <v>0.67500000000000004</v>
      </c>
      <c r="B43" s="425">
        <v>322</v>
      </c>
      <c r="C43" s="425">
        <v>325</v>
      </c>
      <c r="D43" s="425">
        <v>327</v>
      </c>
      <c r="E43" s="425">
        <v>328</v>
      </c>
      <c r="F43" s="425">
        <v>330</v>
      </c>
      <c r="G43" s="425">
        <v>331</v>
      </c>
      <c r="H43" s="425">
        <v>333</v>
      </c>
      <c r="I43" s="425">
        <v>333</v>
      </c>
      <c r="J43" s="425">
        <v>335</v>
      </c>
      <c r="K43" s="425">
        <v>336</v>
      </c>
      <c r="L43" s="425">
        <v>338</v>
      </c>
      <c r="M43" s="426">
        <v>340</v>
      </c>
      <c r="N43" s="424">
        <v>0.77500000000000002</v>
      </c>
      <c r="O43" s="425">
        <v>374</v>
      </c>
      <c r="P43" s="425">
        <v>376</v>
      </c>
      <c r="Q43" s="425">
        <v>377</v>
      </c>
      <c r="R43" s="425">
        <v>378</v>
      </c>
      <c r="S43" s="425">
        <v>379</v>
      </c>
      <c r="T43" s="425">
        <v>381</v>
      </c>
      <c r="U43" s="425">
        <v>382</v>
      </c>
      <c r="V43" s="425">
        <v>383</v>
      </c>
      <c r="W43" s="425">
        <v>385</v>
      </c>
      <c r="X43" s="425">
        <v>386</v>
      </c>
      <c r="Y43" s="425">
        <v>388</v>
      </c>
      <c r="Z43" s="425">
        <v>390</v>
      </c>
      <c r="AA43" s="426">
        <v>391</v>
      </c>
    </row>
    <row r="44" spans="1:27">
      <c r="A44" s="424">
        <v>0.7</v>
      </c>
      <c r="B44" s="425">
        <v>333</v>
      </c>
      <c r="C44" s="425">
        <v>335</v>
      </c>
      <c r="D44" s="425">
        <v>337</v>
      </c>
      <c r="E44" s="425">
        <v>339</v>
      </c>
      <c r="F44" s="425">
        <v>340</v>
      </c>
      <c r="G44" s="425">
        <v>341</v>
      </c>
      <c r="H44" s="425">
        <v>342</v>
      </c>
      <c r="I44" s="425">
        <v>343</v>
      </c>
      <c r="J44" s="425">
        <v>345</v>
      </c>
      <c r="K44" s="425">
        <v>346</v>
      </c>
      <c r="L44" s="425">
        <v>348</v>
      </c>
      <c r="M44" s="426">
        <v>350</v>
      </c>
      <c r="N44" s="424">
        <v>0.8</v>
      </c>
      <c r="O44" s="425">
        <v>384</v>
      </c>
      <c r="P44" s="425">
        <v>385</v>
      </c>
      <c r="Q44" s="425">
        <v>386</v>
      </c>
      <c r="R44" s="425">
        <v>387</v>
      </c>
      <c r="S44" s="425">
        <v>388</v>
      </c>
      <c r="T44" s="425">
        <v>390</v>
      </c>
      <c r="U44" s="425">
        <v>391</v>
      </c>
      <c r="V44" s="425">
        <v>392</v>
      </c>
      <c r="W44" s="425">
        <v>394</v>
      </c>
      <c r="X44" s="425">
        <v>395</v>
      </c>
      <c r="Y44" s="425">
        <v>397</v>
      </c>
      <c r="Z44" s="425">
        <v>398</v>
      </c>
      <c r="AA44" s="426">
        <v>400</v>
      </c>
    </row>
    <row r="45" spans="1:27">
      <c r="A45" s="424">
        <v>0.72499999999999998</v>
      </c>
      <c r="B45" s="425">
        <v>342</v>
      </c>
      <c r="C45" s="425">
        <v>345</v>
      </c>
      <c r="D45" s="425">
        <v>347</v>
      </c>
      <c r="E45" s="425">
        <v>348</v>
      </c>
      <c r="F45" s="425">
        <v>349</v>
      </c>
      <c r="G45" s="425">
        <v>351</v>
      </c>
      <c r="H45" s="425">
        <v>352</v>
      </c>
      <c r="I45" s="425">
        <v>353</v>
      </c>
      <c r="J45" s="425">
        <v>354</v>
      </c>
      <c r="K45" s="425">
        <v>356</v>
      </c>
      <c r="L45" s="425">
        <v>358</v>
      </c>
      <c r="M45" s="426">
        <v>360</v>
      </c>
      <c r="N45" s="424">
        <v>0.82499999999999996</v>
      </c>
      <c r="O45" s="425">
        <v>393</v>
      </c>
      <c r="P45" s="425">
        <v>394</v>
      </c>
      <c r="Q45" s="425">
        <v>395</v>
      </c>
      <c r="R45" s="425">
        <v>396</v>
      </c>
      <c r="S45" s="425">
        <v>397</v>
      </c>
      <c r="T45" s="425">
        <v>399</v>
      </c>
      <c r="U45" s="425">
        <v>400</v>
      </c>
      <c r="V45" s="425">
        <v>401</v>
      </c>
      <c r="W45" s="425">
        <v>403</v>
      </c>
      <c r="X45" s="425">
        <v>404</v>
      </c>
      <c r="Y45" s="425">
        <v>406</v>
      </c>
      <c r="Z45" s="425">
        <v>407</v>
      </c>
      <c r="AA45" s="426">
        <v>408</v>
      </c>
    </row>
    <row r="46" spans="1:27">
      <c r="A46" s="424">
        <v>0.75</v>
      </c>
      <c r="B46" s="425">
        <v>352</v>
      </c>
      <c r="C46" s="425">
        <v>355</v>
      </c>
      <c r="D46" s="425">
        <v>357</v>
      </c>
      <c r="E46" s="425">
        <v>358</v>
      </c>
      <c r="F46" s="425">
        <v>359</v>
      </c>
      <c r="G46" s="425">
        <v>360</v>
      </c>
      <c r="H46" s="425">
        <v>361</v>
      </c>
      <c r="I46" s="425">
        <v>363</v>
      </c>
      <c r="J46" s="425">
        <v>364</v>
      </c>
      <c r="K46" s="425">
        <v>366</v>
      </c>
      <c r="L46" s="425">
        <v>368</v>
      </c>
      <c r="M46" s="426">
        <v>369</v>
      </c>
      <c r="N46" s="424">
        <v>0.84999999999999898</v>
      </c>
      <c r="O46" s="425">
        <v>402</v>
      </c>
      <c r="P46" s="425">
        <v>403</v>
      </c>
      <c r="Q46" s="425">
        <v>404</v>
      </c>
      <c r="R46" s="425">
        <v>405</v>
      </c>
      <c r="S46" s="425">
        <v>406</v>
      </c>
      <c r="T46" s="425">
        <v>407</v>
      </c>
      <c r="U46" s="425">
        <v>409</v>
      </c>
      <c r="V46" s="425">
        <v>410</v>
      </c>
      <c r="W46" s="425">
        <v>411</v>
      </c>
      <c r="X46" s="425">
        <v>413</v>
      </c>
      <c r="Y46" s="425">
        <v>414</v>
      </c>
      <c r="Z46" s="425">
        <v>416</v>
      </c>
      <c r="AA46" s="426">
        <v>417</v>
      </c>
    </row>
    <row r="47" spans="1:27">
      <c r="A47" s="424">
        <v>0.77500000000000002</v>
      </c>
      <c r="B47" s="425">
        <v>361</v>
      </c>
      <c r="C47" s="425">
        <v>365</v>
      </c>
      <c r="D47" s="425">
        <v>367</v>
      </c>
      <c r="E47" s="425">
        <v>368</v>
      </c>
      <c r="F47" s="425">
        <v>369</v>
      </c>
      <c r="G47" s="425">
        <v>370</v>
      </c>
      <c r="H47" s="425">
        <v>371</v>
      </c>
      <c r="I47" s="425">
        <v>372</v>
      </c>
      <c r="J47" s="425">
        <v>374</v>
      </c>
      <c r="K47" s="425">
        <v>375</v>
      </c>
      <c r="L47" s="425">
        <v>377</v>
      </c>
      <c r="M47" s="426">
        <v>379</v>
      </c>
      <c r="N47" s="424">
        <v>0.874999999999999</v>
      </c>
      <c r="O47" s="425">
        <v>410</v>
      </c>
      <c r="P47" s="425">
        <v>411</v>
      </c>
      <c r="Q47" s="425">
        <v>412</v>
      </c>
      <c r="R47" s="425">
        <v>413</v>
      </c>
      <c r="S47" s="425">
        <v>415</v>
      </c>
      <c r="T47" s="425">
        <v>416</v>
      </c>
      <c r="U47" s="425">
        <v>417</v>
      </c>
      <c r="V47" s="425">
        <v>418</v>
      </c>
      <c r="W47" s="425">
        <v>420</v>
      </c>
      <c r="X47" s="425">
        <v>421</v>
      </c>
      <c r="Y47" s="425">
        <v>423</v>
      </c>
      <c r="Z47" s="425">
        <v>424</v>
      </c>
      <c r="AA47" s="426">
        <v>425</v>
      </c>
    </row>
    <row r="48" spans="1:27" ht="16.5" thickBot="1">
      <c r="A48" s="427">
        <v>0.8</v>
      </c>
      <c r="B48" s="428">
        <v>369</v>
      </c>
      <c r="C48" s="428">
        <v>374</v>
      </c>
      <c r="D48" s="428">
        <v>376</v>
      </c>
      <c r="E48" s="428">
        <v>377</v>
      </c>
      <c r="F48" s="428">
        <v>378</v>
      </c>
      <c r="G48" s="428">
        <v>379</v>
      </c>
      <c r="H48" s="428">
        <v>380</v>
      </c>
      <c r="I48" s="428">
        <v>382</v>
      </c>
      <c r="J48" s="428">
        <v>383</v>
      </c>
      <c r="K48" s="428">
        <v>385</v>
      </c>
      <c r="L48" s="428">
        <v>387</v>
      </c>
      <c r="M48" s="429">
        <v>389</v>
      </c>
      <c r="N48" s="427">
        <v>0.9</v>
      </c>
      <c r="O48" s="428">
        <v>419</v>
      </c>
      <c r="P48" s="428">
        <v>420</v>
      </c>
      <c r="Q48" s="428">
        <v>421</v>
      </c>
      <c r="R48" s="428">
        <v>422</v>
      </c>
      <c r="S48" s="428">
        <v>423</v>
      </c>
      <c r="T48" s="428">
        <v>424</v>
      </c>
      <c r="U48" s="428">
        <v>425</v>
      </c>
      <c r="V48" s="428">
        <v>427</v>
      </c>
      <c r="W48" s="428">
        <v>428</v>
      </c>
      <c r="X48" s="428">
        <v>429</v>
      </c>
      <c r="Y48" s="428">
        <v>431</v>
      </c>
      <c r="Z48" s="428">
        <v>432</v>
      </c>
      <c r="AA48" s="429">
        <v>434</v>
      </c>
    </row>
    <row r="49" spans="1:26" ht="16.5" thickTop="1"/>
    <row r="50" spans="1:26" ht="16.5" thickBot="1">
      <c r="A50" t="s">
        <v>597</v>
      </c>
    </row>
    <row r="51" spans="1:26" ht="16.5" thickTop="1">
      <c r="A51" s="421"/>
      <c r="B51" s="704" t="s">
        <v>49</v>
      </c>
      <c r="C51" s="704"/>
      <c r="D51" s="704"/>
      <c r="E51" s="704"/>
      <c r="F51" s="704"/>
      <c r="G51" s="704"/>
      <c r="H51" s="704"/>
      <c r="I51" s="704"/>
      <c r="J51" s="704"/>
      <c r="K51" s="704"/>
      <c r="L51" s="704"/>
      <c r="M51" s="704"/>
      <c r="N51" s="704"/>
      <c r="O51" s="704"/>
      <c r="P51" s="704"/>
      <c r="Q51" s="704"/>
      <c r="R51" s="704"/>
      <c r="S51" s="704"/>
      <c r="T51" s="704"/>
      <c r="U51" s="704"/>
      <c r="V51" s="704"/>
      <c r="W51" s="704"/>
      <c r="X51" s="704"/>
      <c r="Y51" s="704"/>
      <c r="Z51" s="705"/>
    </row>
    <row r="52" spans="1:26">
      <c r="A52" s="424" t="s">
        <v>342</v>
      </c>
      <c r="B52" s="425">
        <v>25</v>
      </c>
      <c r="C52" s="425">
        <v>26</v>
      </c>
      <c r="D52" s="425">
        <v>27</v>
      </c>
      <c r="E52" s="425">
        <v>28</v>
      </c>
      <c r="F52" s="425">
        <v>29</v>
      </c>
      <c r="G52" s="425">
        <v>30</v>
      </c>
      <c r="H52" s="425">
        <v>31</v>
      </c>
      <c r="I52" s="425">
        <v>32</v>
      </c>
      <c r="J52" s="425">
        <v>33</v>
      </c>
      <c r="K52" s="425">
        <v>34</v>
      </c>
      <c r="L52" s="425">
        <v>35</v>
      </c>
      <c r="M52" s="425">
        <v>36</v>
      </c>
      <c r="N52" s="425">
        <v>37</v>
      </c>
      <c r="O52" s="425">
        <v>38</v>
      </c>
      <c r="P52" s="425">
        <v>39</v>
      </c>
      <c r="Q52" s="425">
        <v>40</v>
      </c>
      <c r="R52" s="425">
        <v>41</v>
      </c>
      <c r="S52" s="425">
        <v>42</v>
      </c>
      <c r="T52" s="425">
        <v>43</v>
      </c>
      <c r="U52" s="425">
        <v>44</v>
      </c>
      <c r="V52" s="425">
        <v>45</v>
      </c>
      <c r="W52" s="425">
        <v>46</v>
      </c>
      <c r="X52" s="425">
        <v>47</v>
      </c>
      <c r="Y52" s="425">
        <v>48</v>
      </c>
      <c r="Z52" s="426">
        <v>49</v>
      </c>
    </row>
    <row r="53" spans="1:26">
      <c r="A53" s="424">
        <v>0.2</v>
      </c>
      <c r="B53" s="425">
        <v>120</v>
      </c>
      <c r="C53" s="425">
        <v>125</v>
      </c>
      <c r="D53" s="425">
        <v>133</v>
      </c>
      <c r="E53" s="425">
        <v>138</v>
      </c>
      <c r="F53" s="425">
        <v>143</v>
      </c>
      <c r="G53" s="425">
        <v>148</v>
      </c>
      <c r="H53" s="425">
        <v>156</v>
      </c>
      <c r="I53" s="425">
        <v>160</v>
      </c>
      <c r="J53" s="425">
        <v>165</v>
      </c>
      <c r="K53" s="425">
        <v>169</v>
      </c>
      <c r="L53" s="425">
        <v>177</v>
      </c>
      <c r="M53" s="425">
        <v>181</v>
      </c>
      <c r="N53" s="425">
        <v>185</v>
      </c>
      <c r="O53" s="425">
        <v>188</v>
      </c>
      <c r="P53" s="425">
        <v>195</v>
      </c>
      <c r="Q53" s="425">
        <v>198</v>
      </c>
      <c r="R53" s="425">
        <v>200</v>
      </c>
      <c r="S53" s="425">
        <v>203</v>
      </c>
      <c r="T53" s="425">
        <v>208</v>
      </c>
      <c r="U53" s="425">
        <v>216</v>
      </c>
      <c r="V53" s="425">
        <v>219</v>
      </c>
      <c r="W53" s="425">
        <v>222</v>
      </c>
      <c r="X53" s="425">
        <v>225</v>
      </c>
      <c r="Y53" s="425">
        <v>231</v>
      </c>
      <c r="Z53" s="426">
        <v>234</v>
      </c>
    </row>
    <row r="54" spans="1:26">
      <c r="A54" s="424">
        <v>0.25</v>
      </c>
      <c r="B54" s="425">
        <v>143</v>
      </c>
      <c r="C54" s="425">
        <v>148</v>
      </c>
      <c r="D54" s="425">
        <v>155</v>
      </c>
      <c r="E54" s="425">
        <v>160</v>
      </c>
      <c r="F54" s="425">
        <v>165</v>
      </c>
      <c r="G54" s="425">
        <v>169</v>
      </c>
      <c r="H54" s="425">
        <v>176</v>
      </c>
      <c r="I54" s="425">
        <v>181</v>
      </c>
      <c r="J54" s="425">
        <v>185</v>
      </c>
      <c r="K54" s="425">
        <v>189</v>
      </c>
      <c r="L54" s="425">
        <v>196</v>
      </c>
      <c r="M54" s="425">
        <v>200</v>
      </c>
      <c r="N54" s="425">
        <v>204</v>
      </c>
      <c r="O54" s="425">
        <v>207</v>
      </c>
      <c r="P54" s="425">
        <v>213</v>
      </c>
      <c r="Q54" s="425">
        <v>216</v>
      </c>
      <c r="R54" s="425">
        <v>219</v>
      </c>
      <c r="S54" s="425">
        <v>221</v>
      </c>
      <c r="T54" s="425">
        <v>226</v>
      </c>
      <c r="U54" s="425">
        <v>233</v>
      </c>
      <c r="V54" s="425">
        <v>236</v>
      </c>
      <c r="W54" s="425">
        <v>239</v>
      </c>
      <c r="X54" s="425">
        <v>241</v>
      </c>
      <c r="Y54" s="425">
        <v>247</v>
      </c>
      <c r="Z54" s="426">
        <v>250</v>
      </c>
    </row>
    <row r="55" spans="1:26">
      <c r="A55" s="424">
        <v>0.3</v>
      </c>
      <c r="B55" s="425">
        <v>166</v>
      </c>
      <c r="C55" s="425">
        <v>171</v>
      </c>
      <c r="D55" s="425">
        <v>177</v>
      </c>
      <c r="E55" s="425">
        <v>182</v>
      </c>
      <c r="F55" s="425">
        <v>187</v>
      </c>
      <c r="G55" s="425">
        <v>191</v>
      </c>
      <c r="H55" s="425">
        <v>197</v>
      </c>
      <c r="I55" s="425">
        <v>202</v>
      </c>
      <c r="J55" s="425">
        <v>206</v>
      </c>
      <c r="K55" s="425">
        <v>210</v>
      </c>
      <c r="L55" s="425">
        <v>216</v>
      </c>
      <c r="M55" s="425">
        <v>220</v>
      </c>
      <c r="N55" s="425">
        <v>223</v>
      </c>
      <c r="O55" s="425">
        <v>226</v>
      </c>
      <c r="P55" s="425">
        <v>232</v>
      </c>
      <c r="Q55" s="425">
        <v>235</v>
      </c>
      <c r="R55" s="425">
        <v>237</v>
      </c>
      <c r="S55" s="425">
        <v>239</v>
      </c>
      <c r="T55" s="425">
        <v>244</v>
      </c>
      <c r="U55" s="425">
        <v>250</v>
      </c>
      <c r="V55" s="425">
        <v>253</v>
      </c>
      <c r="W55" s="425">
        <v>256</v>
      </c>
      <c r="X55" s="425">
        <v>258</v>
      </c>
      <c r="Y55" s="425">
        <v>264</v>
      </c>
      <c r="Z55" s="426">
        <v>266</v>
      </c>
    </row>
    <row r="56" spans="1:26">
      <c r="A56" s="424">
        <v>0.35</v>
      </c>
      <c r="B56" s="425">
        <v>189</v>
      </c>
      <c r="C56" s="425">
        <v>195</v>
      </c>
      <c r="D56" s="425">
        <v>200</v>
      </c>
      <c r="E56" s="425">
        <v>204</v>
      </c>
      <c r="F56" s="425">
        <v>209</v>
      </c>
      <c r="G56" s="425">
        <v>213</v>
      </c>
      <c r="H56" s="425">
        <v>218</v>
      </c>
      <c r="I56" s="425">
        <v>222</v>
      </c>
      <c r="J56" s="425">
        <v>226</v>
      </c>
      <c r="K56" s="425">
        <v>230</v>
      </c>
      <c r="L56" s="425">
        <v>236</v>
      </c>
      <c r="M56" s="425">
        <v>239</v>
      </c>
      <c r="N56" s="425">
        <v>243</v>
      </c>
      <c r="O56" s="425">
        <v>246</v>
      </c>
      <c r="P56" s="425">
        <v>250</v>
      </c>
      <c r="Q56" s="425">
        <v>253</v>
      </c>
      <c r="R56" s="425">
        <v>255</v>
      </c>
      <c r="S56" s="425">
        <v>257</v>
      </c>
      <c r="T56" s="425">
        <v>262</v>
      </c>
      <c r="U56" s="425">
        <v>267</v>
      </c>
      <c r="V56" s="425">
        <v>270</v>
      </c>
      <c r="W56" s="425">
        <v>273</v>
      </c>
      <c r="X56" s="425">
        <v>275</v>
      </c>
      <c r="Y56" s="425">
        <v>280</v>
      </c>
      <c r="Z56" s="426">
        <v>282</v>
      </c>
    </row>
    <row r="57" spans="1:26">
      <c r="A57" s="424">
        <v>0.4</v>
      </c>
      <c r="B57" s="425">
        <v>212</v>
      </c>
      <c r="C57" s="425">
        <v>217</v>
      </c>
      <c r="D57" s="425">
        <v>222</v>
      </c>
      <c r="E57" s="425">
        <v>226</v>
      </c>
      <c r="F57" s="425">
        <v>231</v>
      </c>
      <c r="G57" s="425">
        <v>235</v>
      </c>
      <c r="H57" s="425">
        <v>239</v>
      </c>
      <c r="I57" s="425">
        <v>243</v>
      </c>
      <c r="J57" s="425">
        <v>247</v>
      </c>
      <c r="K57" s="425">
        <v>251</v>
      </c>
      <c r="L57" s="425">
        <v>255</v>
      </c>
      <c r="M57" s="425">
        <v>258</v>
      </c>
      <c r="N57" s="425">
        <v>262</v>
      </c>
      <c r="O57" s="425">
        <v>265</v>
      </c>
      <c r="P57" s="425">
        <v>269</v>
      </c>
      <c r="Q57" s="425">
        <v>271</v>
      </c>
      <c r="R57" s="425">
        <v>273</v>
      </c>
      <c r="S57" s="425">
        <v>275</v>
      </c>
      <c r="T57" s="425">
        <v>280</v>
      </c>
      <c r="U57" s="425">
        <v>285</v>
      </c>
      <c r="V57" s="425">
        <v>287</v>
      </c>
      <c r="W57" s="425">
        <v>290</v>
      </c>
      <c r="X57" s="425">
        <v>292</v>
      </c>
      <c r="Y57" s="425">
        <v>296</v>
      </c>
      <c r="Z57" s="426">
        <v>298</v>
      </c>
    </row>
    <row r="58" spans="1:26">
      <c r="A58" s="424">
        <v>0.45</v>
      </c>
      <c r="B58" s="425">
        <v>234</v>
      </c>
      <c r="C58" s="425">
        <v>239</v>
      </c>
      <c r="D58" s="425">
        <v>244</v>
      </c>
      <c r="E58" s="425">
        <v>248</v>
      </c>
      <c r="F58" s="425">
        <v>252</v>
      </c>
      <c r="G58" s="425">
        <v>256</v>
      </c>
      <c r="H58" s="425">
        <v>260</v>
      </c>
      <c r="I58" s="425">
        <v>264</v>
      </c>
      <c r="J58" s="425">
        <v>268</v>
      </c>
      <c r="K58" s="425">
        <v>271</v>
      </c>
      <c r="L58" s="425">
        <v>275</v>
      </c>
      <c r="M58" s="425">
        <v>278</v>
      </c>
      <c r="N58" s="425">
        <v>281</v>
      </c>
      <c r="O58" s="425">
        <v>284</v>
      </c>
      <c r="P58" s="425">
        <v>287</v>
      </c>
      <c r="Q58" s="425">
        <v>290</v>
      </c>
      <c r="R58" s="425">
        <v>292</v>
      </c>
      <c r="S58" s="425">
        <v>294</v>
      </c>
      <c r="T58" s="425">
        <v>298</v>
      </c>
      <c r="U58" s="425">
        <v>302</v>
      </c>
      <c r="V58" s="425">
        <v>304</v>
      </c>
      <c r="W58" s="425">
        <v>307</v>
      </c>
      <c r="X58" s="425">
        <v>309</v>
      </c>
      <c r="Y58" s="425">
        <v>313</v>
      </c>
      <c r="Z58" s="426">
        <v>315</v>
      </c>
    </row>
    <row r="59" spans="1:26">
      <c r="A59" s="424">
        <v>0.5</v>
      </c>
      <c r="B59" s="425">
        <v>256</v>
      </c>
      <c r="C59" s="425">
        <v>261</v>
      </c>
      <c r="D59" s="425">
        <v>265</v>
      </c>
      <c r="E59" s="425">
        <v>269</v>
      </c>
      <c r="F59" s="425">
        <v>273</v>
      </c>
      <c r="G59" s="425">
        <v>277</v>
      </c>
      <c r="H59" s="425">
        <v>280</v>
      </c>
      <c r="I59" s="425">
        <v>284</v>
      </c>
      <c r="J59" s="425">
        <v>288</v>
      </c>
      <c r="K59" s="425">
        <v>291</v>
      </c>
      <c r="L59" s="425">
        <v>294</v>
      </c>
      <c r="M59" s="425">
        <v>297</v>
      </c>
      <c r="N59" s="425">
        <v>300</v>
      </c>
      <c r="O59" s="425">
        <v>303</v>
      </c>
      <c r="P59" s="425">
        <v>306</v>
      </c>
      <c r="Q59" s="425">
        <v>308</v>
      </c>
      <c r="R59" s="425">
        <v>310</v>
      </c>
      <c r="S59" s="425">
        <v>312</v>
      </c>
      <c r="T59" s="425">
        <v>316</v>
      </c>
      <c r="U59" s="425">
        <v>319</v>
      </c>
      <c r="V59" s="425">
        <v>321</v>
      </c>
      <c r="W59" s="425">
        <v>324</v>
      </c>
      <c r="X59" s="425">
        <v>326</v>
      </c>
      <c r="Y59" s="425">
        <v>329</v>
      </c>
      <c r="Z59" s="426">
        <v>331</v>
      </c>
    </row>
    <row r="60" spans="1:26">
      <c r="A60" s="424">
        <v>0.55000000000000004</v>
      </c>
      <c r="B60" s="425">
        <v>278</v>
      </c>
      <c r="C60" s="425">
        <v>282</v>
      </c>
      <c r="D60" s="425">
        <v>286</v>
      </c>
      <c r="E60" s="425">
        <v>290</v>
      </c>
      <c r="F60" s="425">
        <v>293</v>
      </c>
      <c r="G60" s="425">
        <v>297</v>
      </c>
      <c r="H60" s="425">
        <v>300</v>
      </c>
      <c r="I60" s="425">
        <v>304</v>
      </c>
      <c r="J60" s="425">
        <v>307</v>
      </c>
      <c r="K60" s="425">
        <v>310</v>
      </c>
      <c r="L60" s="425">
        <v>313</v>
      </c>
      <c r="M60" s="425">
        <v>316</v>
      </c>
      <c r="N60" s="425">
        <v>319</v>
      </c>
      <c r="O60" s="425">
        <v>322</v>
      </c>
      <c r="P60" s="425">
        <v>324</v>
      </c>
      <c r="Q60" s="425">
        <v>326</v>
      </c>
      <c r="R60" s="425">
        <v>328</v>
      </c>
      <c r="S60" s="425">
        <v>330</v>
      </c>
      <c r="T60" s="425">
        <v>334</v>
      </c>
      <c r="U60" s="425">
        <v>336</v>
      </c>
      <c r="V60" s="425">
        <v>339</v>
      </c>
      <c r="W60" s="425">
        <v>341</v>
      </c>
      <c r="X60" s="425">
        <v>343</v>
      </c>
      <c r="Y60" s="425">
        <v>345</v>
      </c>
      <c r="Z60" s="426">
        <v>347</v>
      </c>
    </row>
    <row r="61" spans="1:26">
      <c r="A61" s="424">
        <v>0.6</v>
      </c>
      <c r="B61" s="425">
        <v>300</v>
      </c>
      <c r="C61" s="425">
        <v>303</v>
      </c>
      <c r="D61" s="425">
        <v>307</v>
      </c>
      <c r="E61" s="425">
        <v>310</v>
      </c>
      <c r="F61" s="425">
        <v>313</v>
      </c>
      <c r="G61" s="425">
        <v>317</v>
      </c>
      <c r="H61" s="425">
        <v>320</v>
      </c>
      <c r="I61" s="425">
        <v>323</v>
      </c>
      <c r="J61" s="425">
        <v>326</v>
      </c>
      <c r="K61" s="425">
        <v>329</v>
      </c>
      <c r="L61" s="425">
        <v>332</v>
      </c>
      <c r="M61" s="425">
        <v>335</v>
      </c>
      <c r="N61" s="425">
        <v>337</v>
      </c>
      <c r="O61" s="425">
        <v>340</v>
      </c>
      <c r="P61" s="425">
        <v>342</v>
      </c>
      <c r="Q61" s="425">
        <v>344</v>
      </c>
      <c r="R61" s="425">
        <v>346</v>
      </c>
      <c r="S61" s="425">
        <v>348</v>
      </c>
      <c r="T61" s="425">
        <v>351</v>
      </c>
      <c r="U61" s="425">
        <v>354</v>
      </c>
      <c r="V61" s="425">
        <v>356</v>
      </c>
      <c r="W61" s="425">
        <v>358</v>
      </c>
      <c r="X61" s="425">
        <v>360</v>
      </c>
      <c r="Y61" s="425">
        <v>362</v>
      </c>
      <c r="Z61" s="426">
        <v>363</v>
      </c>
    </row>
    <row r="62" spans="1:26">
      <c r="A62" s="424">
        <v>0.65</v>
      </c>
      <c r="B62" s="425">
        <v>321</v>
      </c>
      <c r="C62" s="425">
        <v>324</v>
      </c>
      <c r="D62" s="425">
        <v>327</v>
      </c>
      <c r="E62" s="425">
        <v>330</v>
      </c>
      <c r="F62" s="425">
        <v>333</v>
      </c>
      <c r="G62" s="425">
        <v>336</v>
      </c>
      <c r="H62" s="425">
        <v>339</v>
      </c>
      <c r="I62" s="425">
        <v>342</v>
      </c>
      <c r="J62" s="425">
        <v>345</v>
      </c>
      <c r="K62" s="425">
        <v>347</v>
      </c>
      <c r="L62" s="425">
        <v>350</v>
      </c>
      <c r="M62" s="425">
        <v>353</v>
      </c>
      <c r="N62" s="425">
        <v>355</v>
      </c>
      <c r="O62" s="425">
        <v>358</v>
      </c>
      <c r="P62" s="425">
        <v>360</v>
      </c>
      <c r="Q62" s="425">
        <v>362</v>
      </c>
      <c r="R62" s="425">
        <v>363</v>
      </c>
      <c r="S62" s="425">
        <v>365</v>
      </c>
      <c r="T62" s="425">
        <v>368</v>
      </c>
      <c r="U62" s="425">
        <v>370</v>
      </c>
      <c r="V62" s="425">
        <v>372</v>
      </c>
      <c r="W62" s="425">
        <v>374</v>
      </c>
      <c r="X62" s="425">
        <v>376</v>
      </c>
      <c r="Y62" s="425">
        <v>378</v>
      </c>
      <c r="Z62" s="426">
        <v>380</v>
      </c>
    </row>
    <row r="63" spans="1:26">
      <c r="A63" s="424">
        <v>0.7</v>
      </c>
      <c r="B63" s="425">
        <v>341</v>
      </c>
      <c r="C63" s="425">
        <v>344</v>
      </c>
      <c r="D63" s="425">
        <v>347</v>
      </c>
      <c r="E63" s="425">
        <v>350</v>
      </c>
      <c r="F63" s="425">
        <v>352</v>
      </c>
      <c r="G63" s="425">
        <v>355</v>
      </c>
      <c r="H63" s="425">
        <v>358</v>
      </c>
      <c r="I63" s="425">
        <v>361</v>
      </c>
      <c r="J63" s="425">
        <v>363</v>
      </c>
      <c r="K63" s="425">
        <v>366</v>
      </c>
      <c r="L63" s="425">
        <v>368</v>
      </c>
      <c r="M63" s="425">
        <v>370</v>
      </c>
      <c r="N63" s="425">
        <v>373</v>
      </c>
      <c r="O63" s="425">
        <v>375</v>
      </c>
      <c r="P63" s="425">
        <v>377</v>
      </c>
      <c r="Q63" s="425">
        <v>379</v>
      </c>
      <c r="R63" s="425">
        <v>380</v>
      </c>
      <c r="S63" s="425">
        <v>382</v>
      </c>
      <c r="T63" s="425">
        <v>385</v>
      </c>
      <c r="U63" s="425">
        <v>387</v>
      </c>
      <c r="V63" s="425">
        <v>389</v>
      </c>
      <c r="W63" s="425">
        <v>390</v>
      </c>
      <c r="X63" s="425">
        <v>392</v>
      </c>
      <c r="Y63" s="425">
        <v>394</v>
      </c>
      <c r="Z63" s="426">
        <v>395</v>
      </c>
    </row>
    <row r="64" spans="1:26">
      <c r="A64" s="424">
        <v>0.75</v>
      </c>
      <c r="B64" s="425">
        <v>360</v>
      </c>
      <c r="C64" s="425">
        <v>363</v>
      </c>
      <c r="D64" s="425">
        <v>366</v>
      </c>
      <c r="E64" s="425">
        <v>369</v>
      </c>
      <c r="F64" s="425">
        <v>370</v>
      </c>
      <c r="G64" s="425">
        <v>374</v>
      </c>
      <c r="H64" s="425">
        <v>376</v>
      </c>
      <c r="I64" s="425">
        <v>379</v>
      </c>
      <c r="J64" s="425">
        <v>381</v>
      </c>
      <c r="K64" s="425">
        <v>383</v>
      </c>
      <c r="L64" s="425">
        <v>386</v>
      </c>
      <c r="M64" s="425">
        <v>388</v>
      </c>
      <c r="N64" s="425">
        <v>390</v>
      </c>
      <c r="O64" s="425">
        <v>392</v>
      </c>
      <c r="P64" s="425">
        <v>394</v>
      </c>
      <c r="Q64" s="425">
        <v>395</v>
      </c>
      <c r="R64" s="425">
        <v>397</v>
      </c>
      <c r="S64" s="425">
        <v>398</v>
      </c>
      <c r="T64" s="425">
        <v>401</v>
      </c>
      <c r="U64" s="425">
        <v>403</v>
      </c>
      <c r="V64" s="425">
        <v>404</v>
      </c>
      <c r="W64" s="425">
        <v>406</v>
      </c>
      <c r="X64" s="425">
        <v>408</v>
      </c>
      <c r="Y64" s="425">
        <v>409</v>
      </c>
      <c r="Z64" s="426">
        <v>411</v>
      </c>
    </row>
    <row r="65" spans="1:26">
      <c r="A65" s="424">
        <v>0.8</v>
      </c>
      <c r="B65" s="425">
        <v>379</v>
      </c>
      <c r="C65" s="425">
        <v>382</v>
      </c>
      <c r="D65" s="425">
        <v>385</v>
      </c>
      <c r="E65" s="425">
        <v>387</v>
      </c>
      <c r="F65" s="425">
        <v>389</v>
      </c>
      <c r="G65" s="425">
        <v>392</v>
      </c>
      <c r="H65" s="425">
        <v>394</v>
      </c>
      <c r="I65" s="425">
        <v>396</v>
      </c>
      <c r="J65" s="425">
        <v>398</v>
      </c>
      <c r="K65" s="425">
        <v>401</v>
      </c>
      <c r="L65" s="425">
        <v>403</v>
      </c>
      <c r="M65" s="425">
        <v>405</v>
      </c>
      <c r="N65" s="425">
        <v>407</v>
      </c>
      <c r="O65" s="425">
        <v>408</v>
      </c>
      <c r="P65" s="425">
        <v>410</v>
      </c>
      <c r="Q65" s="425">
        <v>412</v>
      </c>
      <c r="R65" s="425">
        <v>413</v>
      </c>
      <c r="S65" s="425">
        <v>414</v>
      </c>
      <c r="T65" s="425">
        <v>417</v>
      </c>
      <c r="U65" s="425">
        <v>418</v>
      </c>
      <c r="V65" s="425">
        <v>420</v>
      </c>
      <c r="W65" s="425">
        <v>421</v>
      </c>
      <c r="X65" s="425">
        <v>423</v>
      </c>
      <c r="Y65" s="425">
        <v>424</v>
      </c>
      <c r="Z65" s="426">
        <v>426</v>
      </c>
    </row>
    <row r="66" spans="1:26">
      <c r="A66" s="424">
        <v>0.85</v>
      </c>
      <c r="B66" s="425">
        <v>398</v>
      </c>
      <c r="C66" s="425">
        <v>400</v>
      </c>
      <c r="D66" s="425">
        <v>403</v>
      </c>
      <c r="E66" s="425">
        <v>405</v>
      </c>
      <c r="F66" s="425">
        <v>407</v>
      </c>
      <c r="G66" s="425">
        <v>409</v>
      </c>
      <c r="H66" s="425">
        <v>411</v>
      </c>
      <c r="I66" s="425">
        <v>413</v>
      </c>
      <c r="J66" s="425">
        <v>415</v>
      </c>
      <c r="K66" s="425">
        <v>417</v>
      </c>
      <c r="L66" s="425">
        <v>419</v>
      </c>
      <c r="M66" s="425">
        <v>421</v>
      </c>
      <c r="N66" s="425">
        <v>423</v>
      </c>
      <c r="O66" s="425">
        <v>425</v>
      </c>
      <c r="P66" s="425">
        <v>426</v>
      </c>
      <c r="Q66" s="425">
        <v>427</v>
      </c>
      <c r="R66" s="425">
        <v>429</v>
      </c>
      <c r="S66" s="425">
        <v>430</v>
      </c>
      <c r="T66" s="425">
        <v>432</v>
      </c>
      <c r="U66" s="425">
        <v>434</v>
      </c>
      <c r="V66" s="425">
        <v>435</v>
      </c>
      <c r="W66" s="425">
        <v>436</v>
      </c>
      <c r="X66" s="425">
        <v>438</v>
      </c>
      <c r="Y66" s="425">
        <v>439</v>
      </c>
      <c r="Z66" s="426">
        <v>440</v>
      </c>
    </row>
    <row r="67" spans="1:26">
      <c r="A67" s="424">
        <v>0.9</v>
      </c>
      <c r="B67" s="425">
        <v>415</v>
      </c>
      <c r="C67" s="425">
        <v>418</v>
      </c>
      <c r="D67" s="425">
        <v>420</v>
      </c>
      <c r="E67" s="425">
        <v>422</v>
      </c>
      <c r="F67" s="425">
        <v>424</v>
      </c>
      <c r="G67" s="425">
        <v>46</v>
      </c>
      <c r="H67" s="425">
        <v>428</v>
      </c>
      <c r="I67" s="425">
        <v>430</v>
      </c>
      <c r="J67" s="425">
        <v>432</v>
      </c>
      <c r="K67" s="425">
        <v>434</v>
      </c>
      <c r="L67" s="425">
        <v>435</v>
      </c>
      <c r="M67" s="425">
        <v>437</v>
      </c>
      <c r="N67" s="425">
        <v>439</v>
      </c>
      <c r="O67" s="425">
        <v>440</v>
      </c>
      <c r="P67" s="425">
        <v>442</v>
      </c>
      <c r="Q67" s="425">
        <v>443</v>
      </c>
      <c r="R67" s="425">
        <v>444</v>
      </c>
      <c r="S67" s="425">
        <v>445</v>
      </c>
      <c r="T67" s="425">
        <v>447</v>
      </c>
      <c r="U67" s="425">
        <v>449</v>
      </c>
      <c r="V67" s="425">
        <v>450</v>
      </c>
      <c r="W67" s="425">
        <v>451</v>
      </c>
      <c r="X67" s="425">
        <v>452</v>
      </c>
      <c r="Y67" s="425">
        <v>454</v>
      </c>
      <c r="Z67" s="426">
        <v>455</v>
      </c>
    </row>
    <row r="68" spans="1:26">
      <c r="A68" s="424">
        <v>0.95</v>
      </c>
      <c r="B68" s="425">
        <v>432</v>
      </c>
      <c r="C68" s="425">
        <v>435</v>
      </c>
      <c r="D68" s="425">
        <v>437</v>
      </c>
      <c r="E68" s="425">
        <v>438</v>
      </c>
      <c r="F68" s="425">
        <v>440</v>
      </c>
      <c r="G68" s="425">
        <v>442</v>
      </c>
      <c r="H68" s="425">
        <v>444</v>
      </c>
      <c r="I68" s="425">
        <v>446</v>
      </c>
      <c r="J68" s="425">
        <v>448</v>
      </c>
      <c r="K68" s="425">
        <v>449</v>
      </c>
      <c r="L68" s="425">
        <v>451</v>
      </c>
      <c r="M68" s="425">
        <v>453</v>
      </c>
      <c r="N68" s="425">
        <v>454</v>
      </c>
      <c r="O68" s="425">
        <v>455</v>
      </c>
      <c r="P68" s="425">
        <v>457</v>
      </c>
      <c r="Q68" s="425">
        <v>458</v>
      </c>
      <c r="R68" s="425">
        <v>459</v>
      </c>
      <c r="S68" s="425">
        <v>460</v>
      </c>
      <c r="T68" s="425">
        <v>462</v>
      </c>
      <c r="U68" s="425">
        <v>463</v>
      </c>
      <c r="V68" s="425">
        <v>464</v>
      </c>
      <c r="W68" s="425">
        <v>465</v>
      </c>
      <c r="X68" s="425">
        <v>467</v>
      </c>
      <c r="Y68" s="425">
        <v>468</v>
      </c>
      <c r="Z68" s="426">
        <v>469</v>
      </c>
    </row>
    <row r="69" spans="1:26" ht="16.5" thickBot="1">
      <c r="A69" s="427">
        <v>1</v>
      </c>
      <c r="B69" s="428">
        <v>448</v>
      </c>
      <c r="C69" s="428">
        <v>451</v>
      </c>
      <c r="D69" s="428">
        <v>453</v>
      </c>
      <c r="E69" s="428">
        <v>454</v>
      </c>
      <c r="F69" s="428">
        <v>456</v>
      </c>
      <c r="G69" s="428">
        <v>458</v>
      </c>
      <c r="H69" s="428">
        <v>460</v>
      </c>
      <c r="I69" s="428">
        <v>461</v>
      </c>
      <c r="J69" s="428">
        <v>463</v>
      </c>
      <c r="K69" s="428">
        <v>465</v>
      </c>
      <c r="L69" s="428">
        <v>466</v>
      </c>
      <c r="M69" s="428">
        <v>467</v>
      </c>
      <c r="N69" s="428">
        <v>469</v>
      </c>
      <c r="O69" s="428">
        <v>470</v>
      </c>
      <c r="P69" s="428">
        <v>471</v>
      </c>
      <c r="Q69" s="428">
        <v>472</v>
      </c>
      <c r="R69" s="428">
        <v>474</v>
      </c>
      <c r="S69" s="428">
        <v>475</v>
      </c>
      <c r="T69" s="428">
        <v>476</v>
      </c>
      <c r="U69" s="428">
        <v>477</v>
      </c>
      <c r="V69" s="428">
        <v>478</v>
      </c>
      <c r="W69" s="428">
        <v>479</v>
      </c>
      <c r="X69" s="428">
        <v>480</v>
      </c>
      <c r="Y69" s="428">
        <v>481</v>
      </c>
      <c r="Z69" s="429">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Sheet1!P343</f>
        <v/>
      </c>
      <c r="B73">
        <v>24</v>
      </c>
      <c r="C73">
        <v>576</v>
      </c>
      <c r="D73" s="430" t="str">
        <f>Sheet1!W343</f>
        <v/>
      </c>
      <c r="E73" s="430" t="str">
        <f>Sheet1!X343</f>
        <v/>
      </c>
      <c r="G73" t="str">
        <f>Sheet1!P354</f>
        <v/>
      </c>
      <c r="H73">
        <v>28</v>
      </c>
      <c r="I73">
        <v>784</v>
      </c>
      <c r="J73" t="str">
        <f>Sheet1!W354</f>
        <v/>
      </c>
      <c r="K73" s="430" t="str">
        <f>Sheet1!X354</f>
        <v/>
      </c>
      <c r="M73" t="str">
        <f>Sheet1!P364</f>
        <v/>
      </c>
      <c r="N73">
        <v>28</v>
      </c>
      <c r="O73">
        <v>784</v>
      </c>
      <c r="P73" t="str">
        <f>Sheet1!W364</f>
        <v/>
      </c>
      <c r="Q73" s="430" t="str">
        <f>Sheet1!X364</f>
        <v/>
      </c>
      <c r="T73" t="s">
        <v>158</v>
      </c>
      <c r="U73" t="s">
        <v>605</v>
      </c>
      <c r="V73" t="s">
        <v>606</v>
      </c>
      <c r="W73" t="s">
        <v>605</v>
      </c>
      <c r="X73" t="s">
        <v>606</v>
      </c>
      <c r="Y73" t="s">
        <v>607</v>
      </c>
    </row>
    <row r="74" spans="1:26">
      <c r="A74" t="s">
        <v>239</v>
      </c>
      <c r="B74">
        <v>25</v>
      </c>
      <c r="C74">
        <v>625</v>
      </c>
      <c r="D74" t="str">
        <f>Sheet1!W344</f>
        <v/>
      </c>
      <c r="E74" t="str">
        <f>Sheet1!X344</f>
        <v/>
      </c>
      <c r="G74" t="s">
        <v>239</v>
      </c>
      <c r="H74">
        <v>30</v>
      </c>
      <c r="I74">
        <v>900</v>
      </c>
      <c r="J74" t="str">
        <f>Sheet1!W355</f>
        <v/>
      </c>
      <c r="K74" t="str">
        <f>Sheet1!X355</f>
        <v/>
      </c>
      <c r="M74" t="s">
        <v>239</v>
      </c>
      <c r="N74">
        <v>30</v>
      </c>
      <c r="O74">
        <v>900</v>
      </c>
      <c r="P74" t="str">
        <f>Sheet1!W365</f>
        <v/>
      </c>
      <c r="Q74" t="str">
        <f>Sheet1!X365</f>
        <v/>
      </c>
      <c r="T74" t="s">
        <v>604</v>
      </c>
      <c r="U74" t="s">
        <v>604</v>
      </c>
      <c r="V74" t="s">
        <v>604</v>
      </c>
      <c r="W74" t="s">
        <v>604</v>
      </c>
      <c r="X74" t="s">
        <v>604</v>
      </c>
      <c r="Y74" t="s">
        <v>604</v>
      </c>
    </row>
    <row r="75" spans="1:26">
      <c r="A75" t="str">
        <f>Sheet1!Q343</f>
        <v/>
      </c>
      <c r="B75">
        <v>26</v>
      </c>
      <c r="C75">
        <v>676</v>
      </c>
      <c r="D75" t="str">
        <f>Sheet1!W345</f>
        <v/>
      </c>
      <c r="E75" t="str">
        <f>Sheet1!X345</f>
        <v/>
      </c>
      <c r="G75" t="str">
        <f>Sheet1!Q354</f>
        <v/>
      </c>
      <c r="H75">
        <v>32</v>
      </c>
      <c r="I75">
        <v>1024</v>
      </c>
      <c r="J75" t="str">
        <f>Sheet1!W356</f>
        <v/>
      </c>
      <c r="K75" t="str">
        <f>Sheet1!X356</f>
        <v/>
      </c>
      <c r="M75" t="str">
        <f>Sheet1!Q364</f>
        <v/>
      </c>
      <c r="N75">
        <v>32</v>
      </c>
      <c r="O75">
        <v>1024</v>
      </c>
      <c r="P75" t="str">
        <f>Sheet1!W366</f>
        <v/>
      </c>
      <c r="Q75" t="str">
        <f>Sheet1!X366</f>
        <v/>
      </c>
      <c r="T75" t="s">
        <v>604</v>
      </c>
      <c r="U75" t="s">
        <v>604</v>
      </c>
      <c r="V75" t="s">
        <v>604</v>
      </c>
      <c r="W75" t="s">
        <v>604</v>
      </c>
      <c r="X75" t="s">
        <v>604</v>
      </c>
      <c r="Y75" t="s">
        <v>604</v>
      </c>
    </row>
    <row r="76" spans="1:26">
      <c r="B76">
        <v>28</v>
      </c>
      <c r="C76">
        <v>784</v>
      </c>
      <c r="D76" t="str">
        <f>Sheet1!W346</f>
        <v/>
      </c>
      <c r="E76" t="str">
        <f>Sheet1!X346</f>
        <v/>
      </c>
      <c r="H76">
        <v>34</v>
      </c>
      <c r="I76">
        <v>1156</v>
      </c>
      <c r="J76" t="str">
        <f>Sheet1!W357</f>
        <v/>
      </c>
      <c r="K76" t="str">
        <f>Sheet1!X357</f>
        <v/>
      </c>
      <c r="N76">
        <v>34</v>
      </c>
      <c r="O76">
        <v>1156</v>
      </c>
      <c r="P76" t="str">
        <f>Sheet1!W367</f>
        <v/>
      </c>
      <c r="Q76" t="str">
        <f>Sheet1!X367</f>
        <v/>
      </c>
      <c r="T76" t="s">
        <v>604</v>
      </c>
      <c r="U76" t="s">
        <v>604</v>
      </c>
      <c r="V76" t="s">
        <v>604</v>
      </c>
      <c r="W76" t="s">
        <v>604</v>
      </c>
      <c r="X76" t="s">
        <v>604</v>
      </c>
      <c r="Y76" t="s">
        <v>604</v>
      </c>
    </row>
    <row r="77" spans="1:26">
      <c r="B77">
        <v>30</v>
      </c>
      <c r="C77">
        <v>900</v>
      </c>
      <c r="D77" t="str">
        <f>Sheet1!W347</f>
        <v/>
      </c>
      <c r="E77" t="str">
        <f>Sheet1!X347</f>
        <v/>
      </c>
      <c r="H77">
        <v>36</v>
      </c>
      <c r="I77">
        <v>1296</v>
      </c>
      <c r="J77" t="str">
        <f>Sheet1!W358</f>
        <v/>
      </c>
      <c r="K77" t="str">
        <f>Sheet1!X358</f>
        <v/>
      </c>
      <c r="N77">
        <v>38</v>
      </c>
      <c r="O77">
        <v>1444</v>
      </c>
      <c r="P77" t="str">
        <f>Sheet1!W368</f>
        <v/>
      </c>
      <c r="Q77" t="str">
        <f>Sheet1!X368</f>
        <v/>
      </c>
      <c r="T77" t="s">
        <v>604</v>
      </c>
      <c r="U77" t="s">
        <v>604</v>
      </c>
      <c r="V77" t="s">
        <v>604</v>
      </c>
      <c r="W77" t="s">
        <v>604</v>
      </c>
      <c r="X77" t="s">
        <v>604</v>
      </c>
      <c r="Y77" t="s">
        <v>604</v>
      </c>
    </row>
    <row r="78" spans="1:26">
      <c r="B78">
        <v>32</v>
      </c>
      <c r="C78">
        <v>1024</v>
      </c>
      <c r="D78" t="str">
        <f>Sheet1!W348</f>
        <v/>
      </c>
      <c r="E78" t="str">
        <f>Sheet1!X348</f>
        <v/>
      </c>
      <c r="H78">
        <v>38</v>
      </c>
      <c r="I78">
        <v>1444</v>
      </c>
      <c r="J78" t="str">
        <f>Sheet1!W359</f>
        <v/>
      </c>
      <c r="K78" t="str">
        <f>Sheet1!X359</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Sheet1!W349</f>
        <v/>
      </c>
      <c r="E79" t="str">
        <f>Sheet1!X349</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0" t="str">
        <f>Sheet1!Q403</f>
        <v/>
      </c>
      <c r="D85" t="str">
        <f>G73</f>
        <v/>
      </c>
      <c r="E85">
        <v>28</v>
      </c>
      <c r="F85" s="430" t="str">
        <f>Sheet1!U403</f>
        <v/>
      </c>
      <c r="G85" t="str">
        <f>M73</f>
        <v/>
      </c>
      <c r="H85">
        <v>28</v>
      </c>
      <c r="I85" s="430" t="str">
        <f>Sheet1!Q416</f>
        <v/>
      </c>
      <c r="T85" t="s">
        <v>604</v>
      </c>
      <c r="U85" t="s">
        <v>604</v>
      </c>
      <c r="V85" t="s">
        <v>604</v>
      </c>
      <c r="W85" t="s">
        <v>604</v>
      </c>
      <c r="X85" t="s">
        <v>604</v>
      </c>
      <c r="Y85" t="s">
        <v>604</v>
      </c>
    </row>
    <row r="86" spans="1:25">
      <c r="A86" t="s">
        <v>239</v>
      </c>
      <c r="B86">
        <v>25</v>
      </c>
      <c r="C86" s="430" t="str">
        <f>Sheet1!R403</f>
        <v/>
      </c>
      <c r="D86" t="s">
        <v>239</v>
      </c>
      <c r="E86">
        <v>30</v>
      </c>
      <c r="F86" s="430" t="str">
        <f>Sheet1!V403</f>
        <v/>
      </c>
      <c r="G86" t="s">
        <v>239</v>
      </c>
      <c r="H86">
        <v>30</v>
      </c>
      <c r="I86" s="430" t="str">
        <f>Sheet1!R416</f>
        <v/>
      </c>
      <c r="T86" t="s">
        <v>604</v>
      </c>
      <c r="U86" t="s">
        <v>604</v>
      </c>
      <c r="V86" t="s">
        <v>604</v>
      </c>
      <c r="W86" t="s">
        <v>604</v>
      </c>
      <c r="X86" t="s">
        <v>604</v>
      </c>
      <c r="Y86" t="s">
        <v>604</v>
      </c>
    </row>
    <row r="87" spans="1:25">
      <c r="A87" t="str">
        <f>A75</f>
        <v/>
      </c>
      <c r="B87">
        <v>26</v>
      </c>
      <c r="C87" s="430">
        <f>Sheet1!AQ26</f>
        <v>0</v>
      </c>
      <c r="D87" t="str">
        <f>G75</f>
        <v/>
      </c>
      <c r="E87">
        <v>32</v>
      </c>
      <c r="F87" s="430" t="str">
        <f>Sheet1!W403</f>
        <v/>
      </c>
      <c r="G87" t="str">
        <f>M75</f>
        <v/>
      </c>
      <c r="H87">
        <v>32</v>
      </c>
      <c r="I87" s="430" t="str">
        <f>Sheet1!S416</f>
        <v/>
      </c>
      <c r="T87" t="s">
        <v>604</v>
      </c>
      <c r="U87" t="s">
        <v>604</v>
      </c>
      <c r="V87" t="s">
        <v>604</v>
      </c>
      <c r="W87" t="s">
        <v>604</v>
      </c>
      <c r="X87" t="s">
        <v>604</v>
      </c>
      <c r="Y87" t="s">
        <v>604</v>
      </c>
    </row>
    <row r="88" spans="1:25">
      <c r="B88">
        <v>28</v>
      </c>
      <c r="C88" s="430" t="str">
        <f>Sheet1!S403</f>
        <v/>
      </c>
      <c r="E88">
        <v>34</v>
      </c>
      <c r="F88" s="430" t="str">
        <f>Sheet1!X403</f>
        <v/>
      </c>
      <c r="H88">
        <v>34</v>
      </c>
      <c r="I88" s="430" t="str">
        <f>Sheet1!T416</f>
        <v/>
      </c>
      <c r="T88" t="s">
        <v>604</v>
      </c>
      <c r="U88" t="s">
        <v>604</v>
      </c>
      <c r="V88" t="s">
        <v>604</v>
      </c>
      <c r="W88" t="s">
        <v>604</v>
      </c>
      <c r="X88" t="s">
        <v>604</v>
      </c>
      <c r="Y88" t="s">
        <v>604</v>
      </c>
    </row>
    <row r="89" spans="1:25">
      <c r="B89">
        <v>30</v>
      </c>
      <c r="C89" s="430">
        <f>Sheet1!AQ41</f>
        <v>0</v>
      </c>
      <c r="E89">
        <v>36</v>
      </c>
      <c r="F89" s="430">
        <f>Sheet1!AQ90</f>
        <v>0</v>
      </c>
      <c r="H89">
        <v>38</v>
      </c>
      <c r="I89" s="430" t="str">
        <f>Sheet1!U416</f>
        <v/>
      </c>
      <c r="T89" t="s">
        <v>604</v>
      </c>
      <c r="U89" t="s">
        <v>604</v>
      </c>
      <c r="V89" t="s">
        <v>604</v>
      </c>
      <c r="W89" t="s">
        <v>604</v>
      </c>
      <c r="X89" t="s">
        <v>604</v>
      </c>
      <c r="Y89" t="s">
        <v>604</v>
      </c>
    </row>
    <row r="90" spans="1:25">
      <c r="B90">
        <v>32</v>
      </c>
      <c r="C90" s="430" t="str">
        <f>Sheet1!T403</f>
        <v/>
      </c>
      <c r="E90">
        <v>38</v>
      </c>
      <c r="F90" s="430">
        <f>Sheet1!AQ91</f>
        <v>0</v>
      </c>
      <c r="I90" s="430"/>
    </row>
    <row r="91" spans="1:25">
      <c r="B91">
        <v>34</v>
      </c>
      <c r="C91" s="430" t="e">
        <f>AVERAGE(Sheet1!AQ50:AQ51)</f>
        <v>#DIV/0!</v>
      </c>
      <c r="F91" s="430"/>
      <c r="I91" s="430"/>
    </row>
    <row r="92" spans="1:25">
      <c r="B92" t="s">
        <v>608</v>
      </c>
      <c r="C92" t="e">
        <f>SLOPE(C85:C91,B85:B91)</f>
        <v>#DIV/0!</v>
      </c>
      <c r="E92" t="s">
        <v>608</v>
      </c>
      <c r="F92">
        <f>SLOPE(F85:F90,E85:E90)</f>
        <v>0</v>
      </c>
      <c r="H92" t="s">
        <v>608</v>
      </c>
      <c r="I92" t="e">
        <f>SLOPE(I85:I89,H85:H89)</f>
        <v>#DIV/0!</v>
      </c>
      <c r="T92" t="s">
        <v>604</v>
      </c>
      <c r="U92" t="s">
        <v>604</v>
      </c>
      <c r="V92" t="s">
        <v>604</v>
      </c>
      <c r="W92" t="s">
        <v>604</v>
      </c>
      <c r="X92" t="s">
        <v>604</v>
      </c>
      <c r="Y92" t="s">
        <v>604</v>
      </c>
    </row>
    <row r="93" spans="1:25">
      <c r="B93" t="s">
        <v>609</v>
      </c>
      <c r="C93" t="e">
        <f>INTERCEPT(C85:C91,B85:B91)</f>
        <v>#DIV/0!</v>
      </c>
      <c r="E93" t="s">
        <v>609</v>
      </c>
      <c r="F93">
        <f>INTERCEPT(F85:F90,E85:E90)</f>
        <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s="603" t="s">
        <v>405</v>
      </c>
      <c r="B95" s="603" t="s">
        <v>239</v>
      </c>
      <c r="C95" s="603" t="s">
        <v>611</v>
      </c>
      <c r="E95" t="s">
        <v>612</v>
      </c>
      <c r="F95" t="s">
        <v>613</v>
      </c>
      <c r="T95" t="s">
        <v>604</v>
      </c>
      <c r="U95" t="s">
        <v>604</v>
      </c>
      <c r="V95" t="s">
        <v>604</v>
      </c>
      <c r="W95" t="s">
        <v>604</v>
      </c>
      <c r="X95" t="s">
        <v>604</v>
      </c>
      <c r="Y95" t="s">
        <v>604</v>
      </c>
    </row>
    <row r="96" spans="1:25">
      <c r="A96" s="603" t="s">
        <v>614</v>
      </c>
      <c r="B96" s="603" t="s">
        <v>614</v>
      </c>
      <c r="C96" s="603">
        <v>0.12</v>
      </c>
      <c r="F96" t="s">
        <v>615</v>
      </c>
      <c r="T96" t="s">
        <v>604</v>
      </c>
      <c r="U96" t="s">
        <v>604</v>
      </c>
      <c r="V96" t="s">
        <v>604</v>
      </c>
      <c r="W96" t="s">
        <v>604</v>
      </c>
      <c r="X96" t="s">
        <v>604</v>
      </c>
      <c r="Y96" t="s">
        <v>604</v>
      </c>
    </row>
    <row r="97" spans="1:25">
      <c r="A97" s="603" t="s">
        <v>614</v>
      </c>
      <c r="B97" s="603" t="s">
        <v>616</v>
      </c>
      <c r="C97" s="603">
        <v>0.19</v>
      </c>
      <c r="F97" t="s">
        <v>617</v>
      </c>
      <c r="T97" t="s">
        <v>604</v>
      </c>
      <c r="U97" t="s">
        <v>604</v>
      </c>
      <c r="V97" t="s">
        <v>604</v>
      </c>
      <c r="W97" t="s">
        <v>604</v>
      </c>
      <c r="X97" t="s">
        <v>604</v>
      </c>
      <c r="Y97" t="s">
        <v>604</v>
      </c>
    </row>
    <row r="98" spans="1:25">
      <c r="A98" s="603" t="s">
        <v>616</v>
      </c>
      <c r="B98" s="603" t="s">
        <v>616</v>
      </c>
      <c r="C98" s="603">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"&amp;Sheet1!$T$277&amp;" kV and HVL="&amp;ROUND(Sheet1!$X$280,2)&amp;" mm Al"</f>
        <v>#VALUE!</v>
      </c>
      <c r="G100" s="706" t="s">
        <v>441</v>
      </c>
      <c r="H100" s="706"/>
      <c r="I100" s="706"/>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IF(ISERR(Sheet1!$T$277),"TBD",VLOOKUP(Sheet1!$X$280,A3:J23,MATCH(Sheet1!$T$277,A3:J3,0)))</f>
        <v>#N/A</v>
      </c>
      <c r="B102" t="e">
        <f>IF(ISERR(Sheet1!$T$277),"TBD",VLOOKUP(Sheet1!$X$280,K3:T23,MATCH(Sheet1!$T$277,K3:T3,0)))</f>
        <v>#N/A</v>
      </c>
      <c r="C102" t="e">
        <f>IF(ISERR(Sheet1!$T$277),"TBD",VLOOKUP(Sheet1!$X$280,U3:AD23,MATCH(Sheet1!$T$277,U3:AD3,0)))</f>
        <v>#N/A</v>
      </c>
      <c r="D102" t="e">
        <f>IF(ISERR(Sheet1!$X$280),"TBD",VLOOKUP(Sheet1!$X$280,A27:M48,MATCH(Sheet1!$T$277,A27:M27,0)))</f>
        <v>#N/A</v>
      </c>
      <c r="E102" t="e">
        <f>IF(ISERR(Sheet1!$X$280),"TBD",VLOOKUP(Sheet1!$X$280,N27:AA48,MATCH(Sheet1!$T$277,N27:AA27,0)))</f>
        <v>#N/A</v>
      </c>
      <c r="F102" t="e">
        <f>IF(ISERR(Sheet1!$X$295),"TBD",VLOOKUP(Sheet1!$X$295,A52:Z69,MATCH(Sheet1!$T$292,A52:Z52,0)))</f>
        <v>#N/A</v>
      </c>
      <c r="G102" t="e">
        <f>IF(ISERR(Sheet1!$X$315),"TBD",VLOOKUP(Sheet1!$X$315,A27:M48,MATCH(Sheet1!$T$312,A27:M27,0)))</f>
        <v>#N/A</v>
      </c>
      <c r="H102" t="e">
        <f>IF(ISERR(Sheet1!$X$315),"TBD",VLOOKUP(Sheet1!$X$315,N27:AA48,MATCH(Sheet1!$T$312,N27:AA27,0)))</f>
        <v>#N/A</v>
      </c>
      <c r="I102" t="e">
        <f>IF(ISERR(Sheet1!$X$327),"TBD",VLOOKUP(Sheet1!$X$327,A52:Z69,MATCH(Sheet1!$T$324,A52:Z52,0)))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89" customWidth="1"/>
    <col min="1026" max="16384" width="9" style="389"/>
  </cols>
  <sheetData>
    <row r="1" spans="1:10">
      <c r="A1" s="389" t="s">
        <v>561</v>
      </c>
      <c r="B1" s="393" t="s">
        <v>560</v>
      </c>
    </row>
    <row r="2" spans="1:10">
      <c r="A2" s="390" t="s">
        <v>559</v>
      </c>
      <c r="B2" s="396" t="str">
        <f>Sheet1!F13</f>
        <v/>
      </c>
    </row>
    <row r="3" spans="1:10">
      <c r="A3" s="389" t="s">
        <v>558</v>
      </c>
      <c r="B3" s="394" t="str">
        <f>Sheet1!U169</f>
        <v/>
      </c>
    </row>
    <row r="4" spans="1:10">
      <c r="A4" s="389" t="s">
        <v>557</v>
      </c>
      <c r="B4" s="393">
        <f>Sheet1!Q222</f>
        <v>0</v>
      </c>
      <c r="C4" s="393">
        <f>Sheet1!R222</f>
        <v>0</v>
      </c>
      <c r="D4" s="393">
        <f>Sheet1!S222</f>
        <v>0</v>
      </c>
      <c r="E4" s="393">
        <f>Sheet1!T222</f>
        <v>0</v>
      </c>
    </row>
    <row r="5" spans="1:10">
      <c r="B5" s="393">
        <f>Sheet1!Q223</f>
        <v>0</v>
      </c>
      <c r="C5" s="393">
        <f>Sheet1!R223</f>
        <v>0</v>
      </c>
      <c r="D5" s="393">
        <f>Sheet1!S223</f>
        <v>0</v>
      </c>
      <c r="E5" s="393">
        <f>Sheet1!T223</f>
        <v>0</v>
      </c>
    </row>
    <row r="6" spans="1:10">
      <c r="B6" s="393">
        <f>Sheet1!Q226</f>
        <v>0</v>
      </c>
      <c r="C6" s="393">
        <f>Sheet1!R226</f>
        <v>0</v>
      </c>
      <c r="D6" s="393">
        <f>Sheet1!S226</f>
        <v>0</v>
      </c>
      <c r="E6" s="393">
        <f>Sheet1!T226</f>
        <v>0</v>
      </c>
    </row>
    <row r="7" spans="1:10">
      <c r="A7" s="389" t="s">
        <v>556</v>
      </c>
      <c r="B7" s="393" t="str">
        <f>Sheet1!X283</f>
        <v/>
      </c>
    </row>
    <row r="8" spans="1:10">
      <c r="A8" s="389" t="s">
        <v>555</v>
      </c>
      <c r="B8" s="393" t="str">
        <f>Sheet1!X298</f>
        <v/>
      </c>
    </row>
    <row r="9" spans="1:10">
      <c r="A9" s="389" t="s">
        <v>554</v>
      </c>
      <c r="B9" s="394" t="str">
        <f>Sheet1!X335</f>
        <v/>
      </c>
    </row>
    <row r="10" spans="1:10">
      <c r="A10" s="389" t="s">
        <v>646</v>
      </c>
      <c r="B10" s="395" t="str">
        <f>Sheet1!P343&amp;"/"&amp;Sheet1!Q343</f>
        <v>/</v>
      </c>
      <c r="C10" s="462" t="s">
        <v>240</v>
      </c>
      <c r="D10" s="463" t="s">
        <v>553</v>
      </c>
      <c r="E10" s="395" t="str">
        <f>Sheet1!P354&amp;"/"&amp;Sheet1!Q354</f>
        <v>/</v>
      </c>
      <c r="F10" s="462" t="s">
        <v>240</v>
      </c>
      <c r="G10" s="463" t="s">
        <v>553</v>
      </c>
      <c r="H10" s="395" t="str">
        <f>Sheet1!P364&amp;"/"&amp;Sheet1!Q364</f>
        <v>/</v>
      </c>
      <c r="I10" s="462" t="s">
        <v>240</v>
      </c>
      <c r="J10" s="463" t="s">
        <v>553</v>
      </c>
    </row>
    <row r="11" spans="1:10">
      <c r="A11" s="389" t="s">
        <v>553</v>
      </c>
      <c r="B11" s="393">
        <f>Sheet1!R343</f>
        <v>24</v>
      </c>
      <c r="C11" s="461" t="str">
        <f>Sheet1!T343</f>
        <v/>
      </c>
      <c r="D11" s="393" t="str">
        <f>Sheet1!W343</f>
        <v/>
      </c>
      <c r="E11" s="393">
        <f>Sheet1!R354</f>
        <v>28</v>
      </c>
      <c r="F11" s="461" t="str">
        <f>Sheet1!T354</f>
        <v/>
      </c>
      <c r="G11" s="393" t="str">
        <f>Sheet1!W354</f>
        <v/>
      </c>
      <c r="H11" s="393">
        <f>Sheet1!R364</f>
        <v>28</v>
      </c>
      <c r="I11" s="461" t="str">
        <f>Sheet1!T364</f>
        <v/>
      </c>
      <c r="J11" s="393" t="str">
        <f>Sheet1!W364</f>
        <v/>
      </c>
    </row>
    <row r="12" spans="1:10">
      <c r="B12" s="393">
        <f>Sheet1!R344</f>
        <v>25</v>
      </c>
      <c r="C12" s="461" t="str">
        <f>Sheet1!T344</f>
        <v/>
      </c>
      <c r="D12" s="393" t="str">
        <f>Sheet1!W344</f>
        <v/>
      </c>
      <c r="E12" s="393">
        <f>Sheet1!R355</f>
        <v>30</v>
      </c>
      <c r="F12" s="461" t="str">
        <f>Sheet1!T355</f>
        <v/>
      </c>
      <c r="G12" s="393" t="str">
        <f>Sheet1!W355</f>
        <v/>
      </c>
      <c r="H12" s="393">
        <f>Sheet1!R365</f>
        <v>30</v>
      </c>
      <c r="I12" s="461" t="str">
        <f>Sheet1!T365</f>
        <v/>
      </c>
      <c r="J12" s="393" t="str">
        <f>Sheet1!W365</f>
        <v/>
      </c>
    </row>
    <row r="13" spans="1:10">
      <c r="B13" s="393">
        <f>Sheet1!R345</f>
        <v>26</v>
      </c>
      <c r="C13" s="461" t="str">
        <f>Sheet1!T345</f>
        <v/>
      </c>
      <c r="D13" s="393" t="str">
        <f>Sheet1!W345</f>
        <v/>
      </c>
      <c r="E13" s="393">
        <f>Sheet1!R356</f>
        <v>32</v>
      </c>
      <c r="F13" s="461" t="str">
        <f>Sheet1!T356</f>
        <v/>
      </c>
      <c r="G13" s="393" t="str">
        <f>Sheet1!W356</f>
        <v/>
      </c>
      <c r="H13" s="393">
        <f>Sheet1!R366</f>
        <v>32</v>
      </c>
      <c r="I13" s="461" t="str">
        <f>Sheet1!T366</f>
        <v/>
      </c>
      <c r="J13" s="393" t="str">
        <f>Sheet1!W366</f>
        <v/>
      </c>
    </row>
    <row r="14" spans="1:10">
      <c r="B14" s="393">
        <f>Sheet1!R346</f>
        <v>28</v>
      </c>
      <c r="C14" s="461" t="str">
        <f>Sheet1!T346</f>
        <v/>
      </c>
      <c r="D14" s="393" t="str">
        <f>Sheet1!W346</f>
        <v/>
      </c>
      <c r="E14" s="393">
        <f>Sheet1!R357</f>
        <v>34</v>
      </c>
      <c r="F14" s="461" t="str">
        <f>Sheet1!T357</f>
        <v/>
      </c>
      <c r="G14" s="393" t="str">
        <f>Sheet1!W357</f>
        <v/>
      </c>
      <c r="H14" s="393">
        <f>Sheet1!R367</f>
        <v>34</v>
      </c>
      <c r="I14" s="461" t="str">
        <f>Sheet1!T367</f>
        <v/>
      </c>
      <c r="J14" s="393" t="str">
        <f>Sheet1!W367</f>
        <v/>
      </c>
    </row>
    <row r="15" spans="1:10">
      <c r="B15" s="393">
        <f>Sheet1!R347</f>
        <v>30</v>
      </c>
      <c r="C15" s="461" t="str">
        <f>Sheet1!T347</f>
        <v/>
      </c>
      <c r="D15" s="393" t="str">
        <f>Sheet1!W347</f>
        <v/>
      </c>
      <c r="E15" s="393">
        <f>Sheet1!R358</f>
        <v>36</v>
      </c>
      <c r="F15" s="461" t="str">
        <f>Sheet1!T358</f>
        <v/>
      </c>
      <c r="G15" s="393" t="str">
        <f>Sheet1!W358</f>
        <v/>
      </c>
      <c r="H15" s="393">
        <f>Sheet1!R368</f>
        <v>38</v>
      </c>
      <c r="I15" s="461" t="str">
        <f>Sheet1!T368</f>
        <v/>
      </c>
      <c r="J15" s="393" t="str">
        <f>Sheet1!W368</f>
        <v/>
      </c>
    </row>
    <row r="16" spans="1:10">
      <c r="B16" s="393">
        <f>Sheet1!R348</f>
        <v>32</v>
      </c>
      <c r="C16" s="461" t="str">
        <f>Sheet1!T348</f>
        <v/>
      </c>
      <c r="D16" s="393" t="str">
        <f>Sheet1!W348</f>
        <v/>
      </c>
      <c r="E16" s="393">
        <f>Sheet1!R359</f>
        <v>38</v>
      </c>
      <c r="F16" s="461" t="str">
        <f>Sheet1!T359</f>
        <v/>
      </c>
      <c r="G16" s="393" t="str">
        <f>Sheet1!W359</f>
        <v/>
      </c>
    </row>
    <row r="17" spans="1:4">
      <c r="B17" s="393">
        <f>Sheet1!R349</f>
        <v>34</v>
      </c>
      <c r="C17" s="461" t="str">
        <f>Sheet1!T349</f>
        <v/>
      </c>
      <c r="D17" s="393" t="str">
        <f>Sheet1!W349</f>
        <v/>
      </c>
    </row>
    <row r="18" spans="1:4">
      <c r="A18" s="389" t="s">
        <v>552</v>
      </c>
      <c r="B18" s="393" t="str">
        <f>Sheet1!P389&amp;"/"&amp;Sheet1!Q389</f>
        <v>/</v>
      </c>
      <c r="C18" s="461"/>
      <c r="D18" s="464"/>
    </row>
    <row r="19" spans="1:4">
      <c r="B19" s="393">
        <f>Sheet1!S389</f>
        <v>20</v>
      </c>
      <c r="C19" s="393" t="str">
        <f>Sheet1!W389</f>
        <v/>
      </c>
    </row>
    <row r="20" spans="1:4">
      <c r="B20" s="393">
        <f>Sheet1!S390</f>
        <v>50</v>
      </c>
      <c r="C20" s="393" t="str">
        <f>Sheet1!W390</f>
        <v/>
      </c>
    </row>
    <row r="21" spans="1:4">
      <c r="B21" s="393">
        <f>Sheet1!S391</f>
        <v>100</v>
      </c>
      <c r="C21" s="393" t="str">
        <f>Sheet1!W391</f>
        <v/>
      </c>
    </row>
    <row r="22" spans="1:4">
      <c r="B22" s="394">
        <f>Sheet1!S392</f>
        <v>300</v>
      </c>
      <c r="C22" s="394" t="str">
        <f>Sheet1!W392</f>
        <v/>
      </c>
    </row>
    <row r="23" spans="1:4">
      <c r="A23" s="389" t="s">
        <v>342</v>
      </c>
      <c r="B23" s="393" t="str">
        <f>Sheet1!Q398</f>
        <v>/</v>
      </c>
      <c r="C23" s="393">
        <f>Sheet1!Q399</f>
        <v>24</v>
      </c>
      <c r="D23" s="393" t="str">
        <f>Sheet1!Q403</f>
        <v/>
      </c>
    </row>
    <row r="24" spans="1:4">
      <c r="B24" s="393" t="str">
        <f>Sheet1!R398</f>
        <v>/</v>
      </c>
      <c r="C24" s="393">
        <f>Sheet1!R399</f>
        <v>25</v>
      </c>
      <c r="D24" s="393" t="str">
        <f>Sheet1!R403</f>
        <v/>
      </c>
    </row>
    <row r="25" spans="1:4">
      <c r="B25" s="393" t="str">
        <f>Sheet1!S398</f>
        <v>/</v>
      </c>
      <c r="C25" s="393">
        <f>Sheet1!S399</f>
        <v>28</v>
      </c>
      <c r="D25" s="393" t="str">
        <f>Sheet1!S403</f>
        <v/>
      </c>
    </row>
    <row r="26" spans="1:4">
      <c r="B26" s="393" t="str">
        <f>Sheet1!T398</f>
        <v>/</v>
      </c>
      <c r="C26" s="393">
        <f>Sheet1!T399</f>
        <v>32</v>
      </c>
      <c r="D26" s="393" t="str">
        <f>Sheet1!T403</f>
        <v/>
      </c>
    </row>
    <row r="27" spans="1:4">
      <c r="B27" s="393" t="str">
        <f>Sheet1!U398</f>
        <v>/</v>
      </c>
      <c r="C27" s="393">
        <f>Sheet1!U399</f>
        <v>28</v>
      </c>
      <c r="D27" s="393" t="str">
        <f>Sheet1!U403</f>
        <v/>
      </c>
    </row>
    <row r="28" spans="1:4">
      <c r="B28" s="393" t="str">
        <f>Sheet1!V398</f>
        <v>/</v>
      </c>
      <c r="C28" s="393">
        <f>Sheet1!V399</f>
        <v>30</v>
      </c>
      <c r="D28" s="393" t="str">
        <f>Sheet1!V403</f>
        <v/>
      </c>
    </row>
    <row r="29" spans="1:4">
      <c r="B29" s="393" t="str">
        <f>Sheet1!W398</f>
        <v>/</v>
      </c>
      <c r="C29" s="393">
        <f>Sheet1!W399</f>
        <v>32</v>
      </c>
      <c r="D29" s="393" t="str">
        <f>Sheet1!W403</f>
        <v/>
      </c>
    </row>
    <row r="30" spans="1:4">
      <c r="B30" s="393" t="str">
        <f>Sheet1!X398</f>
        <v>/</v>
      </c>
      <c r="C30" s="393">
        <f>Sheet1!X399</f>
        <v>34</v>
      </c>
      <c r="D30" s="393" t="str">
        <f>Sheet1!X403</f>
        <v/>
      </c>
    </row>
    <row r="31" spans="1:4">
      <c r="B31" s="393" t="str">
        <f>Sheet1!Q411</f>
        <v>/</v>
      </c>
      <c r="C31" s="393">
        <f>Sheet1!Q412</f>
        <v>28</v>
      </c>
      <c r="D31" s="393" t="str">
        <f>Sheet1!Q416</f>
        <v/>
      </c>
    </row>
    <row r="32" spans="1:4">
      <c r="B32" s="393" t="str">
        <f>Sheet1!R411</f>
        <v>/</v>
      </c>
      <c r="C32" s="393">
        <f>Sheet1!R412</f>
        <v>30</v>
      </c>
      <c r="D32" s="393" t="str">
        <f>Sheet1!R416</f>
        <v/>
      </c>
    </row>
    <row r="33" spans="1:5">
      <c r="B33" s="393" t="str">
        <f>Sheet1!S411</f>
        <v>/</v>
      </c>
      <c r="C33" s="393">
        <f>Sheet1!S412</f>
        <v>32</v>
      </c>
      <c r="D33" s="393" t="str">
        <f>Sheet1!S416</f>
        <v/>
      </c>
    </row>
    <row r="34" spans="1:5">
      <c r="B34" s="393" t="str">
        <f>Sheet1!T411</f>
        <v>/</v>
      </c>
      <c r="C34" s="393">
        <f>Sheet1!T412</f>
        <v>34</v>
      </c>
      <c r="D34" s="393" t="str">
        <f>Sheet1!T416</f>
        <v/>
      </c>
    </row>
    <row r="35" spans="1:5">
      <c r="B35" s="393" t="str">
        <f>Sheet1!U411</f>
        <v>/</v>
      </c>
      <c r="C35" s="393">
        <f>Sheet1!U412</f>
        <v>38</v>
      </c>
      <c r="D35" s="393" t="str">
        <f>Sheet1!U416</f>
        <v/>
      </c>
    </row>
    <row r="36" spans="1:5">
      <c r="A36" s="389" t="s">
        <v>551</v>
      </c>
      <c r="B36" s="393" t="str">
        <f>Sheet1!P442</f>
        <v>2D</v>
      </c>
      <c r="C36" s="393" t="str">
        <f>Sheet1!R442</f>
        <v>Mag</v>
      </c>
      <c r="D36" s="393" t="str">
        <f>Sheet1!T442</f>
        <v>3D</v>
      </c>
      <c r="E36" s="393" t="s">
        <v>650</v>
      </c>
    </row>
    <row r="37" spans="1:5">
      <c r="A37" s="389" t="s">
        <v>437</v>
      </c>
      <c r="B37" s="393">
        <f>Sheet1!P446</f>
        <v>0</v>
      </c>
      <c r="C37" s="393">
        <f>Sheet1!R446</f>
        <v>0</v>
      </c>
      <c r="D37" s="393">
        <f>Sheet1!T446</f>
        <v>0</v>
      </c>
      <c r="E37" s="393">
        <f>Sheet1!U427</f>
        <v>0</v>
      </c>
    </row>
    <row r="38" spans="1:5">
      <c r="A38" s="389" t="s">
        <v>438</v>
      </c>
      <c r="B38" s="393">
        <f>Sheet1!P447</f>
        <v>0</v>
      </c>
      <c r="C38" s="393">
        <f>Sheet1!R447</f>
        <v>0</v>
      </c>
      <c r="D38" s="393">
        <f>Sheet1!T447</f>
        <v>0</v>
      </c>
      <c r="E38" s="393">
        <f>Sheet1!U428</f>
        <v>0</v>
      </c>
    </row>
    <row r="39" spans="1:5">
      <c r="A39" s="389" t="s">
        <v>439</v>
      </c>
      <c r="B39" s="393">
        <f>Sheet1!P448</f>
        <v>0</v>
      </c>
      <c r="C39" s="393">
        <f>Sheet1!R448</f>
        <v>0</v>
      </c>
      <c r="D39" s="393">
        <f>Sheet1!T448</f>
        <v>0</v>
      </c>
      <c r="E39" s="393">
        <f>Sheet1!U429</f>
        <v>0</v>
      </c>
    </row>
    <row r="40" spans="1:5">
      <c r="A40" s="389" t="s">
        <v>647</v>
      </c>
      <c r="B40" s="393" t="str">
        <f>Sheet1!Q456&amp;"/"&amp;Sheet1!Q457</f>
        <v>/</v>
      </c>
    </row>
    <row r="41" spans="1:5">
      <c r="A41" s="389" t="s">
        <v>550</v>
      </c>
      <c r="B41" s="393" t="str">
        <f>Sheet1!T458</f>
        <v/>
      </c>
    </row>
    <row r="42" spans="1:5">
      <c r="A42" s="389" t="s">
        <v>549</v>
      </c>
      <c r="B42" s="393"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2" customWidth="1"/>
    <col min="24" max="16384" width="9" style="389"/>
  </cols>
  <sheetData>
    <row r="1" spans="1:23">
      <c r="A1" s="397">
        <f>Sheet1!AH10</f>
        <v>24</v>
      </c>
      <c r="B1" s="391" t="s">
        <v>49</v>
      </c>
      <c r="I1" s="397">
        <f>Sheet1!AH58</f>
        <v>28</v>
      </c>
      <c r="J1" s="391" t="s">
        <v>49</v>
      </c>
      <c r="Q1" s="397">
        <f>Sheet1!AH92</f>
        <v>28</v>
      </c>
      <c r="R1" s="391" t="s">
        <v>49</v>
      </c>
    </row>
    <row r="2" spans="1:23" ht="15" thickBot="1">
      <c r="A2" s="398" t="s">
        <v>562</v>
      </c>
      <c r="B2" s="399" t="s">
        <v>563</v>
      </c>
      <c r="C2" s="399" t="s">
        <v>564</v>
      </c>
      <c r="D2" s="399" t="s">
        <v>565</v>
      </c>
      <c r="E2" s="399" t="s">
        <v>49</v>
      </c>
      <c r="G2" s="399" t="e">
        <f>"HVL @"&amp;ROUND(E3,2)&amp;" kVp"</f>
        <v>#VALUE!</v>
      </c>
      <c r="I2" s="398" t="s">
        <v>562</v>
      </c>
      <c r="J2" s="399" t="s">
        <v>563</v>
      </c>
      <c r="K2" s="399" t="s">
        <v>564</v>
      </c>
      <c r="L2" s="399" t="s">
        <v>565</v>
      </c>
      <c r="M2" s="399" t="s">
        <v>49</v>
      </c>
      <c r="O2" s="399" t="e">
        <f>"HVL @"&amp;ROUND(M3,2)&amp;" kVp"</f>
        <v>#VALUE!</v>
      </c>
      <c r="Q2" s="398" t="s">
        <v>562</v>
      </c>
      <c r="R2" s="399" t="s">
        <v>563</v>
      </c>
      <c r="S2" s="399" t="s">
        <v>564</v>
      </c>
      <c r="T2" s="399" t="s">
        <v>565</v>
      </c>
      <c r="U2" s="399" t="s">
        <v>49</v>
      </c>
      <c r="W2" s="399" t="e">
        <f>"HVL @"&amp;ROUND(U3,2)&amp;" kVp"</f>
        <v>#VALUE!</v>
      </c>
    </row>
    <row r="3" spans="1:23" ht="15.75" thickTop="1" thickBot="1">
      <c r="A3" s="400">
        <f>Sheet1!AJ10</f>
        <v>0</v>
      </c>
      <c r="B3" s="401" t="str">
        <f>IF(MIN(Sheet1!AO10:AO11)=0,"",AVERAGE(Sheet1!AO10:AO11))</f>
        <v/>
      </c>
      <c r="C3" s="402" t="str">
        <f>IF(B3="","",ABS(B3-B3/2))</f>
        <v/>
      </c>
      <c r="D3" s="403" t="str">
        <f>IF(OR(B3="",B4=""),"",IF(ABS(B3-B3/2)=SMALL(C3:C6,1),A3,IF(ABS(B4-B3/2)=SMALL(C3:C6,1),A4,IF(ABS(B5-B3/2)=SMALL(C3:C6,1),A5,IF(ABS(B6-B3/2)=SMALL(C3:C6,1),A6,"")))))</f>
        <v/>
      </c>
      <c r="E3" s="404" t="str">
        <f>IF(OR(Sheet1!AM10="",Sheet1!AM11=""),"",AVERAGE(Sheet1!AM10:AM11))</f>
        <v/>
      </c>
      <c r="G3" s="405" t="str">
        <f>IF(OR(MIN(D3:D4)=0,MIN(D7:D8)=0),"",TREND(D3:D4,E7:E8,LN(B3/2)))</f>
        <v/>
      </c>
      <c r="I3" s="400">
        <f>Sheet1!AJ58</f>
        <v>0</v>
      </c>
      <c r="J3" s="401" t="str">
        <f>IF(MIN(Sheet1!AO58:AO59)=0,"",AVERAGE(Sheet1!AO58:AO59))</f>
        <v/>
      </c>
      <c r="K3" s="402" t="str">
        <f>IF(J3="","",ABS(J3-J3/2))</f>
        <v/>
      </c>
      <c r="L3" s="403" t="str">
        <f>IF(OR(J3="",J4=""),"",IF(ABS(J3-J3/2)=SMALL(K3:K6,1),I3,IF(ABS(J4-J3/2)=SMALL(K3:K6,1),I4,IF(ABS(J5-J3/2)=SMALL(K3:K6,1),I5,IF(ABS(J6-J3/2)=SMALL(K3:K6,1),I6,"")))))</f>
        <v/>
      </c>
      <c r="M3" s="404" t="str">
        <f>IF(OR(Sheet1!AM58="",Sheet1!AM59=""),"",AVERAGE(Sheet1!AM58:AM59))</f>
        <v/>
      </c>
      <c r="O3" s="405" t="str">
        <f>IF(OR(MIN(L3:L4)=0,MIN(L7:L8)=0),"",TREND(L3:L4,M7:M8,LN(J3/2)))</f>
        <v/>
      </c>
      <c r="Q3" s="400">
        <f>Sheet1!AJ92</f>
        <v>0</v>
      </c>
      <c r="R3" s="401" t="str">
        <f>IF(MIN(Sheet1!AO92:AO93)=0,"",AVERAGE(Sheet1!AO92:AO93))</f>
        <v/>
      </c>
      <c r="S3" s="402" t="str">
        <f>IF(R3="","",ABS(R3-R3/2))</f>
        <v/>
      </c>
      <c r="T3" s="403" t="str">
        <f>IF(OR(R3="",R4=""),"",IF(ABS(R3-R3/2)=SMALL(S3:S6,1),Q3,IF(ABS(R4-R3/2)=SMALL(S3:S6,1),Q4,IF(ABS(R5-R3/2)=SMALL(S3:S6,1),Q5,IF(ABS(R6-R3/2)=SMALL(S3:S6,1),Q6,"")))))</f>
        <v/>
      </c>
      <c r="U3" s="404" t="str">
        <f>IF(OR(Sheet1!AM92="",Sheet1!AM93=""),"",AVERAGE(Sheet1!AM92:AM93))</f>
        <v/>
      </c>
      <c r="W3" s="405" t="str">
        <f>IF(OR(MIN(T3:T4)=0,MIN(T7:T8)=0),"",TREND(T3:T4,U7:U8,LN(R3/2)))</f>
        <v/>
      </c>
    </row>
    <row r="4" spans="1:23" ht="15" thickTop="1">
      <c r="A4" s="400">
        <f>Sheet1!AJ12</f>
        <v>0.4</v>
      </c>
      <c r="B4" s="401" t="str">
        <f>IF(MIN(Sheet1!AO12:AO13)=0,"",AVERAGE(Sheet1!AO12:AO13))</f>
        <v/>
      </c>
      <c r="C4" s="402" t="str">
        <f>IF(B4="","",ABS(B4-B3/2))</f>
        <v/>
      </c>
      <c r="D4" s="402" t="str">
        <f>IF(OR(B3="",B4=""),"",IF(ABS(B3-B3/2)=SMALL(C3:C6,2),A3,IF(ABS(B4-B3/2)=SMALL(C3:C6,2),A4,IF(ABS(B5-B3/2)=SMALL(C3:C6,2),A5,IF(ABS(B6-B3/2)=SMALL(C3:C6,2),A6,"")))))</f>
        <v/>
      </c>
      <c r="E4" s="406"/>
      <c r="I4" s="400">
        <f>Sheet1!AJ61</f>
        <v>0.5</v>
      </c>
      <c r="J4" s="401" t="str">
        <f>IF(MIN(Sheet1!AO60:AO61)=0,"",AVERAGE(Sheet1!AO60:AO61))</f>
        <v/>
      </c>
      <c r="K4" s="402" t="str">
        <f>IF(J4="","",ABS(J4-J3/2))</f>
        <v/>
      </c>
      <c r="L4" s="402" t="str">
        <f>IF(OR(J3="",J4=""),"",IF(ABS(J3-J3/2)=SMALL(K3:K6,2),I3,IF(ABS(J4-J3/2)=SMALL(K3:K6,2),I4,IF(ABS(J5-J3/2)=SMALL(K3:K6,2),I5,IF(ABS(J6-J3/2)=SMALL(K3:K6,2),I6,"")))))</f>
        <v/>
      </c>
      <c r="M4" s="406"/>
      <c r="Q4" s="400">
        <f>Sheet1!AJ94</f>
        <v>0.4</v>
      </c>
      <c r="R4" s="401" t="str">
        <f>IF(MIN(Sheet1!AO94:AO95)=0,"",AVERAGE(Sheet1!AO94:AO95))</f>
        <v/>
      </c>
      <c r="S4" s="402" t="str">
        <f>IF(R4="","",ABS(R4-R3/2))</f>
        <v/>
      </c>
      <c r="T4" s="402" t="str">
        <f>IF(OR(R3="",R4=""),"",IF(ABS(R3-R3/2)=SMALL(S3:S6,2),Q3,IF(ABS(R4-R3/2)=SMALL(S3:S6,2),Q4,IF(ABS(R5-R3/2)=SMALL(S3:S6,2),Q5,IF(ABS(R6-R3/2)=SMALL(S3:S6,2),Q6,"")))))</f>
        <v/>
      </c>
      <c r="U4" s="406"/>
    </row>
    <row r="5" spans="1:23">
      <c r="A5" s="407" t="str">
        <f>IF(AND(Sheet1!AM14="",Sheet1!AM16=""),"",IF(Sheet1!AM14&lt;&gt;"",Sheet1!AJ14,Sheet1!AJ16))</f>
        <v/>
      </c>
      <c r="B5" s="401" t="str">
        <f>IF(AND(Sheet1!AM14="",Sheet1!AM16=""),"",IF(Sheet1!AM14&lt;&gt;"",AVERAGE(Sheet1!AO14:AO15),AVERAGE(Sheet1!AO16:AO17)))</f>
        <v/>
      </c>
      <c r="C5" s="402" t="str">
        <f>IF(B5="","",ABS(B5-B3/2))</f>
        <v/>
      </c>
      <c r="D5" s="408"/>
      <c r="E5" s="408"/>
      <c r="I5" s="407" t="str">
        <f>IF(AND(Sheet1!AM63="",Sheet1!AM65=""),"",IF(Sheet1!AM63&lt;&gt;"",Sheet1!AJ63,Sheet1!AJ65))</f>
        <v/>
      </c>
      <c r="J5" s="401" t="str">
        <f>IF(AND(Sheet1!AM62="",Sheet1!AM64=""),"",IF(Sheet1!AM62&lt;&gt;"",AVERAGE(Sheet1!AO62:AO63),AVERAGE(Sheet1!AO64:AO65)))</f>
        <v/>
      </c>
      <c r="K5" s="402" t="str">
        <f>IF(J5="","",ABS(J5-J3/2))</f>
        <v/>
      </c>
      <c r="L5" s="408"/>
      <c r="M5" s="408"/>
      <c r="Q5" s="407" t="str">
        <f>IF(AND(Sheet1!AM96="",Sheet1!AM98=""),"",IF(Sheet1!AM96&lt;&gt;"",Sheet1!AJ96,Sheet1!AJ98))</f>
        <v/>
      </c>
      <c r="R5" s="401" t="str">
        <f>IF(AND(Sheet1!AM96="",Sheet1!AM98=""),"",IF(Sheet1!AM96&lt;&gt;"",AVERAGE(Sheet1!AO96:AO97),AVERAGE(Sheet1!AO98:AO99)))</f>
        <v/>
      </c>
      <c r="S5" s="402" t="str">
        <f>IF(R5="","",ABS(R5-R3/2))</f>
        <v/>
      </c>
      <c r="T5" s="408"/>
      <c r="U5" s="408"/>
    </row>
    <row r="6" spans="1:23" ht="15" thickBot="1">
      <c r="A6" s="407" t="str">
        <f>IF(OR(Sheet1!AM16="",AND(Sheet1!AM14="",Sheet1!AM16&lt;&gt;"")),"",Sheet1!AJ16)</f>
        <v/>
      </c>
      <c r="B6" s="401" t="str">
        <f>IF(OR(Sheet1!AM16="",AND(Sheet1!AM14="",Sheet1!AM16&lt;&gt;"")),"",AVERAGE(Sheet1!AO16:AO17))</f>
        <v/>
      </c>
      <c r="C6" s="402" t="str">
        <f>IF(B6="","",ABS(B6-B3/2))</f>
        <v/>
      </c>
      <c r="D6" s="399" t="s">
        <v>566</v>
      </c>
      <c r="E6" s="399" t="s">
        <v>567</v>
      </c>
      <c r="I6" s="407" t="str">
        <f>IF(OR(Sheet1!AM65="",AND(Sheet1!AM63="",Sheet1!AM65&lt;&gt;"")),"",Sheet1!AJ65)</f>
        <v/>
      </c>
      <c r="J6" s="401" t="str">
        <f>IF(OR(Sheet1!AM64="",AND(Sheet1!AM62="",Sheet1!AM64&lt;&gt;"")),"",AVERAGE(Sheet1!AO64:AO65))</f>
        <v/>
      </c>
      <c r="K6" s="402" t="str">
        <f>IF(J6="","",ABS(J6-J3/2))</f>
        <v/>
      </c>
      <c r="L6" s="399" t="s">
        <v>566</v>
      </c>
      <c r="M6" s="399" t="s">
        <v>567</v>
      </c>
      <c r="Q6" s="407" t="str">
        <f>IF(OR(Sheet1!AM98="",AND(Sheet1!AM96="",Sheet1!AM98&lt;&gt;"")),"",Sheet1!AJ98)</f>
        <v/>
      </c>
      <c r="R6" s="401" t="str">
        <f>IF(OR(Sheet1!AM98="",AND(Sheet1!AM96="",Sheet1!AM98&lt;&gt;"")),"",AVERAGE(Sheet1!AO98:AO99))</f>
        <v/>
      </c>
      <c r="S6" s="402" t="str">
        <f>IF(R6="","",ABS(R6-R3/2))</f>
        <v/>
      </c>
      <c r="T6" s="399" t="s">
        <v>566</v>
      </c>
      <c r="U6" s="399" t="s">
        <v>567</v>
      </c>
    </row>
    <row r="7" spans="1:23">
      <c r="A7" s="409" t="str">
        <f>G3</f>
        <v/>
      </c>
      <c r="B7" s="410" t="str">
        <f>IF(G3="","",EXP(TREND(E7:E8,D3:D4,A7)))</f>
        <v/>
      </c>
      <c r="D7" s="403" t="str">
        <f>IF(OR(B3="",B4=""),"",IF(A3=D3,B3,IF(A4=D3,B4,IF(A5=D3,B5,IF(A6=D3,B6)))))</f>
        <v/>
      </c>
      <c r="E7" s="411" t="str">
        <f>IF(D7="","",LN(D7))</f>
        <v/>
      </c>
      <c r="I7" s="409" t="str">
        <f>O3</f>
        <v/>
      </c>
      <c r="J7" s="410" t="str">
        <f>IF(O3="","",EXP(TREND(M7:M8,L3:L4,I7)))</f>
        <v/>
      </c>
      <c r="L7" s="403" t="str">
        <f>IF(OR(J3="",J4=""),"",IF(I3=L3,J3,IF(I4=L3,J4,IF(I5=L3,J5,IF(I6=L3,J6)))))</f>
        <v/>
      </c>
      <c r="M7" s="411" t="str">
        <f>IF(L7="","",LN(L7))</f>
        <v/>
      </c>
      <c r="Q7" s="409" t="str">
        <f>W3</f>
        <v/>
      </c>
      <c r="R7" s="410" t="str">
        <f>IF(W3="","",EXP(TREND(U7:U8,T3:T4,Q7)))</f>
        <v/>
      </c>
      <c r="T7" s="403" t="str">
        <f>IF(OR(R3="",R4=""),"",IF(Q3=T3,R3,IF(Q4=T3,R4,IF(Q5=T3,R5,IF(Q6=T3,R6)))))</f>
        <v/>
      </c>
      <c r="U7" s="411" t="str">
        <f>IF(T7="","",LN(T7))</f>
        <v/>
      </c>
    </row>
    <row r="8" spans="1:23">
      <c r="D8" s="402" t="str">
        <f>IF(OR(B3="",B4=""),"",IF(A3=D4,B3,IF(A4=D4,B4,IF(A5=D4,B5,IF(A6=D4,B6)))))</f>
        <v/>
      </c>
      <c r="E8" s="412" t="str">
        <f>IF(D8="","",LN(D8))</f>
        <v/>
      </c>
      <c r="L8" s="402" t="str">
        <f>IF(OR(J3="",J4=""),"",IF(I3=L4,J3,IF(I4=L4,J4,IF(I5=L4,J5,IF(I6=L4,J6)))))</f>
        <v/>
      </c>
      <c r="M8" s="412" t="str">
        <f>IF(L8="","",LN(L8))</f>
        <v/>
      </c>
      <c r="T8" s="402" t="str">
        <f>IF(OR(R3="",R4=""),"",IF(Q3=T4,R3,IF(Q4=T4,R4,IF(Q5=T4,R5,IF(Q6=T4,R6)))))</f>
        <v/>
      </c>
      <c r="U8" s="412" t="str">
        <f>IF(T8="","",LN(T8))</f>
        <v/>
      </c>
    </row>
    <row r="9" spans="1:23">
      <c r="A9" s="397">
        <f>Sheet1!AH18</f>
        <v>25</v>
      </c>
      <c r="B9" s="391" t="s">
        <v>49</v>
      </c>
      <c r="I9" s="397">
        <f>Sheet1!AH66</f>
        <v>30</v>
      </c>
      <c r="J9" s="391" t="s">
        <v>49</v>
      </c>
      <c r="Q9" s="397">
        <f>Sheet1!AH100</f>
        <v>30</v>
      </c>
      <c r="R9" s="391" t="s">
        <v>49</v>
      </c>
    </row>
    <row r="10" spans="1:23" ht="15" thickBot="1">
      <c r="A10" s="398" t="s">
        <v>562</v>
      </c>
      <c r="B10" s="399" t="s">
        <v>563</v>
      </c>
      <c r="C10" s="399" t="s">
        <v>564</v>
      </c>
      <c r="D10" s="399" t="s">
        <v>565</v>
      </c>
      <c r="E10" s="399" t="s">
        <v>49</v>
      </c>
      <c r="G10" s="399" t="e">
        <f>"HVL @"&amp;ROUND(E11,2)&amp;" kVp"</f>
        <v>#VALUE!</v>
      </c>
      <c r="I10" s="398" t="s">
        <v>562</v>
      </c>
      <c r="J10" s="399" t="s">
        <v>563</v>
      </c>
      <c r="K10" s="399" t="s">
        <v>564</v>
      </c>
      <c r="L10" s="399" t="s">
        <v>565</v>
      </c>
      <c r="M10" s="399" t="s">
        <v>49</v>
      </c>
      <c r="O10" s="399" t="e">
        <f>"HVL @"&amp;ROUND(M11,2)&amp;" kVp"</f>
        <v>#VALUE!</v>
      </c>
      <c r="Q10" s="398" t="s">
        <v>562</v>
      </c>
      <c r="R10" s="399" t="s">
        <v>563</v>
      </c>
      <c r="S10" s="399" t="s">
        <v>564</v>
      </c>
      <c r="T10" s="399" t="s">
        <v>565</v>
      </c>
      <c r="U10" s="399" t="s">
        <v>49</v>
      </c>
      <c r="W10" s="399" t="e">
        <f>"HVL @"&amp;ROUND(U11,2)&amp;" kVp"</f>
        <v>#VALUE!</v>
      </c>
    </row>
    <row r="11" spans="1:23" ht="15.75" thickTop="1" thickBot="1">
      <c r="A11" s="400">
        <f>Sheet1!AJ18</f>
        <v>0</v>
      </c>
      <c r="B11" s="401" t="str">
        <f>IF(MIN(Sheet1!AO18:AO19)=0,"",AVERAGE(Sheet1!AO18:AO19))</f>
        <v/>
      </c>
      <c r="C11" s="402" t="str">
        <f>IF(B11="","",ABS(B11-B11/2))</f>
        <v/>
      </c>
      <c r="D11" s="403" t="str">
        <f>IF(OR(B11="",B12=""),"",IF(ABS(B11-B11/2)=SMALL(C11:C14,1),A11,IF(ABS(B12-B11/2)=SMALL(C11:C14,1),A12,IF(ABS(B13-B11/2)=SMALL(C11:C14,1),A13,IF(ABS(B14-B11/2)=SMALL(C11:C14,1),A14,"")))))</f>
        <v/>
      </c>
      <c r="E11" s="404" t="str">
        <f>IF(OR(Sheet1!AM18="",Sheet1!AM19=""),"",AVERAGE(Sheet1!AM18:AM19))</f>
        <v/>
      </c>
      <c r="G11" s="405" t="str">
        <f>IF(OR(MIN(D11:D12)=0,MIN(D15:D16)=0),"",TREND(D11:D12,E15:E16,LN(B11/2)))</f>
        <v/>
      </c>
      <c r="I11" s="400">
        <f>Sheet1!AJ66</f>
        <v>0</v>
      </c>
      <c r="J11" s="401" t="str">
        <f>IF(MIN(Sheet1!AO66:AO67)=0,"",AVERAGE(Sheet1!AO66:AO67))</f>
        <v/>
      </c>
      <c r="K11" s="402" t="str">
        <f>IF(J11="","",ABS(J11-J11/2))</f>
        <v/>
      </c>
      <c r="L11" s="403" t="str">
        <f>IF(OR(J11="",J12=""),"",IF(ABS(J11-J11/2)=SMALL(K11:K14,1),I11,IF(ABS(J12-J11/2)=SMALL(K11:K14,1),I12,IF(ABS(J13-J11/2)=SMALL(K11:K14,1),I13,IF(ABS(J14-J11/2)=SMALL(K11:K14,1),I14,"")))))</f>
        <v/>
      </c>
      <c r="M11" s="404" t="str">
        <f>IF(OR(Sheet1!AM66="",Sheet1!AM67=""),"",AVERAGE(Sheet1!AM66:AM67))</f>
        <v/>
      </c>
      <c r="O11" s="405" t="str">
        <f>IF(OR(MIN(L11:L12)=0,MIN(L15:L16)=0),"",TREND(L11:L12,M15:M16,LN(J11/2)))</f>
        <v/>
      </c>
      <c r="Q11" s="400">
        <f>Sheet1!AJ100</f>
        <v>0</v>
      </c>
      <c r="R11" s="401" t="str">
        <f>IF(MIN(Sheet1!AO100:AO101)=0,"",AVERAGE(Sheet1!AO100:AO101))</f>
        <v/>
      </c>
      <c r="S11" s="402" t="str">
        <f>IF(R11="","",ABS(R11-R11/2))</f>
        <v/>
      </c>
      <c r="T11" s="403" t="str">
        <f>IF(OR(R11="",R12=""),"",IF(ABS(R11-R11/2)=SMALL(S11:S14,1),Q11,IF(ABS(R12-R11/2)=SMALL(S11:S14,1),Q12,IF(ABS(R13-R11/2)=SMALL(S11:S14,1),Q13,IF(ABS(R14-R11/2)=SMALL(S11:S14,1),Q14,"")))))</f>
        <v/>
      </c>
      <c r="U11" s="404" t="str">
        <f>IF(OR(Sheet1!AM100="",Sheet1!AM101=""),"",AVERAGE(Sheet1!AM100:AM101))</f>
        <v/>
      </c>
      <c r="W11" s="405" t="str">
        <f>IF(OR(MIN(T11:T12)=0,MIN(T15:T16)=0),"",TREND(T11:T12,U15:U16,LN(R11/2)))</f>
        <v/>
      </c>
    </row>
    <row r="12" spans="1:23" ht="15" thickTop="1">
      <c r="A12" s="400">
        <f>Sheet1!AJ20</f>
        <v>0.4</v>
      </c>
      <c r="B12" s="401" t="str">
        <f>IF(MIN(Sheet1!AO20:AO21)=0,"",AVERAGE(Sheet1!AO20:AO21))</f>
        <v/>
      </c>
      <c r="C12" s="402" t="str">
        <f>IF(B12="","",ABS(B12-B11/2))</f>
        <v/>
      </c>
      <c r="D12" s="402" t="str">
        <f>IF(OR(B11="",B12=""),"",IF(ABS(B11-B11/2)=SMALL(C11:C14,2),A11,IF(ABS(B12-B11/2)=SMALL(C11:C14,2),A12,IF(ABS(B13-B11/2)=SMALL(C11:C14,2),A13,IF(ABS(B14-B11/2)=SMALL(C11:C14,2),A14,"")))))</f>
        <v/>
      </c>
      <c r="E12" s="406"/>
      <c r="I12" s="400">
        <f>Sheet1!AJ68</f>
        <v>0.5</v>
      </c>
      <c r="J12" s="401" t="str">
        <f>IF(MIN(Sheet1!AO68:AO69)=0,"",AVERAGE(Sheet1!AO68:AO69))</f>
        <v/>
      </c>
      <c r="K12" s="402" t="str">
        <f>IF(J12="","",ABS(J12-J11/2))</f>
        <v/>
      </c>
      <c r="L12" s="402" t="str">
        <f>IF(OR(J11="",J12=""),"",IF(ABS(J11-J11/2)=SMALL(K11:K14,2),I11,IF(ABS(J12-J11/2)=SMALL(K11:K14,2),I12,IF(ABS(J13-J11/2)=SMALL(K11:K14,2),I13,IF(ABS(J14-J11/2)=SMALL(K11:K14,2),I14,"")))))</f>
        <v/>
      </c>
      <c r="M12" s="406"/>
      <c r="Q12" s="400">
        <f>Sheet1!AJ102</f>
        <v>0.4</v>
      </c>
      <c r="R12" s="401" t="str">
        <f>IF(MIN(Sheet1!AO102:AO103)=0,"",AVERAGE(Sheet1!AO102:AO103))</f>
        <v/>
      </c>
      <c r="S12" s="402" t="str">
        <f>IF(R12="","",ABS(R12-R11/2))</f>
        <v/>
      </c>
      <c r="T12" s="402" t="str">
        <f>IF(OR(R11="",R12=""),"",IF(ABS(R11-R11/2)=SMALL(S11:S14,2),Q11,IF(ABS(R12-R11/2)=SMALL(S11:S14,2),Q12,IF(ABS(R13-R11/2)=SMALL(S11:S14,2),Q13,IF(ABS(R14-R11/2)=SMALL(S11:S14,2),Q14,"")))))</f>
        <v/>
      </c>
      <c r="U12" s="406"/>
    </row>
    <row r="13" spans="1:23">
      <c r="A13" s="407" t="str">
        <f>IF(AND(Sheet1!AM22="",Sheet1!AM24=""),"",IF(Sheet1!AM22&lt;&gt;"",Sheet1!AJ22,Sheet1!AJ24))</f>
        <v/>
      </c>
      <c r="B13" s="401" t="str">
        <f>IF(AND(Sheet1!AM22="",Sheet1!AM24=""),"",IF(Sheet1!AM22&lt;&gt;"",AVERAGE(Sheet1!AO22:AO23),AVERAGE(Sheet1!AO24:AO25)))</f>
        <v/>
      </c>
      <c r="C13" s="402" t="str">
        <f>IF(B13="","",ABS(B13-B11/2))</f>
        <v/>
      </c>
      <c r="D13" s="408"/>
      <c r="E13" s="408"/>
      <c r="I13" s="407" t="str">
        <f>IF(AND(Sheet1!AM70="",Sheet1!AM72=""),"",IF(Sheet1!AM70&lt;&gt;"",Sheet1!AJ70,Sheet1!AJ72))</f>
        <v/>
      </c>
      <c r="J13" s="401" t="str">
        <f>IF(AND(Sheet1!AM70="",Sheet1!AM72=""),"",IF(Sheet1!AM70&lt;&gt;"",AVERAGE(Sheet1!AO70:AO71),AVERAGE(Sheet1!AO72:AO73)))</f>
        <v/>
      </c>
      <c r="K13" s="402" t="str">
        <f>IF(J13="","",ABS(J13-J11/2))</f>
        <v/>
      </c>
      <c r="L13" s="408"/>
      <c r="M13" s="408"/>
      <c r="Q13" s="407" t="str">
        <f>IF(AND(Sheet1!AM104="",Sheet1!AM106=""),"",IF(Sheet1!AM104&lt;&gt;"",Sheet1!AJ104,Sheet1!AJ106))</f>
        <v/>
      </c>
      <c r="R13" s="401" t="str">
        <f>IF(AND(Sheet1!AM104="",Sheet1!AM106=""),"",IF(Sheet1!AM104&lt;&gt;"",AVERAGE(Sheet1!AO104:AO105),AVERAGE(Sheet1!AO106:AO107)))</f>
        <v/>
      </c>
      <c r="S13" s="402" t="str">
        <f>IF(R13="","",ABS(R13-R11/2))</f>
        <v/>
      </c>
      <c r="T13" s="408"/>
      <c r="U13" s="408"/>
    </row>
    <row r="14" spans="1:23" ht="15" thickBot="1">
      <c r="A14" s="407" t="str">
        <f>IF(OR(Sheet1!AM24="",AND(Sheet1!AM22="",Sheet1!AM24&lt;&gt;"")),"",Sheet1!AJ24)</f>
        <v/>
      </c>
      <c r="B14" s="401" t="str">
        <f>IF(OR(Sheet1!AM24="",AND(Sheet1!AM22="",Sheet1!AM24&lt;&gt;"")),"",AVERAGE(Sheet1!AO24:AO25))</f>
        <v/>
      </c>
      <c r="C14" s="402" t="str">
        <f>IF(B14="","",ABS(B14-B11/2))</f>
        <v/>
      </c>
      <c r="D14" s="399" t="s">
        <v>566</v>
      </c>
      <c r="E14" s="399" t="s">
        <v>567</v>
      </c>
      <c r="I14" s="407" t="str">
        <f>IF(OR(Sheet1!AM72="",AND(Sheet1!AM70="",Sheet1!AM72&lt;&gt;"")),"",Sheet1!AJ72)</f>
        <v/>
      </c>
      <c r="J14" s="401" t="str">
        <f>IF(OR(Sheet1!AM72="",AND(Sheet1!AM70="",Sheet1!AM72&lt;&gt;"")),"",AVERAGE(Sheet1!AO72:AO73))</f>
        <v/>
      </c>
      <c r="K14" s="402" t="str">
        <f>IF(J14="","",ABS(J14-J11/2))</f>
        <v/>
      </c>
      <c r="L14" s="399" t="s">
        <v>566</v>
      </c>
      <c r="M14" s="399" t="s">
        <v>567</v>
      </c>
      <c r="Q14" s="407" t="str">
        <f>IF(OR(Sheet1!AM106="",AND(Sheet1!AM104="",Sheet1!AM106&lt;&gt;"")),"",Sheet1!AJ106)</f>
        <v/>
      </c>
      <c r="R14" s="401" t="str">
        <f>IF(OR(Sheet1!AM106="",AND(Sheet1!AM104="",Sheet1!AM106&lt;&gt;"")),"",AVERAGE(Sheet1!AO106:AO107))</f>
        <v/>
      </c>
      <c r="S14" s="402" t="str">
        <f>IF(R14="","",ABS(R14-R11/2))</f>
        <v/>
      </c>
      <c r="T14" s="399" t="s">
        <v>566</v>
      </c>
      <c r="U14" s="399" t="s">
        <v>567</v>
      </c>
    </row>
    <row r="15" spans="1:23">
      <c r="A15" s="409" t="str">
        <f>G11</f>
        <v/>
      </c>
      <c r="B15" s="410" t="str">
        <f>IF(G11="","",EXP(TREND(E15:E16,D11:D12,A15)))</f>
        <v/>
      </c>
      <c r="D15" s="403" t="str">
        <f>IF(OR(B11="",B12=""),"",IF(A11=D11,B11,IF(A12=D11,B12,IF(A13=D11,B13,IF(A14=D11,B14)))))</f>
        <v/>
      </c>
      <c r="E15" s="411" t="str">
        <f>IF(D15="","",LN(D15))</f>
        <v/>
      </c>
      <c r="I15" s="409" t="str">
        <f>O11</f>
        <v/>
      </c>
      <c r="J15" s="410" t="str">
        <f>IF(O11="","",EXP(TREND(M15:M16,L11:L12,I15)))</f>
        <v/>
      </c>
      <c r="L15" s="403" t="str">
        <f>IF(OR(J11="",J12=""),"",IF(I11=L11,J11,IF(I12=L11,J12,IF(I13=L11,J13,IF(I14=L11,J14)))))</f>
        <v/>
      </c>
      <c r="M15" s="411" t="str">
        <f>IF(L15="","",LN(L15))</f>
        <v/>
      </c>
      <c r="Q15" s="409" t="str">
        <f>W11</f>
        <v/>
      </c>
      <c r="R15" s="410" t="str">
        <f>IF(W11="","",EXP(TREND(U15:U16,T11:T12,Q15)))</f>
        <v/>
      </c>
      <c r="T15" s="403" t="str">
        <f>IF(OR(R11="",R12=""),"",IF(Q11=T11,R11,IF(Q12=T11,R12,IF(Q13=T11,R13,IF(Q14=T11,R14)))))</f>
        <v/>
      </c>
      <c r="U15" s="411" t="str">
        <f>IF(T15="","",LN(T15))</f>
        <v/>
      </c>
    </row>
    <row r="16" spans="1:23">
      <c r="D16" s="402" t="str">
        <f>IF(OR(B11="",B12=""),"",IF(A11=D12,B11,IF(A12=D12,B12,IF(A13=D12,B13,IF(A14=D12,B14)))))</f>
        <v/>
      </c>
      <c r="E16" s="412" t="str">
        <f>IF(D16="","",LN(D16))</f>
        <v/>
      </c>
      <c r="L16" s="402" t="str">
        <f>IF(OR(J11="",J12=""),"",IF(I11=L12,J11,IF(I12=L12,J12,IF(I13=L12,J13,IF(I14=L12,J14)))))</f>
        <v/>
      </c>
      <c r="M16" s="412" t="str">
        <f>IF(L16="","",LN(L16))</f>
        <v/>
      </c>
      <c r="T16" s="402" t="str">
        <f>IF(OR(R11="",R12=""),"",IF(Q11=T12,R11,IF(Q12=T12,R12,IF(Q13=T12,R13,IF(Q14=T12,R14)))))</f>
        <v/>
      </c>
      <c r="U16" s="412" t="str">
        <f>IF(T16="","",LN(T16))</f>
        <v/>
      </c>
    </row>
    <row r="17" spans="1:23">
      <c r="A17" s="397">
        <f>Sheet1!AH27</f>
        <v>28</v>
      </c>
      <c r="B17" s="391" t="s">
        <v>49</v>
      </c>
      <c r="I17" s="397">
        <f>Sheet1!AH74</f>
        <v>32</v>
      </c>
      <c r="J17" s="391" t="s">
        <v>49</v>
      </c>
      <c r="Q17" s="397">
        <f>Sheet1!AH108</f>
        <v>32</v>
      </c>
      <c r="R17" s="391" t="s">
        <v>49</v>
      </c>
    </row>
    <row r="18" spans="1:23" ht="15" thickBot="1">
      <c r="A18" s="398" t="s">
        <v>562</v>
      </c>
      <c r="B18" s="399" t="s">
        <v>563</v>
      </c>
      <c r="C18" s="399" t="s">
        <v>564</v>
      </c>
      <c r="D18" s="399" t="s">
        <v>565</v>
      </c>
      <c r="E18" s="399" t="s">
        <v>49</v>
      </c>
      <c r="G18" s="399" t="e">
        <f>"HVL @"&amp;ROUND(E19,2)&amp;" kVp"</f>
        <v>#VALUE!</v>
      </c>
      <c r="I18" s="398" t="s">
        <v>562</v>
      </c>
      <c r="J18" s="399" t="s">
        <v>563</v>
      </c>
      <c r="K18" s="399" t="s">
        <v>564</v>
      </c>
      <c r="L18" s="399" t="s">
        <v>565</v>
      </c>
      <c r="M18" s="399" t="s">
        <v>49</v>
      </c>
      <c r="O18" s="399" t="e">
        <f>"HVL @"&amp;ROUND(M19,2)&amp;" kVp"</f>
        <v>#VALUE!</v>
      </c>
      <c r="Q18" s="398" t="s">
        <v>562</v>
      </c>
      <c r="R18" s="399" t="s">
        <v>563</v>
      </c>
      <c r="S18" s="399" t="s">
        <v>564</v>
      </c>
      <c r="T18" s="399" t="s">
        <v>565</v>
      </c>
      <c r="U18" s="399" t="s">
        <v>49</v>
      </c>
      <c r="W18" s="399" t="e">
        <f>"HVL @"&amp;ROUND(U19,2)&amp;" kVp"</f>
        <v>#VALUE!</v>
      </c>
    </row>
    <row r="19" spans="1:23" ht="15.75" thickTop="1" thickBot="1">
      <c r="A19" s="400">
        <f>Sheet1!AJ27</f>
        <v>0</v>
      </c>
      <c r="B19" s="401" t="str">
        <f>IF(MIN(Sheet1!AO28:AO29)=0,"",AVERAGE(Sheet1!AO28:AO31))</f>
        <v/>
      </c>
      <c r="C19" s="402" t="str">
        <f>IF(B19="","",ABS(B19-B19/2))</f>
        <v/>
      </c>
      <c r="D19" s="403" t="str">
        <f>IF(OR(B19="",B20=""),"",IF(ABS(B19-B19/2)=SMALL(C19:C22,1),A19,IF(ABS(B20-B19/2)=SMALL(C19:C22,1),A20,IF(ABS(B21-B19/2)=SMALL(C19:C22,1),A21,IF(ABS(B22-B19/2)=SMALL(C19:C22,1),A22,"")))))</f>
        <v/>
      </c>
      <c r="E19" s="404" t="str">
        <f>IF(OR(Sheet1!AM28="",Sheet1!AM29=""),"",AVERAGE(Sheet1!AM28:AM31))</f>
        <v/>
      </c>
      <c r="G19" s="405" t="str">
        <f>IF(OR(MIN(D19:D20)=0,MIN(D23:D24)=0),"",TREND(D19:D20,E23:E24,LN(B19/2)))</f>
        <v/>
      </c>
      <c r="I19" s="400">
        <f>Sheet1!AJ74</f>
        <v>0</v>
      </c>
      <c r="J19" s="401" t="str">
        <f>IF(MIN(Sheet1!AO74:AO75)=0,"",AVERAGE(Sheet1!AO74:AO75))</f>
        <v/>
      </c>
      <c r="K19" s="402" t="str">
        <f>IF(J19="","",ABS(J19-J19/2))</f>
        <v/>
      </c>
      <c r="L19" s="403" t="str">
        <f>IF(OR(J19="",J20=""),"",IF(ABS(J19-J19/2)=SMALL(K19:K22,1),I19,IF(ABS(J20-J19/2)=SMALL(K19:K22,1),I20,IF(ABS(J21-J19/2)=SMALL(K19:K22,1),I21,IF(ABS(J22-J19/2)=SMALL(K19:K22,1),I22,"")))))</f>
        <v/>
      </c>
      <c r="M19" s="404" t="str">
        <f>IF(OR(Sheet1!AM74="",Sheet1!AM75=""),"",AVERAGE(Sheet1!AM74:AM75))</f>
        <v/>
      </c>
      <c r="O19" s="405" t="str">
        <f>IF(OR(MIN(L19:L20)=0,MIN(L23:L24)=0),"",TREND(L19:L20,M23:M24,LN(J19/2)))</f>
        <v/>
      </c>
      <c r="Q19" s="400">
        <f>Sheet1!AJ108</f>
        <v>0</v>
      </c>
      <c r="R19" s="401" t="str">
        <f>IF(MIN(Sheet1!AO108:AO109)=0,"",AVERAGE(Sheet1!AO108:AO109))</f>
        <v/>
      </c>
      <c r="S19" s="402" t="str">
        <f>IF(R19="","",ABS(R19-R19/2))</f>
        <v/>
      </c>
      <c r="T19" s="403" t="str">
        <f>IF(OR(R19="",R20=""),"",IF(ABS(R19-R19/2)=SMALL(S19:S22,1),Q19,IF(ABS(R20-R19/2)=SMALL(S19:S22,1),Q20,IF(ABS(R21-R19/2)=SMALL(S19:S22,1),Q21,IF(ABS(R22-R19/2)=SMALL(S19:S22,1),Q22,"")))))</f>
        <v/>
      </c>
      <c r="U19" s="404" t="str">
        <f>IF(OR(Sheet1!AM108="",Sheet1!AM109=""),"",AVERAGE(Sheet1!AM108:AM109))</f>
        <v/>
      </c>
      <c r="W19" s="405" t="str">
        <f>IF(OR(MIN(T19:T20)=0,MIN(T23:T24)=0),"",TREND(T19:T20,U23:U24,LN(R19/2)))</f>
        <v/>
      </c>
    </row>
    <row r="20" spans="1:23" ht="15" thickTop="1">
      <c r="A20" s="400">
        <f>Sheet1!AJ32</f>
        <v>0.5</v>
      </c>
      <c r="B20" s="401" t="str">
        <f>IF(MIN(Sheet1!AO32:AO33)=0,"",AVERAGE(Sheet1!AO32:AO33))</f>
        <v/>
      </c>
      <c r="C20" s="402" t="str">
        <f>IF(B20="","",ABS(B20-B19/2))</f>
        <v/>
      </c>
      <c r="D20" s="402" t="str">
        <f>IF(OR(B19="",B20=""),"",IF(ABS(B19-B19/2)=SMALL(C19:C22,2),A19,IF(ABS(B20-B19/2)=SMALL(C19:C22,2),A20,IF(ABS(B21-B19/2)=SMALL(C19:C22,2),A21,IF(ABS(B22-B19/2)=SMALL(C19:C22,2),A22,"")))))</f>
        <v/>
      </c>
      <c r="E20" s="406"/>
      <c r="I20" s="400">
        <f>Sheet1!AJ76</f>
        <v>0.6</v>
      </c>
      <c r="J20" s="401" t="str">
        <f>IF(MIN(Sheet1!AO76:AO77)=0,"",AVERAGE(Sheet1!AO76:AO77))</f>
        <v/>
      </c>
      <c r="K20" s="402" t="str">
        <f>IF(J20="","",ABS(J20-J19/2))</f>
        <v/>
      </c>
      <c r="L20" s="402" t="str">
        <f>IF(OR(J19="",J20=""),"",IF(ABS(J19-J19/2)=SMALL(K19:K22,2),I19,IF(ABS(J20-J19/2)=SMALL(K19:K22,2),I20,IF(ABS(J21-J19/2)=SMALL(K19:K22,2),I21,IF(ABS(J22-J19/2)=SMALL(K19:K22,2),I22,"")))))</f>
        <v/>
      </c>
      <c r="M20" s="406"/>
      <c r="Q20" s="400">
        <f>Sheet1!AJ110</f>
        <v>0.5</v>
      </c>
      <c r="R20" s="401" t="str">
        <f>IF(MIN(Sheet1!AO110:AO111)=0,"",AVERAGE(Sheet1!AO110:AO111))</f>
        <v/>
      </c>
      <c r="S20" s="402" t="str">
        <f>IF(R20="","",ABS(R20-R19/2))</f>
        <v/>
      </c>
      <c r="T20" s="402" t="str">
        <f>IF(OR(R19="",R20=""),"",IF(ABS(R19-R19/2)=SMALL(S19:S22,2),Q19,IF(ABS(R20-R19/2)=SMALL(S19:S22,2),Q20,IF(ABS(R21-R19/2)=SMALL(S19:S22,2),Q21,IF(ABS(R22-R19/2)=SMALL(S19:S22,2),Q22,"")))))</f>
        <v/>
      </c>
      <c r="U20" s="406"/>
    </row>
    <row r="21" spans="1:23">
      <c r="A21" s="407" t="str">
        <f>IF(AND(Sheet1!AM34="",Sheet1!AM36=""),"",IF(Sheet1!AM34&lt;&gt;"",Sheet1!AJ34,Sheet1!AJ36))</f>
        <v/>
      </c>
      <c r="B21" s="401" t="str">
        <f>IF(AND(Sheet1!AM34="",Sheet1!AM36=""),"",IF(Sheet1!AM34&lt;&gt;"",AVERAGE(Sheet1!AO34:AO35),AVERAGE(Sheet1!AO36:AO37)))</f>
        <v/>
      </c>
      <c r="C21" s="402" t="str">
        <f>IF(B21="","",ABS(B21-B19/2))</f>
        <v/>
      </c>
      <c r="D21" s="408"/>
      <c r="E21" s="408"/>
      <c r="I21" s="407" t="str">
        <f>IF(AND(Sheet1!AM78="",Sheet1!AM80=""),"",IF(Sheet1!AM78&lt;&gt;"",Sheet1!AJ78,Sheet1!AJ80))</f>
        <v/>
      </c>
      <c r="J21" s="401" t="str">
        <f>IF(AND(Sheet1!AM78="",Sheet1!AM80=""),"",IF(Sheet1!AM78&lt;&gt;"",AVERAGE(Sheet1!AO78:AO79),AVERAGE(Sheet1!AO80:AO81)))</f>
        <v/>
      </c>
      <c r="K21" s="402" t="str">
        <f>IF(J21="","",ABS(J21-J19/2))</f>
        <v/>
      </c>
      <c r="L21" s="408"/>
      <c r="M21" s="408"/>
      <c r="Q21" s="407" t="str">
        <f>IF(AND(Sheet1!AM112="",Sheet1!AM114=""),"",IF(Sheet1!AM112&lt;&gt;"",Sheet1!AJ112,Sheet1!AJ114))</f>
        <v/>
      </c>
      <c r="R21" s="401" t="str">
        <f>IF(AND(Sheet1!AM112="",Sheet1!AM114=""),"",IF(Sheet1!AM112&lt;&gt;"",AVERAGE(Sheet1!AO112:AO113),AVERAGE(Sheet1!AO114:AO115)))</f>
        <v/>
      </c>
      <c r="S21" s="402" t="str">
        <f>IF(R21="","",ABS(R21-R19/2))</f>
        <v/>
      </c>
      <c r="T21" s="408"/>
      <c r="U21" s="408"/>
    </row>
    <row r="22" spans="1:23" ht="15" thickBot="1">
      <c r="A22" s="407" t="str">
        <f>IF(OR(Sheet1!AM36="",AND(Sheet1!AM34="",Sheet1!AM36&lt;&gt;"")),"",Sheet1!AJ36)</f>
        <v/>
      </c>
      <c r="B22" s="401" t="str">
        <f>IF(OR(Sheet1!AM36="",AND(Sheet1!AM34="",Sheet1!AM36&lt;&gt;"")),"",AVERAGE(Sheet1!AO36:AO37))</f>
        <v/>
      </c>
      <c r="C22" s="402" t="str">
        <f>IF(B22="","",ABS(B22-B19/2))</f>
        <v/>
      </c>
      <c r="D22" s="399" t="s">
        <v>566</v>
      </c>
      <c r="E22" s="399" t="s">
        <v>567</v>
      </c>
      <c r="I22" s="407" t="str">
        <f>IF(OR(Sheet1!AM80="",AND(Sheet1!AM78="",Sheet1!AM80&lt;&gt;"")),"",Sheet1!AJ80)</f>
        <v/>
      </c>
      <c r="J22" s="401" t="str">
        <f>IF(OR(Sheet1!AM80="",AND(Sheet1!AM78="",Sheet1!AM80&lt;&gt;"")),"",AVERAGE(Sheet1!AO80:AO81))</f>
        <v/>
      </c>
      <c r="K22" s="402" t="str">
        <f>IF(J22="","",ABS(J22-J19/2))</f>
        <v/>
      </c>
      <c r="L22" s="399" t="s">
        <v>566</v>
      </c>
      <c r="M22" s="399" t="s">
        <v>567</v>
      </c>
      <c r="Q22" s="407" t="str">
        <f>IF(OR(Sheet1!AM114="",AND(Sheet1!AM112="",Sheet1!AM114&lt;&gt;"")),"",Sheet1!AJ114)</f>
        <v/>
      </c>
      <c r="R22" s="401" t="str">
        <f>IF(OR(Sheet1!AM114="",AND(Sheet1!AM112="",Sheet1!AM114&lt;&gt;"")),"",AVERAGE(Sheet1!AO114:AO115))</f>
        <v/>
      </c>
      <c r="S22" s="402" t="str">
        <f>IF(R22="","",ABS(R22-R19/2))</f>
        <v/>
      </c>
      <c r="T22" s="399" t="s">
        <v>566</v>
      </c>
      <c r="U22" s="399" t="s">
        <v>567</v>
      </c>
    </row>
    <row r="23" spans="1:23">
      <c r="A23" s="409" t="str">
        <f>G19</f>
        <v/>
      </c>
      <c r="B23" s="410" t="str">
        <f>IF(G19="","",EXP(TREND(E23:E24,D19:D20,A23)))</f>
        <v/>
      </c>
      <c r="D23" s="403" t="str">
        <f>IF(OR(B19="",B20=""),"",IF(A19=D19,B19,IF(A20=D19,B20,IF(A21=D19,B21,IF(A22=D19,B22)))))</f>
        <v/>
      </c>
      <c r="E23" s="411" t="str">
        <f>IF(D23="","",LN(D23))</f>
        <v/>
      </c>
      <c r="I23" s="409" t="str">
        <f>O19</f>
        <v/>
      </c>
      <c r="J23" s="410" t="str">
        <f>IF(O19="","",EXP(TREND(M23:M24,L19:L20,I23)))</f>
        <v/>
      </c>
      <c r="L23" s="403" t="str">
        <f>IF(OR(J19="",J20=""),"",IF(I19=L19,J19,IF(I20=L19,J20,IF(I21=L19,J21,IF(I22=L19,J22)))))</f>
        <v/>
      </c>
      <c r="M23" s="411" t="str">
        <f>IF(L23="","",LN(L23))</f>
        <v/>
      </c>
      <c r="Q23" s="409" t="str">
        <f>W19</f>
        <v/>
      </c>
      <c r="R23" s="410" t="str">
        <f>IF(W19="","",EXP(TREND(U23:U24,T19:T20,Q23)))</f>
        <v/>
      </c>
      <c r="T23" s="403" t="str">
        <f>IF(OR(R19="",R20=""),"",IF(Q19=T19,R19,IF(Q20=T19,R20,IF(Q21=T19,R21,IF(Q22=T19,R22)))))</f>
        <v/>
      </c>
      <c r="U23" s="411" t="str">
        <f>IF(T23="","",LN(T23))</f>
        <v/>
      </c>
    </row>
    <row r="24" spans="1:23">
      <c r="D24" s="402" t="str">
        <f>IF(OR(B19="",B20=""),"",IF(A19=D20,B19,IF(A20=D20,B20,IF(A21=D20,B21,IF(A22=D20,B22)))))</f>
        <v/>
      </c>
      <c r="E24" s="412" t="str">
        <f>IF(D24="","",LN(D24))</f>
        <v/>
      </c>
      <c r="L24" s="402" t="str">
        <f>IF(OR(J19="",J20=""),"",IF(I19=L20,J19,IF(I20=L20,J20,IF(I21=L20,J21,IF(I22=L20,J22)))))</f>
        <v/>
      </c>
      <c r="M24" s="412" t="str">
        <f>IF(L24="","",LN(L24))</f>
        <v/>
      </c>
      <c r="T24" s="402" t="str">
        <f>IF(OR(R19="",R20=""),"",IF(Q19=T20,R19,IF(Q20=T20,R20,IF(Q21=T20,R21,IF(Q22=T20,R22)))))</f>
        <v/>
      </c>
      <c r="U24" s="412" t="str">
        <f>IF(T24="","",LN(T24))</f>
        <v/>
      </c>
    </row>
    <row r="25" spans="1:23">
      <c r="A25" s="397">
        <f>Sheet1!AH42</f>
        <v>32</v>
      </c>
      <c r="B25" s="391" t="s">
        <v>49</v>
      </c>
      <c r="I25" s="397">
        <f>Sheet1!AH82</f>
        <v>34</v>
      </c>
      <c r="J25" s="391" t="s">
        <v>49</v>
      </c>
      <c r="Q25" s="397">
        <f>Sheet1!AH116</f>
        <v>34</v>
      </c>
      <c r="R25" s="391" t="s">
        <v>49</v>
      </c>
    </row>
    <row r="26" spans="1:23" ht="15" thickBot="1">
      <c r="A26" s="398" t="s">
        <v>562</v>
      </c>
      <c r="B26" s="399" t="s">
        <v>563</v>
      </c>
      <c r="C26" s="399" t="s">
        <v>564</v>
      </c>
      <c r="D26" s="399" t="s">
        <v>565</v>
      </c>
      <c r="E26" s="399" t="s">
        <v>49</v>
      </c>
      <c r="G26" s="399" t="e">
        <f>"HVL @"&amp;ROUND(E27,2)&amp;" kVp"</f>
        <v>#VALUE!</v>
      </c>
      <c r="I26" s="398" t="s">
        <v>562</v>
      </c>
      <c r="J26" s="399" t="s">
        <v>563</v>
      </c>
      <c r="K26" s="399" t="s">
        <v>564</v>
      </c>
      <c r="L26" s="399" t="s">
        <v>565</v>
      </c>
      <c r="M26" s="399" t="s">
        <v>49</v>
      </c>
      <c r="O26" s="399" t="e">
        <f>"HVL @"&amp;ROUND(M27,2)&amp;" kVp"</f>
        <v>#VALUE!</v>
      </c>
      <c r="Q26" s="398" t="s">
        <v>562</v>
      </c>
      <c r="R26" s="399" t="s">
        <v>563</v>
      </c>
      <c r="S26" s="399" t="s">
        <v>564</v>
      </c>
      <c r="T26" s="399" t="s">
        <v>565</v>
      </c>
      <c r="U26" s="399" t="s">
        <v>49</v>
      </c>
      <c r="W26" s="399" t="e">
        <f>"HVL @"&amp;ROUND(U27,2)&amp;" kVp"</f>
        <v>#VALUE!</v>
      </c>
    </row>
    <row r="27" spans="1:23" ht="15.75" thickTop="1" thickBot="1">
      <c r="A27" s="400">
        <f>Sheet1!AJ42</f>
        <v>0</v>
      </c>
      <c r="B27" s="401" t="str">
        <f>IF(MIN(Sheet1!AO42:AO43)=0,"",AVERAGE(Sheet1!AO42:AO43))</f>
        <v/>
      </c>
      <c r="C27" s="402" t="str">
        <f>IF(B27="","",ABS(B27-B27/2))</f>
        <v/>
      </c>
      <c r="D27" s="403" t="str">
        <f>IF(OR(B27="",B28=""),"",IF(ABS(B27-B27/2)=SMALL(C27:C30,1),A27,IF(ABS(B28-B27/2)=SMALL(C27:C30,1),A28,IF(ABS(B29-B27/2)=SMALL(C27:C30,1),A29,IF(ABS(B30-B27/2)=SMALL(C27:C30,1),A30,"")))))</f>
        <v/>
      </c>
      <c r="E27" s="404" t="str">
        <f>IF(OR(Sheet1!AM41="",Sheet1!AM42=""),"",AVERAGE(Sheet1!AM41:AM42))</f>
        <v/>
      </c>
      <c r="G27" s="405" t="str">
        <f>IF(OR(MIN(D27:D28)=0,MIN(D31:D32)=0),"",TREND(D27:D28,E31:E32,LN(B27/2)))</f>
        <v/>
      </c>
      <c r="I27" s="400">
        <f>Sheet1!AJ82</f>
        <v>0</v>
      </c>
      <c r="J27" s="401" t="str">
        <f>IF(MIN(Sheet1!AO82:AO83)=0,"",AVERAGE(Sheet1!AO82:AO83))</f>
        <v/>
      </c>
      <c r="K27" s="402" t="str">
        <f>IF(J27="","",ABS(J27-J27/2))</f>
        <v/>
      </c>
      <c r="L27" s="403" t="str">
        <f>IF(OR(J27="",J28=""),"",IF(ABS(J27-J27/2)=SMALL(K27:K30,1),I27,IF(ABS(J28-J27/2)=SMALL(K27:K30,1),I28,IF(ABS(J29-J27/2)=SMALL(K27:K30,1),I29,IF(ABS(J30-J27/2)=SMALL(K27:K30,1),I30,"")))))</f>
        <v/>
      </c>
      <c r="M27" s="404" t="str">
        <f>IF(OR(Sheet1!AM82="",Sheet1!AM83=""),"",AVERAGE(Sheet1!AM82:AM83))</f>
        <v/>
      </c>
      <c r="O27" s="405" t="str">
        <f>IF(OR(MIN(L27:L28)=0,MIN(L31:L32)=0),"",TREND(L27:L28,M31:M32,LN(J27/2)))</f>
        <v/>
      </c>
      <c r="Q27" s="400">
        <f>Sheet1!AJ116</f>
        <v>0</v>
      </c>
      <c r="R27" s="401" t="str">
        <f>IF(MIN(Sheet1!AO116:AO117)=0,"",AVERAGE(Sheet1!AO116:AO117))</f>
        <v/>
      </c>
      <c r="S27" s="402" t="str">
        <f>IF(R27="","",ABS(R27-R27/2))</f>
        <v/>
      </c>
      <c r="T27" s="403" t="str">
        <f>IF(OR(R27="",R28=""),"",IF(ABS(R27-R27/2)=SMALL(S27:S30,1),Q27,IF(ABS(R28-R27/2)=SMALL(S27:S30,1),Q28,IF(ABS(R29-R27/2)=SMALL(S27:S30,1),Q29,IF(ABS(R30-R27/2)=SMALL(S27:S30,1),Q30,"")))))</f>
        <v/>
      </c>
      <c r="U27" s="404" t="str">
        <f>IF(OR(Sheet1!AM116="",Sheet1!AM117=""),"",AVERAGE(Sheet1!AM116:AM117))</f>
        <v/>
      </c>
      <c r="W27" s="405" t="str">
        <f>IF(OR(MIN(T27:T28)=0,MIN(T31:T32)=0),"",TREND(T27:T28,U31:U32,LN(R27/2)))</f>
        <v/>
      </c>
    </row>
    <row r="28" spans="1:23" ht="15" thickTop="1">
      <c r="A28" s="400">
        <f>Sheet1!AJ44</f>
        <v>0.5</v>
      </c>
      <c r="B28" s="401" t="str">
        <f>IF(MIN(Sheet1!AO44:AO45)=0,"",AVERAGE(Sheet1!AO44:AO45))</f>
        <v/>
      </c>
      <c r="C28" s="402" t="str">
        <f>IF(B28="","",ABS(B28-B27/2))</f>
        <v/>
      </c>
      <c r="D28" s="402" t="str">
        <f>IF(OR(B27="",B28=""),"",IF(ABS(B27-B27/2)=SMALL(C27:C30,2),A27,IF(ABS(B28-B27/2)=SMALL(C27:C30,2),A28,IF(ABS(B29-B27/2)=SMALL(C27:C30,2),A29,IF(ABS(B30-B27/2)=SMALL(C27:C30,2),A30,"")))))</f>
        <v/>
      </c>
      <c r="E28" s="406"/>
      <c r="I28" s="400">
        <f>Sheet1!AJ84</f>
        <v>0.6</v>
      </c>
      <c r="J28" s="401" t="str">
        <f>IF(MIN(Sheet1!AO84:AO85)=0,"",AVERAGE(Sheet1!AO84:AO85))</f>
        <v/>
      </c>
      <c r="K28" s="402" t="str">
        <f>IF(J28="","",ABS(J28-J27/2))</f>
        <v/>
      </c>
      <c r="L28" s="402" t="str">
        <f>IF(OR(J27="",J28=""),"",IF(ABS(J27-J27/2)=SMALL(K27:K30,2),I27,IF(ABS(J28-J27/2)=SMALL(K27:K30,2),I28,IF(ABS(J29-J27/2)=SMALL(K27:K30,2),I29,IF(ABS(J30-J27/2)=SMALL(K27:K30,2),I30,"")))))</f>
        <v/>
      </c>
      <c r="M28" s="406"/>
      <c r="Q28" s="400">
        <f>Sheet1!AJ118</f>
        <v>0.5</v>
      </c>
      <c r="R28" s="401" t="str">
        <f>IF(MIN(Sheet1!AO118:AO119)=0,"",AVERAGE(Sheet1!AO118:AO119))</f>
        <v/>
      </c>
      <c r="S28" s="402" t="str">
        <f>IF(R28="","",ABS(R28-R27/2))</f>
        <v/>
      </c>
      <c r="T28" s="402" t="str">
        <f>IF(OR(R27="",R28=""),"",IF(ABS(R27-R27/2)=SMALL(S27:S30,2),Q27,IF(ABS(R28-R27/2)=SMALL(S27:S30,2),Q28,IF(ABS(R29-R27/2)=SMALL(S27:S30,2),Q29,IF(ABS(R30-R27/2)=SMALL(S27:S30,2),Q30,"")))))</f>
        <v/>
      </c>
      <c r="U28" s="406"/>
    </row>
    <row r="29" spans="1:23">
      <c r="A29" s="407" t="str">
        <f>IF(AND(Sheet1!AM46="",Sheet1!AM48=""),"",IF(Sheet1!AM46&lt;&gt;"",Sheet1!AJ46,Sheet1!AJ48))</f>
        <v/>
      </c>
      <c r="B29" s="401" t="str">
        <f>IF(AND(Sheet1!AM46="",Sheet1!AM48=""),"",IF(Sheet1!AM46&lt;&gt;"",AVERAGE(Sheet1!AO46:AO47),AVERAGE(Sheet1!AO48:AO49)))</f>
        <v/>
      </c>
      <c r="C29" s="402" t="str">
        <f>IF(B29="","",ABS(B29-B27/2))</f>
        <v/>
      </c>
      <c r="D29" s="408"/>
      <c r="E29" s="408"/>
      <c r="I29" s="407" t="str">
        <f>IF(AND(Sheet1!AM86="",Sheet1!AM88=""),"",IF(Sheet1!AM86&lt;&gt;"",Sheet1!AJ86,Sheet1!AJ88))</f>
        <v/>
      </c>
      <c r="J29" s="401" t="str">
        <f>IF(AND(Sheet1!AM86="",Sheet1!AM88=""),"",IF(Sheet1!AM86&lt;&gt;"",AVERAGE(Sheet1!AO86:AO87),AVERAGE(Sheet1!AO88:AO89)))</f>
        <v/>
      </c>
      <c r="K29" s="402" t="str">
        <f>IF(J29="","",ABS(J29-J27/2))</f>
        <v/>
      </c>
      <c r="L29" s="408"/>
      <c r="M29" s="408"/>
      <c r="Q29" s="407" t="str">
        <f>IF(AND(Sheet1!AM120="",Sheet1!AM122=""),"",IF(Sheet1!AM120&lt;&gt;"",Sheet1!AJ120,Sheet1!AJ122))</f>
        <v/>
      </c>
      <c r="R29" s="401" t="str">
        <f>IF(AND(Sheet1!AM120="",Sheet1!AM122=""),"",IF(Sheet1!AM120&lt;&gt;"",AVERAGE(Sheet1!AO120:AO121),AVERAGE(Sheet1!AO122:AO123)))</f>
        <v/>
      </c>
      <c r="S29" s="402" t="str">
        <f>IF(R29="","",ABS(R29-R27/2))</f>
        <v/>
      </c>
      <c r="T29" s="408"/>
      <c r="U29" s="408"/>
    </row>
    <row r="30" spans="1:23" ht="15" thickBot="1">
      <c r="A30" s="407" t="str">
        <f>IF(OR(Sheet1!AM48="",AND(Sheet1!AM46="",Sheet1!AM48&lt;&gt;"")),"",Sheet1!AJ48)</f>
        <v/>
      </c>
      <c r="B30" s="401" t="str">
        <f>IF(OR(Sheet1!AM48="",AND(Sheet1!AM46="",Sheet1!AM48&lt;&gt;"")),"",AVERAGE(Sheet1!AO48:AO49))</f>
        <v/>
      </c>
      <c r="C30" s="402" t="str">
        <f>IF(B30="","",ABS(B30-B27/2))</f>
        <v/>
      </c>
      <c r="D30" s="399" t="s">
        <v>566</v>
      </c>
      <c r="E30" s="399" t="s">
        <v>567</v>
      </c>
      <c r="I30" s="407" t="str">
        <f>IF(OR(Sheet1!AM88="",AND(Sheet1!AM86="",Sheet1!AM88&lt;&gt;"")),"",Sheet1!AJ88)</f>
        <v/>
      </c>
      <c r="J30" s="401" t="str">
        <f>IF(OR(Sheet1!AM88="",AND(Sheet1!AM86="",Sheet1!AM88&lt;&gt;"")),"",AVERAGE(Sheet1!AO88:AO89))</f>
        <v/>
      </c>
      <c r="K30" s="402" t="str">
        <f>IF(J30="","",ABS(J30-J27/2))</f>
        <v/>
      </c>
      <c r="L30" s="399" t="s">
        <v>566</v>
      </c>
      <c r="M30" s="399" t="s">
        <v>567</v>
      </c>
      <c r="Q30" s="407" t="str">
        <f>IF(OR(Sheet1!AM122="",AND(Sheet1!AM120="",Sheet1!AM122&lt;&gt;"")),"",Sheet1!AJ122)</f>
        <v/>
      </c>
      <c r="R30" s="401" t="str">
        <f>IF(OR(Sheet1!AM122="",AND(Sheet1!AM120="",Sheet1!AM122&lt;&gt;"")),"",AVERAGE(Sheet1!AO122:AO123))</f>
        <v/>
      </c>
      <c r="S30" s="402" t="str">
        <f>IF(R30="","",ABS(R30-R27/2))</f>
        <v/>
      </c>
      <c r="T30" s="399" t="s">
        <v>566</v>
      </c>
      <c r="U30" s="399" t="s">
        <v>567</v>
      </c>
    </row>
    <row r="31" spans="1:23">
      <c r="A31" s="409" t="str">
        <f>G27</f>
        <v/>
      </c>
      <c r="B31" s="410" t="str">
        <f>IF(G27="","",EXP(TREND(E31:E32,D27:D28,A31)))</f>
        <v/>
      </c>
      <c r="D31" s="403" t="str">
        <f>IF(OR(B27="",B28=""),"",IF(A27=D27,B27,IF(A28=D27,B28,IF(A29=D27,B29,IF(A30=D27,B30)))))</f>
        <v/>
      </c>
      <c r="E31" s="411" t="str">
        <f>IF(D31="","",LN(D31))</f>
        <v/>
      </c>
      <c r="I31" s="409" t="str">
        <f>O27</f>
        <v/>
      </c>
      <c r="J31" s="410" t="str">
        <f>IF(O27="","",EXP(TREND(M31:M32,L27:L28,I31)))</f>
        <v/>
      </c>
      <c r="L31" s="403" t="str">
        <f>IF(OR(J27="",J28=""),"",IF(I27=L27,J27,IF(I28=L27,J28,IF(I29=L27,J29,IF(I30=L27,J30)))))</f>
        <v/>
      </c>
      <c r="M31" s="411" t="str">
        <f>IF(L31="","",LN(L31))</f>
        <v/>
      </c>
      <c r="Q31" s="409" t="str">
        <f>W27</f>
        <v/>
      </c>
      <c r="R31" s="410" t="str">
        <f>IF(W27="","",EXP(TREND(U31:U32,T27:T28,Q31)))</f>
        <v/>
      </c>
      <c r="T31" s="403" t="str">
        <f>IF(OR(R27="",R28=""),"",IF(Q27=T27,R27,IF(Q28=T27,R28,IF(Q29=T27,R29,IF(Q30=T27,R30)))))</f>
        <v/>
      </c>
      <c r="U31" s="411" t="str">
        <f>IF(T31="","",LN(T31))</f>
        <v/>
      </c>
    </row>
    <row r="32" spans="1:23">
      <c r="D32" s="402" t="str">
        <f>IF(OR(B27="",B28=""),"",IF(A27=D28,B27,IF(A28=D28,B28,IF(A29=D28,B29,IF(A30=D28,B30)))))</f>
        <v/>
      </c>
      <c r="E32" s="412" t="str">
        <f>IF(D32="","",LN(D32))</f>
        <v/>
      </c>
      <c r="L32" s="402" t="str">
        <f>IF(OR(J27="",J28=""),"",IF(I27=L28,J27,IF(I28=L28,J28,IF(I29=L28,J29,IF(I30=L28,J30)))))</f>
        <v/>
      </c>
      <c r="M32" s="412" t="str">
        <f>IF(L32="","",LN(L32))</f>
        <v/>
      </c>
      <c r="T32" s="402" t="str">
        <f>IF(OR(R27="",R28=""),"",IF(Q27=T28,R27,IF(Q28=T28,R28,IF(Q29=T28,R29,IF(Q30=T28,R30)))))</f>
        <v/>
      </c>
      <c r="U32" s="412" t="str">
        <f>IF(T32="","",LN(T32))</f>
        <v/>
      </c>
    </row>
    <row r="33" spans="1:23">
      <c r="A33" s="397">
        <f>Sheet1!AH50</f>
        <v>34</v>
      </c>
      <c r="B33" s="391" t="s">
        <v>49</v>
      </c>
      <c r="Q33" s="397">
        <f>Sheet1!AH124</f>
        <v>38</v>
      </c>
      <c r="R33" s="391" t="s">
        <v>49</v>
      </c>
    </row>
    <row r="34" spans="1:23" ht="15" thickBot="1">
      <c r="A34" s="398" t="s">
        <v>562</v>
      </c>
      <c r="B34" s="399" t="s">
        <v>563</v>
      </c>
      <c r="C34" s="399" t="s">
        <v>564</v>
      </c>
      <c r="D34" s="399" t="s">
        <v>565</v>
      </c>
      <c r="E34" s="399" t="s">
        <v>49</v>
      </c>
      <c r="G34" s="399" t="e">
        <f>"HVL @"&amp;ROUND(E35,2)&amp;" kVp"</f>
        <v>#VALUE!</v>
      </c>
      <c r="Q34" s="398" t="s">
        <v>562</v>
      </c>
      <c r="R34" s="399" t="s">
        <v>563</v>
      </c>
      <c r="S34" s="399" t="s">
        <v>564</v>
      </c>
      <c r="T34" s="399" t="s">
        <v>565</v>
      </c>
      <c r="U34" s="399" t="s">
        <v>49</v>
      </c>
      <c r="W34" s="399" t="e">
        <f>"HVL @"&amp;ROUND(U35,2)&amp;" kVp"</f>
        <v>#VALUE!</v>
      </c>
    </row>
    <row r="35" spans="1:23" ht="15.75" thickTop="1" thickBot="1">
      <c r="A35" s="400">
        <f>Sheet1!AJ50</f>
        <v>0</v>
      </c>
      <c r="B35" s="401" t="str">
        <f>IF(MIN(Sheet1!AO50:AO51)=0,"",AVERAGE(Sheet1!AO50:AO51))</f>
        <v/>
      </c>
      <c r="C35" s="402" t="str">
        <f>IF(B35="","",ABS(B35-B35/2))</f>
        <v/>
      </c>
      <c r="D35" s="403" t="str">
        <f>IF(OR(B35="",B36=""),"",IF(ABS(B35-B35/2)=SMALL(C35:C38,1),A35,IF(ABS(B36-B35/2)=SMALL(C35:C38,1),A36,IF(ABS(B37-B35/2)=SMALL(C35:C38,1),A37,IF(ABS(B38-B35/2)=SMALL(C35:C38,1),A38,"")))))</f>
        <v/>
      </c>
      <c r="E35" s="404" t="str">
        <f>IF(OR(Sheet1!AM49="",Sheet1!AM50=""),"",AVERAGE(Sheet1!AM49:AM50))</f>
        <v/>
      </c>
      <c r="G35" s="405" t="str">
        <f>IF(OR(MIN(D35:D36)=0,MIN(D39:D40)=0),"",TREND(D35:D36,E39:E40,LN(B35/2)))</f>
        <v/>
      </c>
      <c r="Q35" s="400">
        <f>Sheet1!AJ124</f>
        <v>0</v>
      </c>
      <c r="R35" s="401" t="str">
        <f>IF(MIN(Sheet1!AO124:AO125)=0,"",AVERAGE(Sheet1!AO124:AO125))</f>
        <v/>
      </c>
      <c r="S35" s="402" t="str">
        <f>IF(R35="","",ABS(R35-R35/2))</f>
        <v/>
      </c>
      <c r="T35" s="403" t="str">
        <f>IF(OR(R35="",R36=""),"",IF(ABS(R35-R35/2)=SMALL(S35:S38,1),Q35,IF(ABS(R36-R35/2)=SMALL(S35:S38,1),Q36,IF(ABS(R37-R35/2)=SMALL(S35:S38,1),Q37,IF(ABS(R38-R35/2)=SMALL(S35:S38,1),Q38,"")))))</f>
        <v/>
      </c>
      <c r="U35" s="404" t="str">
        <f>IF(OR(Sheet1!AM124="",Sheet1!AM125=""),"",AVERAGE(Sheet1!AM124:AM125))</f>
        <v/>
      </c>
      <c r="W35" s="405" t="str">
        <f>IF(OR(MIN(T35:T36)=0,MIN(T39:T40)=0),"",TREND(T35:T36,U39:U40,LN(R35/2)))</f>
        <v/>
      </c>
    </row>
    <row r="36" spans="1:23" ht="15" thickTop="1">
      <c r="A36" s="400">
        <f>Sheet1!AJ52</f>
        <v>0.4</v>
      </c>
      <c r="B36" s="401" t="str">
        <f>IF(MIN(Sheet1!AO52:AO53)=0,"",AVERAGE(Sheet1!AO52:AO53))</f>
        <v/>
      </c>
      <c r="C36" s="402" t="str">
        <f>IF(B36="","",ABS(B36-B35/2))</f>
        <v/>
      </c>
      <c r="D36" s="402" t="str">
        <f>IF(OR(B35="",B36=""),"",IF(ABS(B35-B35/2)=SMALL(C35:C38,2),A35,IF(ABS(B36-B35/2)=SMALL(C35:C38,2),A36,IF(ABS(B37-B35/2)=SMALL(C35:C38,2),A37,IF(ABS(B38-B35/2)=SMALL(C35:C38,2),A38,"")))))</f>
        <v/>
      </c>
      <c r="E36" s="406"/>
      <c r="Q36" s="400">
        <f>Sheet1!AJ126</f>
        <v>0.6</v>
      </c>
      <c r="R36" s="401" t="str">
        <f>IF(MIN(Sheet1!AO126:AO127)=0,"",AVERAGE(Sheet1!AO126:AO127))</f>
        <v/>
      </c>
      <c r="S36" s="402" t="str">
        <f>IF(R36="","",ABS(R36-R35/2))</f>
        <v/>
      </c>
      <c r="T36" s="402" t="str">
        <f>IF(OR(R35="",R36=""),"",IF(ABS(R35-R35/2)=SMALL(S35:S38,2),Q35,IF(ABS(R36-R35/2)=SMALL(S35:S38,2),Q36,IF(ABS(R37-R35/2)=SMALL(S35:S38,2),Q37,IF(ABS(R38-R35/2)=SMALL(S35:S38,2),Q38,"")))))</f>
        <v/>
      </c>
      <c r="U36" s="406"/>
    </row>
    <row r="37" spans="1:23">
      <c r="A37" s="407" t="str">
        <f>IF(AND(Sheet1!AM54="",Sheet1!AM56=""),"",IF(Sheet1!AM54&lt;&gt;"",Sheet1!AJ54,Sheet1!AJ56))</f>
        <v/>
      </c>
      <c r="B37" s="401" t="str">
        <f>IF(AND(Sheet1!AM54="",Sheet1!AM56=""),"",IF(Sheet1!AM54&lt;&gt;"",AVERAGE(Sheet1!AO54:AO55),AVERAGE(Sheet1!AO56:AO57)))</f>
        <v/>
      </c>
      <c r="C37" s="402" t="str">
        <f>IF(B37="","",ABS(B37-B35/2))</f>
        <v/>
      </c>
      <c r="D37" s="408"/>
      <c r="E37" s="408"/>
      <c r="Q37" s="407" t="str">
        <f>IF(AND(Sheet1!AM128="",Sheet1!AM130=""),"",IF(Sheet1!AM128&lt;&gt;"",Sheet1!AJ128,Sheet1!AJ130))</f>
        <v/>
      </c>
      <c r="R37" s="401" t="str">
        <f>IF(AND(Sheet1!AM128="",Sheet1!AM130=""),"",IF(Sheet1!AM128&lt;&gt;"",AVERAGE(Sheet1!AO128:AO129),AVERAGE(Sheet1!AO130:AO131)))</f>
        <v/>
      </c>
      <c r="S37" s="402" t="str">
        <f>IF(R37="","",ABS(R37-R35/2))</f>
        <v/>
      </c>
      <c r="T37" s="408"/>
      <c r="U37" s="408"/>
    </row>
    <row r="38" spans="1:23" ht="15" thickBot="1">
      <c r="A38" s="407" t="str">
        <f>IF(OR(Sheet1!AM56="",AND(Sheet1!AM54="",Sheet1!AM56&lt;&gt;"")),"",Sheet1!AJ56)</f>
        <v/>
      </c>
      <c r="B38" s="401" t="str">
        <f>IF(OR(Sheet1!AM56="",AND(Sheet1!AM54="",Sheet1!AM56&lt;&gt;"")),"",AVERAGE(Sheet1!AO56:AO57))</f>
        <v/>
      </c>
      <c r="C38" s="402" t="str">
        <f>IF(B38="","",ABS(B38-B35/2))</f>
        <v/>
      </c>
      <c r="D38" s="399" t="s">
        <v>566</v>
      </c>
      <c r="E38" s="399" t="s">
        <v>567</v>
      </c>
      <c r="Q38" s="407" t="str">
        <f>IF(OR(Sheet1!AM130="",AND(Sheet1!AM128="",Sheet1!AM130&lt;&gt;"")),"",Sheet1!AJ130)</f>
        <v/>
      </c>
      <c r="R38" s="401" t="str">
        <f>IF(OR(Sheet1!AM130="",AND(Sheet1!AM128="",Sheet1!AM130&lt;&gt;"")),"",AVERAGE(Sheet1!AO130:AO131))</f>
        <v/>
      </c>
      <c r="S38" s="402" t="str">
        <f>IF(R38="","",ABS(R38-R35/2))</f>
        <v/>
      </c>
      <c r="T38" s="399" t="s">
        <v>566</v>
      </c>
      <c r="U38" s="399" t="s">
        <v>567</v>
      </c>
    </row>
    <row r="39" spans="1:23">
      <c r="A39" s="409" t="str">
        <f>G35</f>
        <v/>
      </c>
      <c r="B39" s="410" t="str">
        <f>IF(G35="","",EXP(TREND(E39:E40,D35:D36,A39)))</f>
        <v/>
      </c>
      <c r="D39" s="403" t="str">
        <f>IF(OR(B35="",B36=""),"",IF(A35=D35,B35,IF(A36=D35,B36,IF(A37=D35,B37,IF(A38=D35,B38)))))</f>
        <v/>
      </c>
      <c r="E39" s="411" t="str">
        <f>IF(D39="","",LN(D39))</f>
        <v/>
      </c>
      <c r="Q39" s="409" t="str">
        <f>W35</f>
        <v/>
      </c>
      <c r="R39" s="410" t="str">
        <f>IF(W35="","",EXP(TREND(U39:U40,T35:T36,Q39)))</f>
        <v/>
      </c>
      <c r="T39" s="403" t="str">
        <f>IF(OR(R35="",R36=""),"",IF(Q35=T35,R35,IF(Q36=T35,R36,IF(Q37=T35,R37,IF(Q38=T35,R38)))))</f>
        <v/>
      </c>
      <c r="U39" s="411" t="str">
        <f>IF(T39="","",LN(T39))</f>
        <v/>
      </c>
    </row>
    <row r="40" spans="1:23">
      <c r="D40" s="402" t="str">
        <f>IF(OR(B35="",B36=""),"",IF(A35=D36,B35,IF(A36=D36,B36,IF(A37=D36,B37,IF(A38=D36,B38)))))</f>
        <v/>
      </c>
      <c r="E40" s="412" t="str">
        <f>IF(D40="","",LN(D40))</f>
        <v/>
      </c>
      <c r="T40" s="402" t="str">
        <f>IF(OR(R35="",R36=""),"",IF(Q35=T36,R35,IF(Q36=T36,R36,IF(Q37=T36,R37,IF(Q38=T36,R38)))))</f>
        <v/>
      </c>
      <c r="U40" s="412"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2" customWidth="1"/>
    <col min="24" max="16384" width="9" style="389"/>
  </cols>
  <sheetData>
    <row r="1" spans="1:3">
      <c r="A1" s="413" t="s">
        <v>568</v>
      </c>
    </row>
    <row r="2" spans="1:3">
      <c r="B2" s="392" t="s">
        <v>569</v>
      </c>
    </row>
    <row r="3" spans="1:3">
      <c r="B3" s="392" t="s">
        <v>570</v>
      </c>
    </row>
    <row r="4" spans="1:3">
      <c r="B4" s="392" t="s">
        <v>571</v>
      </c>
    </row>
    <row r="5" spans="1:3">
      <c r="B5" s="392" t="s">
        <v>572</v>
      </c>
    </row>
    <row r="6" spans="1:3">
      <c r="B6" s="392" t="s">
        <v>573</v>
      </c>
    </row>
    <row r="8" spans="1:3">
      <c r="A8" s="413" t="s">
        <v>574</v>
      </c>
    </row>
    <row r="9" spans="1:3">
      <c r="A9" s="413"/>
      <c r="B9" s="392" t="s">
        <v>575</v>
      </c>
    </row>
    <row r="10" spans="1:3">
      <c r="A10" s="413"/>
      <c r="B10" s="392" t="s">
        <v>576</v>
      </c>
    </row>
    <row r="11" spans="1:3">
      <c r="B11" s="414" t="s">
        <v>577</v>
      </c>
      <c r="C11" s="414" t="s">
        <v>578</v>
      </c>
    </row>
    <row r="12" spans="1:3">
      <c r="B12" s="415">
        <v>29</v>
      </c>
      <c r="C12" s="416">
        <f>IF(B12&lt;A22,B12+B22+B12*C22+B12^2*D22+B12^3*E22+B12^4*F22+B12^5*G22+B12^6*H22,B12+B23+B12*C23+B12^2*D23+B12^3*E23+B12^4*F23+B12^5*G23+B12^6*H23)</f>
        <v>30.282068178701138</v>
      </c>
    </row>
    <row r="14" spans="1:3">
      <c r="A14" s="413" t="s">
        <v>579</v>
      </c>
    </row>
    <row r="15" spans="1:3">
      <c r="A15" s="413"/>
      <c r="B15" s="392" t="s">
        <v>580</v>
      </c>
    </row>
    <row r="16" spans="1:3">
      <c r="A16" s="413"/>
      <c r="B16" s="392" t="s">
        <v>581</v>
      </c>
    </row>
    <row r="17" spans="1:8">
      <c r="B17" s="414" t="s">
        <v>577</v>
      </c>
      <c r="C17" s="414" t="s">
        <v>578</v>
      </c>
    </row>
    <row r="18" spans="1:8">
      <c r="B18" s="415">
        <v>37.1</v>
      </c>
      <c r="C18" s="416">
        <f>IF(B18&gt;37.1,40,IF(B18&lt;A28,B18+B28+B18*C28+B18^2*D28+B18^3*E28+B18^4*F28+B18^5*G28+B18^6*H28,B18+B29+B18*C29+B18^2*D29+B18^3*E29+B18^4*F29+B18^5*G29+B18^6*H29))</f>
        <v>38.967510688751645</v>
      </c>
    </row>
    <row r="22" spans="1:8">
      <c r="A22" s="392">
        <v>27.585999999999999</v>
      </c>
      <c r="B22" s="392">
        <v>-8375.0727645925508</v>
      </c>
      <c r="C22" s="392">
        <v>975.92543560432796</v>
      </c>
      <c r="D22" s="392">
        <v>-37.913729682039403</v>
      </c>
      <c r="E22" s="392">
        <v>0.49086583472609402</v>
      </c>
      <c r="F22" s="392">
        <v>0</v>
      </c>
      <c r="G22" s="392">
        <v>0</v>
      </c>
      <c r="H22" s="392">
        <v>0</v>
      </c>
    </row>
    <row r="23" spans="1:8">
      <c r="B23" s="392">
        <v>-9984.6167916494396</v>
      </c>
      <c r="C23" s="392">
        <v>1436.52454571413</v>
      </c>
      <c r="D23" s="392">
        <v>-82.505102185254898</v>
      </c>
      <c r="E23" s="392">
        <v>2.36559081763837</v>
      </c>
      <c r="F23" s="392">
        <v>-3.38672433779705E-2</v>
      </c>
      <c r="G23" s="392">
        <v>1.93686920423126E-4</v>
      </c>
      <c r="H23" s="392">
        <v>0</v>
      </c>
    </row>
    <row r="28" spans="1:8">
      <c r="A28" s="392">
        <v>30.1</v>
      </c>
      <c r="B28" s="392">
        <v>-540847.69550077303</v>
      </c>
      <c r="C28" s="392">
        <v>100186.23364273099</v>
      </c>
      <c r="D28" s="392">
        <v>-7418.4790179812599</v>
      </c>
      <c r="E28" s="392">
        <v>274.47660929577501</v>
      </c>
      <c r="F28" s="392">
        <v>-5.07436954359087</v>
      </c>
      <c r="G28" s="392">
        <v>3.7500574787580898E-2</v>
      </c>
      <c r="H28" s="392">
        <v>0</v>
      </c>
    </row>
    <row r="29" spans="1:8">
      <c r="B29" s="392">
        <v>-11057.773936199201</v>
      </c>
      <c r="C29" s="392">
        <v>1297.2285673766901</v>
      </c>
      <c r="D29" s="392">
        <v>-56.989188989725697</v>
      </c>
      <c r="E29" s="392">
        <v>1.1115828564217201</v>
      </c>
      <c r="F29" s="392">
        <v>-8.1233997365129599E-3</v>
      </c>
      <c r="G29" s="392">
        <v>0</v>
      </c>
      <c r="H29" s="392">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2" customWidth="1"/>
    <col min="2" max="16384" width="9" style="389"/>
  </cols>
  <sheetData>
    <row r="1" spans="1:1">
      <c r="A1" s="413" t="s">
        <v>582</v>
      </c>
    </row>
    <row r="2" spans="1:1">
      <c r="A2" s="392" t="s">
        <v>583</v>
      </c>
    </row>
    <row r="3" spans="1:1">
      <c r="A3" s="392" t="s">
        <v>584</v>
      </c>
    </row>
    <row r="5" spans="1:1">
      <c r="A5" s="413" t="s">
        <v>585</v>
      </c>
    </row>
    <row r="6" spans="1:1">
      <c r="A6" s="392" t="s">
        <v>583</v>
      </c>
    </row>
    <row r="7" spans="1:1">
      <c r="A7" s="392" t="s">
        <v>584</v>
      </c>
    </row>
    <row r="8" spans="1:1">
      <c r="A8" s="392" t="s">
        <v>586</v>
      </c>
    </row>
    <row r="10" spans="1:1">
      <c r="A10" s="417" t="s">
        <v>587</v>
      </c>
    </row>
    <row r="11" spans="1:1">
      <c r="A11" s="418">
        <v>6</v>
      </c>
    </row>
    <row r="12" spans="1:1">
      <c r="A12" s="418">
        <v>5.5</v>
      </c>
    </row>
    <row r="13" spans="1:1">
      <c r="A13" s="418">
        <v>5</v>
      </c>
    </row>
    <row r="14" spans="1:1">
      <c r="A14" s="418">
        <v>4.5</v>
      </c>
    </row>
    <row r="15" spans="1:1">
      <c r="A15" s="418">
        <v>4</v>
      </c>
    </row>
    <row r="16" spans="1:1">
      <c r="A16" s="418">
        <v>3.5</v>
      </c>
    </row>
    <row r="17" spans="1:1">
      <c r="A17" s="418">
        <v>3</v>
      </c>
    </row>
    <row r="18" spans="1:1">
      <c r="A18" s="418">
        <v>2.5</v>
      </c>
    </row>
    <row r="19" spans="1:1">
      <c r="A19" s="418">
        <v>2</v>
      </c>
    </row>
    <row r="20" spans="1:1">
      <c r="A20" s="418">
        <v>1.5</v>
      </c>
    </row>
    <row r="21" spans="1:1">
      <c r="A21" s="418">
        <v>1</v>
      </c>
    </row>
    <row r="22" spans="1:1">
      <c r="A22" s="418">
        <v>0.5</v>
      </c>
    </row>
    <row r="23" spans="1:1">
      <c r="A23" s="419"/>
    </row>
    <row r="24" spans="1:1">
      <c r="A24" s="465" t="s">
        <v>416</v>
      </c>
    </row>
    <row r="25" spans="1:1">
      <c r="A25" s="466" t="s">
        <v>602</v>
      </c>
    </row>
    <row r="26" spans="1:1">
      <c r="A26" s="466"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2018-11-12T17:24:40Z</dcterms:modified>
</cp:coreProperties>
</file>